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showInkAnnotation="0" codeName="ThisWorkbook"/>
  <mc:AlternateContent xmlns:mc="http://schemas.openxmlformats.org/markup-compatibility/2006">
    <mc:Choice Requires="x15">
      <x15ac:absPath xmlns:x15ac="http://schemas.microsoft.com/office/spreadsheetml/2010/11/ac" url="C:\Dropbox\0 ZAPS\STANDARD ZAPS\02 VREDNOTENJE\ARHIGRAM 6\"/>
    </mc:Choice>
  </mc:AlternateContent>
  <xr:revisionPtr revIDLastSave="0" documentId="13_ncr:1_{EFD8E452-CE62-49DC-B171-6C064615D6B3}" xr6:coauthVersionLast="47" xr6:coauthVersionMax="47" xr10:uidLastSave="{00000000-0000-0000-0000-000000000000}"/>
  <bookViews>
    <workbookView xWindow="390" yWindow="0" windowWidth="24810" windowHeight="21600" xr2:uid="{AF2ADAAF-7630-4512-95F1-40E1A63D0628}"/>
    <workbookView xWindow="780" yWindow="0" windowWidth="24810" windowHeight="21600" xr2:uid="{37C3ADB0-BF22-4E00-B8AC-09877745A2C0}"/>
  </bookViews>
  <sheets>
    <sheet name="NAVODILA" sheetId="42" r:id="rId1"/>
    <sheet name="OSNOVNI PODATKI" sheetId="55" r:id="rId2"/>
    <sheet name="CENOVNI RAZREDI" sheetId="49" r:id="rId3"/>
    <sheet name="ARHIGRAM 6" sheetId="17" r:id="rId4"/>
    <sheet name="OSNOVNE STORITVE" sheetId="56" r:id="rId5"/>
    <sheet name="POSEBNE STORITVE" sheetId="57" r:id="rId6"/>
    <sheet name="VREDNOST NU" sheetId="7" r:id="rId7"/>
    <sheet name="STAVBE" sheetId="54" r:id="rId8"/>
    <sheet name="NOTRANJA OPREMA" sheetId="58" r:id="rId9"/>
    <sheet name="ODPRTI PROSTOR" sheetId="32" r:id="rId10"/>
    <sheet name="GRADBENE KONSTRUKCIJE" sheetId="33" r:id="rId11"/>
    <sheet name="TEHNIČNA OPREMA" sheetId="34" r:id="rId12"/>
    <sheet name="POŽARNA VARNOST" sheetId="50" r:id="rId13"/>
    <sheet name="GRADBENA FIZIKA" sheetId="48" r:id="rId14"/>
  </sheets>
  <definedNames>
    <definedName name="ARHINST" localSheetId="3">#REF!</definedName>
    <definedName name="ARHINST" localSheetId="0">#REF!</definedName>
    <definedName name="ARHINST" localSheetId="4">#REF!</definedName>
    <definedName name="ARHINST" localSheetId="1">#REF!</definedName>
    <definedName name="ARHINST" localSheetId="5">#REF!</definedName>
    <definedName name="ARHINST">#REF!</definedName>
    <definedName name="Cenovni_razred">#REF!</definedName>
    <definedName name="DANE" localSheetId="0">#REF!</definedName>
    <definedName name="DANE">#REF!</definedName>
    <definedName name="FAZE" localSheetId="3">#REF!</definedName>
    <definedName name="FAZE" localSheetId="0">#REF!</definedName>
    <definedName name="FAZE" localSheetId="4">#REF!</definedName>
    <definedName name="FAZE" localSheetId="1">#REF!</definedName>
    <definedName name="FAZE" localSheetId="5">#REF!</definedName>
    <definedName name="FAZE">#REF!</definedName>
    <definedName name="KONS" localSheetId="3">#REF!</definedName>
    <definedName name="KONS" localSheetId="0">#REF!</definedName>
    <definedName name="KONS" localSheetId="4">#REF!</definedName>
    <definedName name="KONS" localSheetId="1">#REF!</definedName>
    <definedName name="KONS" localSheetId="5">#REF!</definedName>
    <definedName name="KONS">#REF!</definedName>
    <definedName name="NOPREMA" localSheetId="0">#REF!</definedName>
    <definedName name="NOPREMA">#REF!</definedName>
    <definedName name="OBJEKT" localSheetId="3">#REF!</definedName>
    <definedName name="OBJEKT" localSheetId="0">#REF!</definedName>
    <definedName name="OBJEKT" localSheetId="4">#REF!</definedName>
    <definedName name="OBJEKT" localSheetId="1">#REF!</definedName>
    <definedName name="OBJEKT" localSheetId="5">#REF!</definedName>
    <definedName name="OBJEKT">#REF!</definedName>
    <definedName name="OPREMA" localSheetId="3">#REF!</definedName>
    <definedName name="OPREMA" localSheetId="0">#REF!</definedName>
    <definedName name="OPREMA" localSheetId="4">#REF!</definedName>
    <definedName name="OPREMA" localSheetId="1">#REF!</definedName>
    <definedName name="OPREMA" localSheetId="5">#REF!</definedName>
    <definedName name="OPREMA">#REF!</definedName>
    <definedName name="PID" localSheetId="3">#REF!</definedName>
    <definedName name="PID" localSheetId="0">#REF!</definedName>
    <definedName name="PID" localSheetId="4">#REF!</definedName>
    <definedName name="PID" localSheetId="1">#REF!</definedName>
    <definedName name="PID" localSheetId="5">#REF!</definedName>
    <definedName name="PID">#REF!</definedName>
    <definedName name="POVRŠINE" localSheetId="0">#REF!</definedName>
    <definedName name="POVRŠINE">#REF!</definedName>
    <definedName name="_xlnm.Print_Area" localSheetId="1">'OSNOVNI PODATKI'!$A$1:$F$368</definedName>
    <definedName name="RAZREDARH" localSheetId="0">#REF!</definedName>
    <definedName name="RAZREDARH">#REF!</definedName>
    <definedName name="RAZREDIARH" localSheetId="0">#REF!</definedName>
    <definedName name="RAZREDIARH">#REF!</definedName>
    <definedName name="RAZREDIKONS" localSheetId="0">#REF!</definedName>
    <definedName name="RAZREDIKONS">#REF!</definedName>
    <definedName name="RAZREDKONS" localSheetId="0">#REF!</definedName>
    <definedName name="RAZREDKONS">#REF!</definedName>
    <definedName name="STAVBA" localSheetId="0">#REF!</definedName>
    <definedName name="STAVBA">#REF!</definedName>
    <definedName name="TEH" localSheetId="3">#REF!</definedName>
    <definedName name="TEH" localSheetId="13">#REF!</definedName>
    <definedName name="TEH" localSheetId="10">#REF!</definedName>
    <definedName name="TEH" localSheetId="0">#REF!</definedName>
    <definedName name="TEH" localSheetId="4">#REF!</definedName>
    <definedName name="TEH" localSheetId="1">#REF!</definedName>
    <definedName name="TEH" localSheetId="5">#REF!</definedName>
    <definedName name="TEH" localSheetId="12">#REF!</definedName>
    <definedName name="TEH" localSheetId="11">#REF!</definedName>
    <definedName name="TEH">#REF!</definedName>
    <definedName name="ZUNANJA" localSheetId="3">#REF!</definedName>
    <definedName name="ZUNANJA" localSheetId="0">#REF!</definedName>
    <definedName name="ZUNANJA" localSheetId="4">#REF!</definedName>
    <definedName name="ZUNANJA" localSheetId="1">#REF!</definedName>
    <definedName name="ZUNANJA" localSheetId="5">#REF!</definedName>
    <definedName name="ZUNANJ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90" i="57" l="1"/>
  <c r="G90" i="57"/>
  <c r="F90" i="57"/>
  <c r="D4" i="57"/>
  <c r="D3" i="57"/>
  <c r="D2" i="57"/>
  <c r="D1" i="57"/>
  <c r="D2" i="56"/>
  <c r="D3" i="56"/>
  <c r="D4" i="56"/>
  <c r="D1" i="56"/>
  <c r="H55" i="56"/>
  <c r="G55" i="56"/>
  <c r="F55" i="56"/>
  <c r="F248" i="34"/>
  <c r="F198" i="34"/>
  <c r="F231" i="34"/>
  <c r="F179" i="34"/>
  <c r="F178" i="34"/>
  <c r="F145" i="34"/>
  <c r="F126" i="34"/>
  <c r="F125" i="34"/>
  <c r="E142" i="33" l="1"/>
  <c r="F125" i="33" l="1"/>
  <c r="F142" i="33" s="1"/>
  <c r="E147" i="55"/>
  <c r="E116" i="55"/>
  <c r="E85" i="55"/>
  <c r="E263" i="34" l="1"/>
  <c r="E254" i="34"/>
  <c r="E251" i="34"/>
  <c r="E244" i="34"/>
  <c r="E240" i="34"/>
  <c r="F232" i="34"/>
  <c r="B232" i="34"/>
  <c r="F233" i="34"/>
  <c r="E213" i="34"/>
  <c r="E204" i="34"/>
  <c r="E201" i="34"/>
  <c r="E194" i="34"/>
  <c r="E190" i="34"/>
  <c r="F180" i="34"/>
  <c r="B180" i="34"/>
  <c r="F181" i="34"/>
  <c r="E141" i="34"/>
  <c r="F128" i="34"/>
  <c r="B128" i="34"/>
  <c r="F127" i="34"/>
  <c r="B127" i="34"/>
  <c r="G124" i="34"/>
  <c r="G177" i="34" s="1"/>
  <c r="G230" i="34" s="1"/>
  <c r="B124" i="34"/>
  <c r="G126" i="34"/>
  <c r="G179" i="34" s="1"/>
  <c r="G231" i="34" s="1"/>
  <c r="G125" i="34"/>
  <c r="G178" i="34" s="1"/>
  <c r="G125" i="33"/>
  <c r="G124" i="33"/>
  <c r="G179" i="58"/>
  <c r="G178" i="58"/>
  <c r="F180" i="58"/>
  <c r="F124" i="54"/>
  <c r="G125" i="32"/>
  <c r="G124" i="32"/>
  <c r="G125" i="54"/>
  <c r="G124" i="54"/>
  <c r="O153" i="32"/>
  <c r="E153" i="32"/>
  <c r="E142" i="32"/>
  <c r="U147" i="32"/>
  <c r="U146" i="32"/>
  <c r="F131" i="32"/>
  <c r="F130" i="32"/>
  <c r="F129" i="32"/>
  <c r="F128" i="32"/>
  <c r="F127" i="32"/>
  <c r="O142" i="32" s="1"/>
  <c r="B129" i="32"/>
  <c r="B127" i="32"/>
  <c r="F126" i="32"/>
  <c r="F126" i="54"/>
  <c r="U147" i="54"/>
  <c r="U146" i="54"/>
  <c r="N177" i="54"/>
  <c r="B57" i="42"/>
  <c r="D31" i="7"/>
  <c r="C31" i="7"/>
  <c r="E30" i="7"/>
  <c r="C74" i="7"/>
  <c r="D74" i="7" s="1"/>
  <c r="E22" i="7"/>
  <c r="D41" i="7"/>
  <c r="W145" i="32" l="1"/>
  <c r="U155" i="32"/>
  <c r="U152" i="32"/>
  <c r="U151" i="32"/>
  <c r="U148" i="32"/>
  <c r="A5" i="42"/>
  <c r="B3" i="42"/>
  <c r="B4" i="42"/>
  <c r="B5" i="42"/>
  <c r="C36" i="58"/>
  <c r="D36" i="58" s="1"/>
  <c r="X199" i="58"/>
  <c r="W199" i="58"/>
  <c r="F147" i="58"/>
  <c r="F121" i="58"/>
  <c r="F95" i="58"/>
  <c r="F69" i="58"/>
  <c r="F43" i="58"/>
  <c r="F124" i="58"/>
  <c r="F125" i="58" s="1"/>
  <c r="F126" i="58" s="1"/>
  <c r="F120" i="58"/>
  <c r="C119" i="58"/>
  <c r="C118" i="58"/>
  <c r="B118" i="58"/>
  <c r="F98" i="58"/>
  <c r="F99" i="58" s="1"/>
  <c r="F100" i="58" s="1"/>
  <c r="F94" i="58"/>
  <c r="C93" i="58"/>
  <c r="C92" i="58"/>
  <c r="B92" i="58"/>
  <c r="F150" i="58"/>
  <c r="F151" i="58" s="1"/>
  <c r="F152" i="58" s="1"/>
  <c r="F146" i="58"/>
  <c r="C145" i="58"/>
  <c r="C144" i="58"/>
  <c r="B144" i="58"/>
  <c r="F72" i="58"/>
  <c r="F68" i="58"/>
  <c r="C67" i="58"/>
  <c r="C66" i="58"/>
  <c r="B66" i="58"/>
  <c r="F46" i="58"/>
  <c r="F47" i="58" s="1"/>
  <c r="F48" i="58" s="1"/>
  <c r="F42" i="58"/>
  <c r="C41" i="58"/>
  <c r="C40" i="58"/>
  <c r="B40" i="58"/>
  <c r="U165" i="32" l="1"/>
  <c r="U163" i="32"/>
  <c r="U161" i="32"/>
  <c r="U157" i="32"/>
  <c r="F148" i="58"/>
  <c r="F70" i="58"/>
  <c r="F122" i="58"/>
  <c r="F96" i="58"/>
  <c r="F44" i="58"/>
  <c r="U220" i="58" l="1"/>
  <c r="U219" i="58"/>
  <c r="O218" i="58"/>
  <c r="E218" i="58"/>
  <c r="U217" i="58"/>
  <c r="U215" i="58"/>
  <c r="U213" i="58"/>
  <c r="U211" i="58"/>
  <c r="U210" i="58"/>
  <c r="U207" i="58"/>
  <c r="U205" i="58"/>
  <c r="E204" i="58"/>
  <c r="U201" i="58"/>
  <c r="U200" i="58"/>
  <c r="U199" i="58"/>
  <c r="V199" i="58"/>
  <c r="U198" i="58"/>
  <c r="U197" i="58"/>
  <c r="U195" i="58"/>
  <c r="U194" i="58"/>
  <c r="U193" i="58"/>
  <c r="O192" i="58"/>
  <c r="E192" i="58"/>
  <c r="F185" i="58"/>
  <c r="B185" i="58"/>
  <c r="F184" i="58"/>
  <c r="B184" i="58"/>
  <c r="F183" i="58"/>
  <c r="B183" i="58"/>
  <c r="F182" i="58"/>
  <c r="E196" i="58" s="1"/>
  <c r="B182" i="58"/>
  <c r="F181" i="58"/>
  <c r="B181" i="58"/>
  <c r="F179" i="58"/>
  <c r="P217" i="58" s="1"/>
  <c r="B179" i="58"/>
  <c r="F178" i="58"/>
  <c r="B178" i="58"/>
  <c r="F176" i="58"/>
  <c r="H210" i="58" s="1"/>
  <c r="U162" i="54"/>
  <c r="U164" i="54"/>
  <c r="U156" i="54"/>
  <c r="U150" i="54"/>
  <c r="F129" i="54"/>
  <c r="B129" i="54"/>
  <c r="F127" i="54"/>
  <c r="U148" i="54" s="1"/>
  <c r="B127" i="54"/>
  <c r="F130" i="54"/>
  <c r="F131" i="54"/>
  <c r="F128" i="54"/>
  <c r="G44" i="57"/>
  <c r="H44" i="57" s="1"/>
  <c r="C5" i="57"/>
  <c r="C4" i="57"/>
  <c r="C3" i="57"/>
  <c r="C1" i="57"/>
  <c r="G67" i="57"/>
  <c r="H67" i="57" s="1"/>
  <c r="G36" i="57"/>
  <c r="H36" i="57" s="1"/>
  <c r="G54" i="57"/>
  <c r="H54" i="57" s="1"/>
  <c r="C5" i="56"/>
  <c r="C4" i="56"/>
  <c r="C3" i="56"/>
  <c r="C1" i="56"/>
  <c r="F89" i="57"/>
  <c r="G86" i="57"/>
  <c r="H86" i="57" s="1"/>
  <c r="G85" i="57"/>
  <c r="H85" i="57" s="1"/>
  <c r="G83" i="57"/>
  <c r="H83" i="57" s="1"/>
  <c r="G82" i="57"/>
  <c r="H82" i="57" s="1"/>
  <c r="G80" i="57"/>
  <c r="H80" i="57" s="1"/>
  <c r="G79" i="57"/>
  <c r="H79" i="57" s="1"/>
  <c r="G76" i="57"/>
  <c r="H76" i="57" s="1"/>
  <c r="G75" i="57"/>
  <c r="H75" i="57" s="1"/>
  <c r="G73" i="57"/>
  <c r="H73" i="57" s="1"/>
  <c r="G72" i="57"/>
  <c r="H72" i="57" s="1"/>
  <c r="G69" i="57"/>
  <c r="H69" i="57" s="1"/>
  <c r="G68" i="57"/>
  <c r="H68" i="57" s="1"/>
  <c r="G65" i="57"/>
  <c r="H65" i="57" s="1"/>
  <c r="G64" i="57"/>
  <c r="H64" i="57" s="1"/>
  <c r="G62" i="57"/>
  <c r="H62" i="57" s="1"/>
  <c r="G61" i="57"/>
  <c r="H61" i="57" s="1"/>
  <c r="G59" i="57"/>
  <c r="H59" i="57" s="1"/>
  <c r="G58" i="57"/>
  <c r="H58" i="57" s="1"/>
  <c r="G56" i="57"/>
  <c r="H56" i="57" s="1"/>
  <c r="G55" i="57"/>
  <c r="H55" i="57" s="1"/>
  <c r="G51" i="57"/>
  <c r="H51" i="57" s="1"/>
  <c r="G50" i="57"/>
  <c r="H50" i="57" s="1"/>
  <c r="G48" i="57"/>
  <c r="H48" i="57" s="1"/>
  <c r="G47" i="57"/>
  <c r="H47" i="57" s="1"/>
  <c r="G43" i="57"/>
  <c r="H43" i="57" s="1"/>
  <c r="G42" i="57"/>
  <c r="H42" i="57" s="1"/>
  <c r="G40" i="57"/>
  <c r="H40" i="57" s="1"/>
  <c r="G39" i="57"/>
  <c r="H39" i="57" s="1"/>
  <c r="G37" i="57"/>
  <c r="H37" i="57" s="1"/>
  <c r="G34" i="57"/>
  <c r="H34" i="57" s="1"/>
  <c r="G33" i="57"/>
  <c r="H33" i="57" s="1"/>
  <c r="G31" i="57"/>
  <c r="H31" i="57" s="1"/>
  <c r="G30" i="57"/>
  <c r="H30" i="57" s="1"/>
  <c r="G27" i="57"/>
  <c r="H27" i="57" s="1"/>
  <c r="G26" i="57"/>
  <c r="H26" i="57" s="1"/>
  <c r="G24" i="57"/>
  <c r="H24" i="57" s="1"/>
  <c r="G23" i="57"/>
  <c r="H23" i="57" s="1"/>
  <c r="G21" i="57"/>
  <c r="H21" i="57" s="1"/>
  <c r="G20" i="57"/>
  <c r="G17" i="57"/>
  <c r="H17" i="57" s="1"/>
  <c r="G16" i="57"/>
  <c r="H16" i="57" s="1"/>
  <c r="G14" i="57"/>
  <c r="H14" i="57" s="1"/>
  <c r="G13" i="57"/>
  <c r="H13" i="57" s="1"/>
  <c r="G52" i="56"/>
  <c r="H52" i="56" s="1"/>
  <c r="G51" i="56"/>
  <c r="H51" i="56" s="1"/>
  <c r="G50" i="56"/>
  <c r="H50" i="56" s="1"/>
  <c r="G48" i="56"/>
  <c r="H48" i="56" s="1"/>
  <c r="G47" i="56"/>
  <c r="H47" i="56" s="1"/>
  <c r="G45" i="56"/>
  <c r="H45" i="56" s="1"/>
  <c r="G43" i="56"/>
  <c r="H43" i="56" s="1"/>
  <c r="G42" i="56"/>
  <c r="H42" i="56" s="1"/>
  <c r="G41" i="56"/>
  <c r="H41" i="56" s="1"/>
  <c r="G38" i="56"/>
  <c r="H38" i="56" s="1"/>
  <c r="G37" i="56"/>
  <c r="H37" i="56" s="1"/>
  <c r="G32" i="56"/>
  <c r="H32" i="56" s="1"/>
  <c r="G35" i="56"/>
  <c r="H35" i="56" s="1"/>
  <c r="G34" i="56"/>
  <c r="H34" i="56" s="1"/>
  <c r="G33" i="56"/>
  <c r="H33" i="56" s="1"/>
  <c r="G30" i="56"/>
  <c r="H30" i="56" s="1"/>
  <c r="G29" i="56"/>
  <c r="H29" i="56" s="1"/>
  <c r="G28" i="56"/>
  <c r="H28" i="56" s="1"/>
  <c r="F27" i="56"/>
  <c r="F54" i="56" s="1"/>
  <c r="E15" i="56" s="1"/>
  <c r="G25" i="56"/>
  <c r="H25" i="56" s="1"/>
  <c r="G24" i="56"/>
  <c r="H24" i="56" s="1"/>
  <c r="G22" i="56"/>
  <c r="H22" i="56" s="1"/>
  <c r="G20" i="56"/>
  <c r="H20" i="56" s="1"/>
  <c r="G17" i="56"/>
  <c r="H17" i="56" s="1"/>
  <c r="G16" i="56"/>
  <c r="G15" i="56"/>
  <c r="H15" i="56" s="1"/>
  <c r="G13" i="56"/>
  <c r="H13" i="56" s="1"/>
  <c r="G12" i="56"/>
  <c r="H12" i="56" s="1"/>
  <c r="E37" i="56" l="1"/>
  <c r="E13" i="56"/>
  <c r="P210" i="58"/>
  <c r="V210" i="58" s="1"/>
  <c r="P220" i="58"/>
  <c r="U192" i="58"/>
  <c r="U218" i="58"/>
  <c r="P193" i="58"/>
  <c r="F211" i="58"/>
  <c r="P211" i="58"/>
  <c r="F197" i="58"/>
  <c r="P197" i="58"/>
  <c r="F200" i="58"/>
  <c r="U161" i="54"/>
  <c r="P200" i="58"/>
  <c r="F201" i="58"/>
  <c r="P201" i="58"/>
  <c r="F219" i="58"/>
  <c r="P194" i="58"/>
  <c r="P219" i="58"/>
  <c r="P218" i="58" s="1"/>
  <c r="F205" i="58"/>
  <c r="P195" i="58"/>
  <c r="V195" i="58" s="1"/>
  <c r="U157" i="54"/>
  <c r="U152" i="54"/>
  <c r="F215" i="58"/>
  <c r="P215" i="58"/>
  <c r="U216" i="58"/>
  <c r="P205" i="58"/>
  <c r="O204" i="58"/>
  <c r="O142" i="54"/>
  <c r="P198" i="58"/>
  <c r="F207" i="58"/>
  <c r="F193" i="58"/>
  <c r="F217" i="58"/>
  <c r="P207" i="58"/>
  <c r="P216" i="58"/>
  <c r="U203" i="58"/>
  <c r="P203" i="58"/>
  <c r="O196" i="58"/>
  <c r="U214" i="58"/>
  <c r="F202" i="58"/>
  <c r="U202" i="58"/>
  <c r="V213" i="58"/>
  <c r="F220" i="58"/>
  <c r="F194" i="58"/>
  <c r="F198" i="58"/>
  <c r="E30" i="56"/>
  <c r="E32" i="56"/>
  <c r="E38" i="56"/>
  <c r="E12" i="56"/>
  <c r="E16" i="56"/>
  <c r="E20" i="56"/>
  <c r="E22" i="56"/>
  <c r="E24" i="56"/>
  <c r="E25" i="56"/>
  <c r="E27" i="56"/>
  <c r="E17" i="56"/>
  <c r="E28" i="56"/>
  <c r="E29" i="56"/>
  <c r="E33" i="56"/>
  <c r="E34" i="56"/>
  <c r="E35" i="56"/>
  <c r="G89" i="57"/>
  <c r="H20" i="57"/>
  <c r="H89" i="57" s="1"/>
  <c r="G27" i="56"/>
  <c r="H27" i="56" s="1"/>
  <c r="E48" i="56"/>
  <c r="E45" i="56"/>
  <c r="E43" i="56"/>
  <c r="E52" i="56"/>
  <c r="E42" i="56"/>
  <c r="E51" i="56"/>
  <c r="E41" i="56"/>
  <c r="E50" i="56"/>
  <c r="E47" i="56"/>
  <c r="H16" i="56"/>
  <c r="V211" i="58" l="1"/>
  <c r="V197" i="58"/>
  <c r="V200" i="58"/>
  <c r="V207" i="58"/>
  <c r="V201" i="58"/>
  <c r="U212" i="58"/>
  <c r="U209" i="58" s="1"/>
  <c r="F196" i="58"/>
  <c r="U165" i="54"/>
  <c r="F204" i="58"/>
  <c r="P192" i="58"/>
  <c r="U163" i="54"/>
  <c r="V219" i="58"/>
  <c r="F212" i="58"/>
  <c r="V205" i="58"/>
  <c r="E209" i="58"/>
  <c r="E226" i="58" s="1"/>
  <c r="U206" i="58"/>
  <c r="E142" i="54"/>
  <c r="U151" i="54"/>
  <c r="V193" i="58"/>
  <c r="P206" i="58"/>
  <c r="V206" i="58" s="1"/>
  <c r="V203" i="58"/>
  <c r="V217" i="58"/>
  <c r="V215" i="58"/>
  <c r="O153" i="54"/>
  <c r="U155" i="54"/>
  <c r="F216" i="58"/>
  <c r="V216" i="58" s="1"/>
  <c r="V194" i="58"/>
  <c r="P196" i="58"/>
  <c r="V202" i="58"/>
  <c r="V220" i="58"/>
  <c r="U196" i="58"/>
  <c r="U208" i="58"/>
  <c r="P208" i="58"/>
  <c r="V214" i="58"/>
  <c r="F192" i="58"/>
  <c r="P212" i="58"/>
  <c r="O209" i="58"/>
  <c r="O226" i="58" s="1"/>
  <c r="F218" i="58"/>
  <c r="V198" i="58"/>
  <c r="E158" i="54"/>
  <c r="G54" i="56"/>
  <c r="H54" i="56"/>
  <c r="E54" i="56"/>
  <c r="V212" i="58" l="1"/>
  <c r="V209" i="58" s="1"/>
  <c r="F209" i="58"/>
  <c r="F226" i="58" s="1"/>
  <c r="U204" i="58"/>
  <c r="V192" i="58"/>
  <c r="V218" i="58"/>
  <c r="P209" i="58"/>
  <c r="V208" i="58"/>
  <c r="V204" i="58" s="1"/>
  <c r="P204" i="58"/>
  <c r="P226" i="58" s="1"/>
  <c r="V196" i="58"/>
  <c r="U226" i="58"/>
  <c r="E86" i="57"/>
  <c r="E48" i="57"/>
  <c r="E85" i="57"/>
  <c r="E47" i="57"/>
  <c r="E83" i="57"/>
  <c r="E44" i="57"/>
  <c r="E82" i="57"/>
  <c r="E43" i="57"/>
  <c r="E80" i="57"/>
  <c r="E42" i="57"/>
  <c r="E79" i="57"/>
  <c r="E40" i="57"/>
  <c r="E76" i="57"/>
  <c r="E39" i="57"/>
  <c r="E20" i="57"/>
  <c r="E75" i="57"/>
  <c r="E37" i="57"/>
  <c r="E27" i="57"/>
  <c r="E73" i="57"/>
  <c r="E36" i="57"/>
  <c r="E72" i="57"/>
  <c r="E34" i="57"/>
  <c r="E69" i="57"/>
  <c r="E33" i="57"/>
  <c r="E68" i="57"/>
  <c r="E31" i="57"/>
  <c r="E67" i="57"/>
  <c r="E30" i="57"/>
  <c r="E65" i="57"/>
  <c r="E64" i="57"/>
  <c r="E26" i="57"/>
  <c r="E62" i="57"/>
  <c r="E24" i="57"/>
  <c r="E61" i="57"/>
  <c r="E23" i="57"/>
  <c r="E59" i="57"/>
  <c r="E21" i="57"/>
  <c r="E58" i="57"/>
  <c r="E56" i="57"/>
  <c r="E17" i="57"/>
  <c r="E16" i="57"/>
  <c r="E14" i="57"/>
  <c r="E13" i="57"/>
  <c r="E55" i="57"/>
  <c r="E54" i="57"/>
  <c r="E51" i="57"/>
  <c r="E50" i="57"/>
  <c r="C184" i="32"/>
  <c r="I183" i="32"/>
  <c r="J183" i="32"/>
  <c r="K184" i="32"/>
  <c r="K185" i="32"/>
  <c r="K186" i="32"/>
  <c r="G185" i="32"/>
  <c r="G186" i="32"/>
  <c r="G187" i="32"/>
  <c r="G188" i="32"/>
  <c r="G189" i="32"/>
  <c r="G190" i="32"/>
  <c r="G191" i="32"/>
  <c r="G184" i="32"/>
  <c r="F192" i="32"/>
  <c r="E192" i="32"/>
  <c r="V226" i="58" l="1"/>
  <c r="K183" i="32"/>
  <c r="U169" i="32"/>
  <c r="U168" i="32"/>
  <c r="U167" i="32" s="1"/>
  <c r="O167" i="32"/>
  <c r="U166" i="32"/>
  <c r="U164" i="32"/>
  <c r="U162" i="32"/>
  <c r="U160" i="32"/>
  <c r="U159" i="32"/>
  <c r="O158" i="32"/>
  <c r="U156" i="32"/>
  <c r="U154" i="32"/>
  <c r="U150" i="32"/>
  <c r="U149" i="32"/>
  <c r="U144" i="32"/>
  <c r="U143" i="32"/>
  <c r="U141" i="32"/>
  <c r="U140" i="32"/>
  <c r="U139" i="32"/>
  <c r="O138" i="32"/>
  <c r="B130" i="32"/>
  <c r="B128" i="32"/>
  <c r="U153" i="32" l="1"/>
  <c r="U158" i="32"/>
  <c r="U138" i="32"/>
  <c r="O175" i="32"/>
  <c r="U145" i="32"/>
  <c r="U142" i="32" s="1"/>
  <c r="U175" i="32" l="1"/>
  <c r="C236" i="17"/>
  <c r="B128" i="54"/>
  <c r="B130" i="54"/>
  <c r="B131" i="54"/>
  <c r="U169" i="54"/>
  <c r="U168" i="54"/>
  <c r="U166" i="54"/>
  <c r="U160" i="54"/>
  <c r="U159" i="54"/>
  <c r="U154" i="54"/>
  <c r="U153" i="54" s="1"/>
  <c r="U141" i="54"/>
  <c r="U140" i="54"/>
  <c r="U139" i="54"/>
  <c r="U144" i="54"/>
  <c r="U149" i="54"/>
  <c r="U143" i="54"/>
  <c r="U142" i="54" l="1"/>
  <c r="U167" i="54"/>
  <c r="U158" i="54"/>
  <c r="U138" i="54"/>
  <c r="U175" i="54" l="1"/>
  <c r="O167" i="54" l="1"/>
  <c r="O158" i="54"/>
  <c r="O138" i="54"/>
  <c r="E248" i="48"/>
  <c r="E242" i="48"/>
  <c r="E239" i="48"/>
  <c r="E233" i="48"/>
  <c r="E229" i="48"/>
  <c r="B112" i="48"/>
  <c r="B111" i="48"/>
  <c r="B110" i="48"/>
  <c r="B109" i="48"/>
  <c r="B90" i="48"/>
  <c r="B89" i="48"/>
  <c r="B88" i="48"/>
  <c r="B87" i="48"/>
  <c r="B68" i="48"/>
  <c r="B67" i="48"/>
  <c r="B66" i="48"/>
  <c r="B65" i="48"/>
  <c r="B46" i="48"/>
  <c r="B45" i="48"/>
  <c r="B44" i="48"/>
  <c r="B43" i="48"/>
  <c r="B24" i="48"/>
  <c r="B23" i="48"/>
  <c r="B22" i="48"/>
  <c r="B21" i="48"/>
  <c r="B111" i="50"/>
  <c r="B110" i="50"/>
  <c r="B109" i="50"/>
  <c r="B108" i="50"/>
  <c r="B89" i="50"/>
  <c r="B88" i="50"/>
  <c r="B87" i="50"/>
  <c r="B86" i="50"/>
  <c r="B67" i="50"/>
  <c r="B66" i="50"/>
  <c r="B65" i="50"/>
  <c r="B64" i="50"/>
  <c r="B45" i="50"/>
  <c r="B44" i="50"/>
  <c r="B43" i="50"/>
  <c r="B42" i="50"/>
  <c r="B23" i="50"/>
  <c r="B22" i="50"/>
  <c r="B21" i="50"/>
  <c r="B20" i="50"/>
  <c r="B111" i="34"/>
  <c r="B110" i="34"/>
  <c r="B109" i="34"/>
  <c r="B108" i="34"/>
  <c r="B89" i="34"/>
  <c r="B88" i="34"/>
  <c r="B87" i="34"/>
  <c r="B86" i="34"/>
  <c r="B67" i="34"/>
  <c r="B66" i="34"/>
  <c r="B65" i="34"/>
  <c r="B64" i="34"/>
  <c r="B45" i="34"/>
  <c r="B44" i="34"/>
  <c r="B43" i="34"/>
  <c r="B42" i="34"/>
  <c r="B23" i="34"/>
  <c r="B22" i="34"/>
  <c r="B21" i="34"/>
  <c r="B20" i="34"/>
  <c r="B111" i="33"/>
  <c r="B110" i="33"/>
  <c r="B109" i="33"/>
  <c r="B108" i="33"/>
  <c r="B89" i="33"/>
  <c r="B88" i="33"/>
  <c r="B87" i="33"/>
  <c r="B86" i="33"/>
  <c r="B67" i="33"/>
  <c r="B66" i="33"/>
  <c r="B65" i="33"/>
  <c r="B64" i="33"/>
  <c r="B45" i="33"/>
  <c r="B44" i="33"/>
  <c r="B43" i="33"/>
  <c r="B42" i="33"/>
  <c r="B23" i="33"/>
  <c r="B22" i="33"/>
  <c r="B21" i="33"/>
  <c r="B20" i="33"/>
  <c r="C82" i="32"/>
  <c r="C64" i="32"/>
  <c r="C46" i="32"/>
  <c r="C28" i="32"/>
  <c r="C10" i="32"/>
  <c r="C5" i="32"/>
  <c r="D5" i="32" s="1"/>
  <c r="K186" i="49"/>
  <c r="K188" i="49"/>
  <c r="K189" i="49"/>
  <c r="K190" i="49"/>
  <c r="K191" i="49"/>
  <c r="K192" i="49"/>
  <c r="K193" i="49"/>
  <c r="K195" i="49"/>
  <c r="K196" i="49"/>
  <c r="K197" i="49"/>
  <c r="K199" i="49"/>
  <c r="K200" i="49"/>
  <c r="K201" i="49"/>
  <c r="K202" i="49"/>
  <c r="K203" i="49"/>
  <c r="K204" i="49"/>
  <c r="K205" i="49"/>
  <c r="K206" i="49"/>
  <c r="K207" i="49"/>
  <c r="K208" i="49"/>
  <c r="K209" i="49"/>
  <c r="K216" i="49"/>
  <c r="K218" i="49"/>
  <c r="K219" i="49"/>
  <c r="K220" i="49"/>
  <c r="K221" i="49"/>
  <c r="K222" i="49"/>
  <c r="K223" i="49"/>
  <c r="K224" i="49"/>
  <c r="K225" i="49"/>
  <c r="K230" i="49"/>
  <c r="K231" i="49"/>
  <c r="K232" i="49"/>
  <c r="K185" i="49"/>
  <c r="B108" i="54"/>
  <c r="B87" i="54"/>
  <c r="B88" i="54"/>
  <c r="B89" i="54"/>
  <c r="B86" i="54"/>
  <c r="B65" i="54"/>
  <c r="B66" i="54"/>
  <c r="B67" i="54"/>
  <c r="B64" i="54"/>
  <c r="B43" i="54"/>
  <c r="B44" i="54"/>
  <c r="B45" i="54"/>
  <c r="B42" i="54"/>
  <c r="B111" i="54"/>
  <c r="B110" i="54"/>
  <c r="B109" i="54"/>
  <c r="B21" i="54"/>
  <c r="B22" i="54"/>
  <c r="B23" i="54"/>
  <c r="B20" i="54"/>
  <c r="O175" i="54" l="1"/>
  <c r="Q92" i="49" l="1"/>
  <c r="Q91" i="49"/>
  <c r="Q90" i="49"/>
  <c r="Q89" i="49"/>
  <c r="Q88" i="49"/>
  <c r="Q87" i="49"/>
  <c r="Q86" i="49"/>
  <c r="Q85" i="49"/>
  <c r="Q84" i="49"/>
  <c r="Q81" i="49"/>
  <c r="Q80" i="49"/>
  <c r="Q79" i="49"/>
  <c r="Q78" i="49"/>
  <c r="Q77" i="49"/>
  <c r="Q75" i="49"/>
  <c r="Q74" i="49"/>
  <c r="Q73" i="49"/>
  <c r="Q72" i="49"/>
  <c r="Q71" i="49"/>
  <c r="Q70" i="49"/>
  <c r="Q69" i="49"/>
  <c r="Q68" i="49"/>
  <c r="Q67" i="49"/>
  <c r="Q65" i="49"/>
  <c r="Q64" i="49"/>
  <c r="Q63" i="49"/>
  <c r="Q62" i="49"/>
  <c r="Q61" i="49"/>
  <c r="Q60" i="49"/>
  <c r="Q58" i="49"/>
  <c r="Q57" i="49"/>
  <c r="Q56" i="49"/>
  <c r="Q55" i="49"/>
  <c r="Q54" i="49"/>
  <c r="Q53" i="49"/>
  <c r="Q52" i="49"/>
  <c r="Q51" i="49"/>
  <c r="Q50" i="49"/>
  <c r="Q48" i="49"/>
  <c r="Q47" i="49"/>
  <c r="Q46" i="49"/>
  <c r="Q45" i="49"/>
  <c r="Q44" i="49"/>
  <c r="Q43" i="49"/>
  <c r="Q42" i="49"/>
  <c r="Q41" i="49"/>
  <c r="Q40" i="49"/>
  <c r="Q39" i="49"/>
  <c r="Q38" i="49"/>
  <c r="Q36" i="49"/>
  <c r="Q35" i="49"/>
  <c r="Q34" i="49"/>
  <c r="Q33" i="49"/>
  <c r="Q32" i="49"/>
  <c r="Q31" i="49"/>
  <c r="Q30" i="49"/>
  <c r="Q29" i="49"/>
  <c r="Q27" i="49"/>
  <c r="Q26" i="49"/>
  <c r="Q25" i="49"/>
  <c r="Q24" i="49"/>
  <c r="Q23" i="49"/>
  <c r="Q22" i="49"/>
  <c r="Q9" i="49"/>
  <c r="Q10" i="49"/>
  <c r="Q11" i="49"/>
  <c r="Q12" i="49"/>
  <c r="Q13" i="49"/>
  <c r="Q14" i="49"/>
  <c r="Q15" i="49"/>
  <c r="Q16" i="49"/>
  <c r="Q17" i="49"/>
  <c r="Q18" i="49"/>
  <c r="Q19" i="49"/>
  <c r="Q20" i="49"/>
  <c r="Q8" i="49"/>
  <c r="T92" i="49" l="1"/>
  <c r="S92" i="49"/>
  <c r="T91" i="49"/>
  <c r="S91" i="49"/>
  <c r="T90" i="49"/>
  <c r="S90" i="49"/>
  <c r="T89" i="49"/>
  <c r="S89" i="49"/>
  <c r="T88" i="49"/>
  <c r="S88" i="49"/>
  <c r="T87" i="49"/>
  <c r="S87" i="49"/>
  <c r="T86" i="49"/>
  <c r="S86" i="49"/>
  <c r="T85" i="49"/>
  <c r="S85" i="49"/>
  <c r="T84" i="49"/>
  <c r="S84" i="49"/>
  <c r="T81" i="49"/>
  <c r="S81" i="49"/>
  <c r="T80" i="49"/>
  <c r="S80" i="49"/>
  <c r="T79" i="49"/>
  <c r="S79" i="49"/>
  <c r="T78" i="49"/>
  <c r="S78" i="49"/>
  <c r="T77" i="49"/>
  <c r="S77" i="49"/>
  <c r="T75" i="49"/>
  <c r="S75" i="49"/>
  <c r="T74" i="49"/>
  <c r="S74" i="49"/>
  <c r="T73" i="49"/>
  <c r="S73" i="49"/>
  <c r="T72" i="49"/>
  <c r="S72" i="49"/>
  <c r="T71" i="49"/>
  <c r="S71" i="49"/>
  <c r="T70" i="49"/>
  <c r="S70" i="49"/>
  <c r="T69" i="49"/>
  <c r="S69" i="49"/>
  <c r="T68" i="49"/>
  <c r="S68" i="49"/>
  <c r="T67" i="49"/>
  <c r="S67" i="49"/>
  <c r="T65" i="49"/>
  <c r="S65" i="49"/>
  <c r="T64" i="49"/>
  <c r="S64" i="49"/>
  <c r="T63" i="49"/>
  <c r="S63" i="49"/>
  <c r="T62" i="49"/>
  <c r="S62" i="49"/>
  <c r="T61" i="49"/>
  <c r="S61" i="49"/>
  <c r="T60" i="49"/>
  <c r="S60" i="49"/>
  <c r="T58" i="49"/>
  <c r="S58" i="49"/>
  <c r="T57" i="49"/>
  <c r="S57" i="49"/>
  <c r="T56" i="49"/>
  <c r="S56" i="49"/>
  <c r="T55" i="49"/>
  <c r="S55" i="49"/>
  <c r="T54" i="49"/>
  <c r="S54" i="49"/>
  <c r="T53" i="49"/>
  <c r="S53" i="49"/>
  <c r="T52" i="49"/>
  <c r="S52" i="49"/>
  <c r="T51" i="49"/>
  <c r="S51" i="49"/>
  <c r="T50" i="49"/>
  <c r="S50" i="49"/>
  <c r="T48" i="49"/>
  <c r="S48" i="49"/>
  <c r="T47" i="49"/>
  <c r="S47" i="49"/>
  <c r="T46" i="49"/>
  <c r="S46" i="49"/>
  <c r="T45" i="49"/>
  <c r="S45" i="49"/>
  <c r="T44" i="49"/>
  <c r="S44" i="49"/>
  <c r="T43" i="49"/>
  <c r="S43" i="49"/>
  <c r="T42" i="49"/>
  <c r="S42" i="49"/>
  <c r="T41" i="49"/>
  <c r="S41" i="49"/>
  <c r="T40" i="49"/>
  <c r="S40" i="49"/>
  <c r="T39" i="49"/>
  <c r="S39" i="49"/>
  <c r="T38" i="49"/>
  <c r="S38" i="49"/>
  <c r="T36" i="49"/>
  <c r="S36" i="49"/>
  <c r="T35" i="49"/>
  <c r="S35" i="49"/>
  <c r="T34" i="49"/>
  <c r="S34" i="49"/>
  <c r="T33" i="49"/>
  <c r="S33" i="49"/>
  <c r="T32" i="49"/>
  <c r="S32" i="49"/>
  <c r="T31" i="49"/>
  <c r="S31" i="49"/>
  <c r="T30" i="49"/>
  <c r="S30" i="49"/>
  <c r="T29" i="49"/>
  <c r="S29" i="49"/>
  <c r="T27" i="49"/>
  <c r="S27" i="49"/>
  <c r="T26" i="49"/>
  <c r="S26" i="49"/>
  <c r="T25" i="49"/>
  <c r="S25" i="49"/>
  <c r="T24" i="49"/>
  <c r="S24" i="49"/>
  <c r="T23" i="49"/>
  <c r="S23" i="49"/>
  <c r="T22" i="49"/>
  <c r="S22" i="49"/>
  <c r="T20" i="49"/>
  <c r="S20" i="49"/>
  <c r="T19" i="49"/>
  <c r="S19" i="49"/>
  <c r="T18" i="49"/>
  <c r="S18" i="49"/>
  <c r="T17" i="49"/>
  <c r="S17" i="49"/>
  <c r="T16" i="49"/>
  <c r="S16" i="49"/>
  <c r="T15" i="49"/>
  <c r="S15" i="49"/>
  <c r="T14" i="49"/>
  <c r="S14" i="49"/>
  <c r="T13" i="49"/>
  <c r="S13" i="49"/>
  <c r="T12" i="49"/>
  <c r="S12" i="49"/>
  <c r="T11" i="49"/>
  <c r="S11" i="49"/>
  <c r="T10" i="49"/>
  <c r="S10" i="49"/>
  <c r="T9" i="49"/>
  <c r="S9" i="49"/>
  <c r="T8" i="49"/>
  <c r="S8" i="49"/>
  <c r="E151" i="55"/>
  <c r="E89" i="55"/>
  <c r="E58" i="55"/>
  <c r="E27" i="55"/>
  <c r="E26" i="55"/>
  <c r="V76" i="49"/>
  <c r="V21" i="49"/>
  <c r="V92" i="49"/>
  <c r="V91" i="49"/>
  <c r="V90" i="49"/>
  <c r="V89" i="49"/>
  <c r="V88" i="49"/>
  <c r="V87" i="49"/>
  <c r="V86" i="49"/>
  <c r="V85" i="49"/>
  <c r="V84" i="49"/>
  <c r="V81" i="49"/>
  <c r="V80" i="49"/>
  <c r="V79" i="49"/>
  <c r="V78" i="49"/>
  <c r="V77" i="49"/>
  <c r="V75" i="49"/>
  <c r="V74" i="49"/>
  <c r="V73" i="49"/>
  <c r="V72" i="49"/>
  <c r="V71" i="49"/>
  <c r="V70" i="49"/>
  <c r="V69" i="49"/>
  <c r="V68" i="49"/>
  <c r="V67" i="49"/>
  <c r="V66" i="49" s="1"/>
  <c r="V65" i="49"/>
  <c r="V64" i="49"/>
  <c r="V63" i="49"/>
  <c r="V62" i="49"/>
  <c r="V61" i="49"/>
  <c r="V60" i="49"/>
  <c r="V58" i="49"/>
  <c r="V57" i="49"/>
  <c r="V56" i="49"/>
  <c r="V55" i="49"/>
  <c r="V54" i="49"/>
  <c r="V53" i="49"/>
  <c r="V52" i="49"/>
  <c r="V51" i="49"/>
  <c r="V50" i="49"/>
  <c r="V48" i="49"/>
  <c r="V47" i="49"/>
  <c r="V46" i="49"/>
  <c r="V45" i="49"/>
  <c r="V44" i="49"/>
  <c r="V43" i="49"/>
  <c r="V42" i="49"/>
  <c r="V41" i="49"/>
  <c r="V40" i="49"/>
  <c r="V39" i="49"/>
  <c r="V38" i="49"/>
  <c r="V37" i="49" s="1"/>
  <c r="V36" i="49"/>
  <c r="V35" i="49"/>
  <c r="V34" i="49"/>
  <c r="V33" i="49"/>
  <c r="V32" i="49"/>
  <c r="V31" i="49"/>
  <c r="V30" i="49"/>
  <c r="E120" i="55" s="1"/>
  <c r="V29" i="49"/>
  <c r="V27" i="49"/>
  <c r="V26" i="49"/>
  <c r="V25" i="49"/>
  <c r="V24" i="49"/>
  <c r="V23" i="49"/>
  <c r="V22" i="49"/>
  <c r="V9" i="49"/>
  <c r="V10" i="49"/>
  <c r="V11" i="49"/>
  <c r="V12" i="49"/>
  <c r="V13" i="49"/>
  <c r="V14" i="49"/>
  <c r="V15" i="49"/>
  <c r="V16" i="49"/>
  <c r="V17" i="49"/>
  <c r="V18" i="49"/>
  <c r="V19" i="49"/>
  <c r="V20" i="49"/>
  <c r="V8" i="49"/>
  <c r="C99" i="48"/>
  <c r="C77" i="48"/>
  <c r="C55" i="48"/>
  <c r="C33" i="48"/>
  <c r="C11" i="48"/>
  <c r="C6" i="48"/>
  <c r="D6" i="48" s="1"/>
  <c r="C98" i="50"/>
  <c r="C76" i="50"/>
  <c r="C54" i="50"/>
  <c r="C32" i="50"/>
  <c r="C10" i="50"/>
  <c r="C5" i="50"/>
  <c r="D5" i="50" s="1"/>
  <c r="C98" i="34"/>
  <c r="C76" i="34"/>
  <c r="C54" i="34"/>
  <c r="C32" i="34"/>
  <c r="C10" i="34"/>
  <c r="C5" i="34"/>
  <c r="D5" i="34" s="1"/>
  <c r="C98" i="33"/>
  <c r="C76" i="33"/>
  <c r="C54" i="33"/>
  <c r="C32" i="33"/>
  <c r="C10" i="33"/>
  <c r="C5" i="33"/>
  <c r="D5" i="33" s="1"/>
  <c r="C98" i="54"/>
  <c r="C76" i="54"/>
  <c r="C54" i="54"/>
  <c r="C32" i="54"/>
  <c r="C10" i="54"/>
  <c r="C5" i="54"/>
  <c r="V28" i="49" l="1"/>
  <c r="V7" i="49"/>
  <c r="V49" i="49"/>
  <c r="V83" i="49"/>
  <c r="V59" i="49"/>
  <c r="C12" i="34"/>
  <c r="C12" i="33"/>
  <c r="D5" i="54"/>
  <c r="H228" i="48" l="1"/>
  <c r="H227" i="48"/>
  <c r="H183" i="48"/>
  <c r="H182" i="48"/>
  <c r="H138" i="48"/>
  <c r="H137" i="48"/>
  <c r="H239" i="34"/>
  <c r="H238" i="34"/>
  <c r="F220" i="48"/>
  <c r="F175" i="48"/>
  <c r="F129" i="48"/>
  <c r="F222" i="48"/>
  <c r="F238" i="48" s="1"/>
  <c r="B222" i="48"/>
  <c r="F177" i="48"/>
  <c r="F191" i="48" s="1"/>
  <c r="B177" i="48"/>
  <c r="F131" i="48"/>
  <c r="B131" i="48"/>
  <c r="E203" i="48"/>
  <c r="E197" i="48"/>
  <c r="E194" i="48"/>
  <c r="E188" i="48"/>
  <c r="E184" i="48"/>
  <c r="E158" i="48"/>
  <c r="E152" i="48"/>
  <c r="E149" i="48"/>
  <c r="E143" i="48"/>
  <c r="E139" i="48"/>
  <c r="F137" i="50"/>
  <c r="F139" i="50"/>
  <c r="B139" i="50"/>
  <c r="F230" i="34"/>
  <c r="B231" i="34"/>
  <c r="B233" i="34"/>
  <c r="B230" i="34"/>
  <c r="F228" i="34"/>
  <c r="F175" i="34"/>
  <c r="B131" i="32"/>
  <c r="F125" i="32"/>
  <c r="B125" i="32"/>
  <c r="F124" i="32"/>
  <c r="B124" i="32"/>
  <c r="F122" i="32"/>
  <c r="X145" i="32" s="1"/>
  <c r="B10" i="17"/>
  <c r="B9" i="17"/>
  <c r="B8" i="17"/>
  <c r="B7" i="17"/>
  <c r="B5" i="17"/>
  <c r="A5" i="17"/>
  <c r="B4" i="17"/>
  <c r="B3" i="17"/>
  <c r="E5" i="55"/>
  <c r="E311" i="55"/>
  <c r="C84" i="32" s="1"/>
  <c r="E293" i="55"/>
  <c r="C66" i="32" s="1"/>
  <c r="E275" i="55"/>
  <c r="C48" i="32" s="1"/>
  <c r="E257" i="55"/>
  <c r="C30" i="32" s="1"/>
  <c r="E239" i="55"/>
  <c r="C12" i="32" s="1"/>
  <c r="C85" i="32"/>
  <c r="C81" i="32"/>
  <c r="C80" i="32"/>
  <c r="C67" i="32"/>
  <c r="C63" i="32"/>
  <c r="C62" i="32"/>
  <c r="C49" i="32"/>
  <c r="C45" i="32"/>
  <c r="C44" i="32"/>
  <c r="C31" i="32"/>
  <c r="C27" i="32"/>
  <c r="C26" i="32"/>
  <c r="C13" i="32"/>
  <c r="C9" i="32"/>
  <c r="C8" i="32"/>
  <c r="B80" i="32"/>
  <c r="B62" i="32"/>
  <c r="B44" i="32"/>
  <c r="B26" i="32"/>
  <c r="B8" i="32"/>
  <c r="G102" i="48"/>
  <c r="G80" i="48"/>
  <c r="G58" i="48"/>
  <c r="G36" i="48"/>
  <c r="G14" i="48"/>
  <c r="Q83" i="49"/>
  <c r="Q76" i="49"/>
  <c r="Q66" i="49"/>
  <c r="Q59" i="49"/>
  <c r="Q49" i="49"/>
  <c r="Q37" i="49"/>
  <c r="Q28" i="49"/>
  <c r="Q21" i="49"/>
  <c r="Q7" i="49"/>
  <c r="R8" i="49"/>
  <c r="R92" i="49"/>
  <c r="R91" i="49"/>
  <c r="R90" i="49"/>
  <c r="R89" i="49"/>
  <c r="R88" i="49"/>
  <c r="R87" i="49"/>
  <c r="R86" i="49"/>
  <c r="R85" i="49"/>
  <c r="R84" i="49"/>
  <c r="R81" i="49"/>
  <c r="R80" i="49"/>
  <c r="R79" i="49"/>
  <c r="R78" i="49"/>
  <c r="E59" i="55" s="1"/>
  <c r="R77" i="49"/>
  <c r="R75" i="49"/>
  <c r="R74" i="49"/>
  <c r="R73" i="49"/>
  <c r="R72" i="49"/>
  <c r="R71" i="49"/>
  <c r="R70" i="49"/>
  <c r="R69" i="49"/>
  <c r="R68" i="49"/>
  <c r="R67" i="49"/>
  <c r="R65" i="49"/>
  <c r="R64" i="49"/>
  <c r="R63" i="49"/>
  <c r="R62" i="49"/>
  <c r="R61" i="49"/>
  <c r="R60" i="49"/>
  <c r="R59" i="49" s="1"/>
  <c r="R58" i="49"/>
  <c r="R57" i="49"/>
  <c r="R56" i="49"/>
  <c r="R55" i="49"/>
  <c r="R54" i="49"/>
  <c r="R53" i="49"/>
  <c r="R52" i="49"/>
  <c r="E90" i="55" s="1"/>
  <c r="R51" i="49"/>
  <c r="R50" i="49"/>
  <c r="R48" i="49"/>
  <c r="R47" i="49"/>
  <c r="R46" i="49"/>
  <c r="R45" i="49"/>
  <c r="E152" i="55" s="1"/>
  <c r="R44" i="49"/>
  <c r="R43" i="49"/>
  <c r="R42" i="49"/>
  <c r="R41" i="49"/>
  <c r="R40" i="49"/>
  <c r="R39" i="49"/>
  <c r="R38" i="49"/>
  <c r="R37" i="49" s="1"/>
  <c r="R36" i="49"/>
  <c r="R35" i="49"/>
  <c r="R34" i="49"/>
  <c r="R33" i="49"/>
  <c r="R32" i="49"/>
  <c r="R31" i="49"/>
  <c r="R30" i="49"/>
  <c r="E121" i="55" s="1"/>
  <c r="R29" i="49"/>
  <c r="R27" i="49"/>
  <c r="R26" i="49"/>
  <c r="R25" i="49"/>
  <c r="R24" i="49"/>
  <c r="R23" i="49"/>
  <c r="R22" i="49"/>
  <c r="R9" i="49"/>
  <c r="R10" i="49"/>
  <c r="R11" i="49"/>
  <c r="R12" i="49"/>
  <c r="R13" i="49"/>
  <c r="R14" i="49"/>
  <c r="R15" i="49"/>
  <c r="R16" i="49"/>
  <c r="E28" i="55" s="1"/>
  <c r="R17" i="49"/>
  <c r="R18" i="49"/>
  <c r="R19" i="49"/>
  <c r="R20" i="49"/>
  <c r="C101" i="50"/>
  <c r="C79" i="50"/>
  <c r="C57" i="50"/>
  <c r="C35" i="50"/>
  <c r="C13" i="50"/>
  <c r="C97" i="50"/>
  <c r="C96" i="50"/>
  <c r="B96" i="50"/>
  <c r="C75" i="50"/>
  <c r="C74" i="50"/>
  <c r="B74" i="50"/>
  <c r="C53" i="50"/>
  <c r="C52" i="50"/>
  <c r="B52" i="50"/>
  <c r="C31" i="50"/>
  <c r="C30" i="50"/>
  <c r="B30" i="50"/>
  <c r="C9" i="50"/>
  <c r="C8" i="50"/>
  <c r="B8" i="50"/>
  <c r="K102" i="48"/>
  <c r="C98" i="48"/>
  <c r="C97" i="48"/>
  <c r="B97" i="48"/>
  <c r="K80" i="48"/>
  <c r="C76" i="48"/>
  <c r="C75" i="48"/>
  <c r="B75" i="48"/>
  <c r="K58" i="48"/>
  <c r="C54" i="48"/>
  <c r="C53" i="48"/>
  <c r="B53" i="48"/>
  <c r="K36" i="48"/>
  <c r="C32" i="48"/>
  <c r="C31" i="48"/>
  <c r="B31" i="48"/>
  <c r="K14" i="48"/>
  <c r="C10" i="48"/>
  <c r="C9" i="48"/>
  <c r="B9" i="48"/>
  <c r="C101" i="34"/>
  <c r="C79" i="34"/>
  <c r="C57" i="34"/>
  <c r="C35" i="34"/>
  <c r="C13" i="34"/>
  <c r="K101" i="34"/>
  <c r="K79" i="34"/>
  <c r="K57" i="34"/>
  <c r="K35" i="34"/>
  <c r="K13" i="34"/>
  <c r="C102" i="48"/>
  <c r="C80" i="48"/>
  <c r="C58" i="48"/>
  <c r="E54" i="55"/>
  <c r="R28" i="49" l="1"/>
  <c r="F265" i="34"/>
  <c r="F264" i="34"/>
  <c r="F252" i="34"/>
  <c r="F249" i="34"/>
  <c r="F245" i="34"/>
  <c r="F242" i="34"/>
  <c r="F262" i="34"/>
  <c r="F253" i="34"/>
  <c r="F250" i="34"/>
  <c r="F246" i="34"/>
  <c r="F261" i="34"/>
  <c r="F260" i="34"/>
  <c r="F259" i="34"/>
  <c r="F258" i="34"/>
  <c r="F257" i="34"/>
  <c r="F256" i="34"/>
  <c r="F241" i="34"/>
  <c r="F240" i="34" s="1"/>
  <c r="R83" i="49"/>
  <c r="R66" i="49"/>
  <c r="R7" i="49"/>
  <c r="R21" i="49"/>
  <c r="R49" i="49"/>
  <c r="R76" i="49"/>
  <c r="P154" i="32"/>
  <c r="P152" i="32"/>
  <c r="V152" i="32" s="1"/>
  <c r="P150" i="32"/>
  <c r="P149" i="32"/>
  <c r="P148" i="32"/>
  <c r="P147" i="32"/>
  <c r="P146" i="32"/>
  <c r="P144" i="32"/>
  <c r="P143" i="32"/>
  <c r="P141" i="32"/>
  <c r="V141" i="32" s="1"/>
  <c r="P140" i="32"/>
  <c r="P164" i="32"/>
  <c r="P169" i="32"/>
  <c r="P139" i="32"/>
  <c r="P168" i="32"/>
  <c r="P166" i="32"/>
  <c r="P157" i="32"/>
  <c r="V157" i="32" s="1"/>
  <c r="P155" i="32"/>
  <c r="P162" i="32"/>
  <c r="P160" i="32"/>
  <c r="P156" i="32"/>
  <c r="P159" i="32"/>
  <c r="V159" i="32" s="1"/>
  <c r="P161" i="32"/>
  <c r="P163" i="32"/>
  <c r="P165" i="32"/>
  <c r="F163" i="32"/>
  <c r="F161" i="32"/>
  <c r="F156" i="32"/>
  <c r="F151" i="32"/>
  <c r="V151" i="32" s="1"/>
  <c r="F164" i="32"/>
  <c r="F150" i="32"/>
  <c r="V150" i="32" s="1"/>
  <c r="F169" i="32"/>
  <c r="F162" i="32"/>
  <c r="F160" i="32"/>
  <c r="F154" i="32"/>
  <c r="F149" i="32"/>
  <c r="F140" i="32"/>
  <c r="F168" i="32"/>
  <c r="F166" i="32"/>
  <c r="F143" i="32"/>
  <c r="F165" i="32"/>
  <c r="F144" i="32"/>
  <c r="F139" i="32"/>
  <c r="C36" i="48"/>
  <c r="D5" i="56"/>
  <c r="D5" i="57"/>
  <c r="B11" i="17"/>
  <c r="V145" i="32"/>
  <c r="F198" i="48"/>
  <c r="F193" i="48"/>
  <c r="F192" i="48"/>
  <c r="F200" i="48"/>
  <c r="F201" i="48"/>
  <c r="F247" i="48"/>
  <c r="F234" i="48"/>
  <c r="F189" i="48"/>
  <c r="F235" i="48"/>
  <c r="F236" i="48"/>
  <c r="F237" i="48"/>
  <c r="F190" i="48"/>
  <c r="F144" i="48"/>
  <c r="F145" i="48"/>
  <c r="F147" i="48"/>
  <c r="E166" i="48"/>
  <c r="F199" i="48"/>
  <c r="F185" i="48"/>
  <c r="F186" i="48"/>
  <c r="F230" i="48"/>
  <c r="F231" i="48"/>
  <c r="F240" i="48"/>
  <c r="F241" i="48"/>
  <c r="F204" i="48"/>
  <c r="F205" i="48"/>
  <c r="F243" i="48"/>
  <c r="E211" i="48"/>
  <c r="F140" i="48"/>
  <c r="F157" i="48"/>
  <c r="F141" i="48"/>
  <c r="F244" i="48"/>
  <c r="F245" i="48"/>
  <c r="F246" i="48"/>
  <c r="F195" i="48"/>
  <c r="F249" i="48"/>
  <c r="F196" i="48"/>
  <c r="E256" i="48"/>
  <c r="F250" i="48"/>
  <c r="F187" i="48"/>
  <c r="F202" i="48"/>
  <c r="F232" i="48"/>
  <c r="E271" i="34"/>
  <c r="F263" i="34" l="1"/>
  <c r="F251" i="34"/>
  <c r="F254" i="34" s="1"/>
  <c r="V163" i="32"/>
  <c r="P142" i="32"/>
  <c r="F142" i="32"/>
  <c r="P153" i="32"/>
  <c r="V165" i="32"/>
  <c r="V166" i="32"/>
  <c r="V161" i="32"/>
  <c r="V155" i="32"/>
  <c r="V148" i="32"/>
  <c r="V146" i="32"/>
  <c r="V147" i="32"/>
  <c r="P138" i="32"/>
  <c r="V143" i="32"/>
  <c r="V149" i="32"/>
  <c r="V144" i="32"/>
  <c r="V160" i="32"/>
  <c r="V162" i="32"/>
  <c r="V164" i="32"/>
  <c r="P158" i="32"/>
  <c r="P167" i="32"/>
  <c r="F197" i="48"/>
  <c r="F203" i="48"/>
  <c r="F239" i="48"/>
  <c r="F248" i="48"/>
  <c r="F158" i="48"/>
  <c r="F242" i="48"/>
  <c r="F139" i="48"/>
  <c r="F194" i="48"/>
  <c r="F149" i="48"/>
  <c r="F233" i="48"/>
  <c r="F188" i="48"/>
  <c r="F143" i="48"/>
  <c r="F229" i="48"/>
  <c r="F184" i="48"/>
  <c r="F152" i="48"/>
  <c r="V158" i="32" l="1"/>
  <c r="V142" i="32"/>
  <c r="P175" i="32"/>
  <c r="F166" i="48"/>
  <c r="F256" i="48"/>
  <c r="F211" i="48"/>
  <c r="B179" i="34"/>
  <c r="B178" i="34"/>
  <c r="F177" i="34"/>
  <c r="B181" i="34"/>
  <c r="B177" i="34"/>
  <c r="B126" i="34"/>
  <c r="B125" i="34"/>
  <c r="G101" i="34"/>
  <c r="G79" i="34"/>
  <c r="G57" i="34"/>
  <c r="G35" i="34"/>
  <c r="G13" i="34"/>
  <c r="F124" i="34"/>
  <c r="F122" i="34"/>
  <c r="C97" i="34"/>
  <c r="C96" i="34"/>
  <c r="B96" i="34"/>
  <c r="C75" i="34"/>
  <c r="C74" i="34"/>
  <c r="B74" i="34"/>
  <c r="C53" i="34"/>
  <c r="C52" i="34"/>
  <c r="B52" i="34"/>
  <c r="C31" i="34"/>
  <c r="C30" i="34"/>
  <c r="B30" i="34"/>
  <c r="C9" i="34"/>
  <c r="C8" i="34"/>
  <c r="B8" i="34"/>
  <c r="F122" i="33"/>
  <c r="F124" i="33"/>
  <c r="B125" i="33"/>
  <c r="B124" i="33"/>
  <c r="C101" i="33"/>
  <c r="C79" i="33"/>
  <c r="C57" i="33"/>
  <c r="C35" i="33"/>
  <c r="C13" i="33"/>
  <c r="C97" i="33"/>
  <c r="C96" i="33"/>
  <c r="B96" i="33"/>
  <c r="C75" i="33"/>
  <c r="C74" i="33"/>
  <c r="B74" i="33"/>
  <c r="C53" i="33"/>
  <c r="C52" i="33"/>
  <c r="B52" i="33"/>
  <c r="C31" i="33"/>
  <c r="C30" i="33"/>
  <c r="B30" i="33"/>
  <c r="C9" i="33"/>
  <c r="C8" i="33"/>
  <c r="B8" i="33"/>
  <c r="C101" i="54"/>
  <c r="C97" i="54"/>
  <c r="C96" i="54"/>
  <c r="B96" i="54"/>
  <c r="C79" i="54"/>
  <c r="C75" i="54"/>
  <c r="C74" i="54"/>
  <c r="B74" i="54"/>
  <c r="C57" i="54"/>
  <c r="C53" i="54"/>
  <c r="C52" i="54"/>
  <c r="B52" i="54"/>
  <c r="D161" i="55"/>
  <c r="E160" i="55"/>
  <c r="D130" i="55"/>
  <c r="E129" i="55"/>
  <c r="D99" i="55"/>
  <c r="E98" i="55"/>
  <c r="D68" i="55"/>
  <c r="E67" i="55"/>
  <c r="D37" i="55"/>
  <c r="C35" i="54"/>
  <c r="C31" i="54"/>
  <c r="C30" i="54"/>
  <c r="B30" i="54"/>
  <c r="C9" i="54"/>
  <c r="C13" i="54"/>
  <c r="C8" i="54"/>
  <c r="B8" i="54"/>
  <c r="E23" i="55"/>
  <c r="C14" i="48" s="1"/>
  <c r="E36" i="55"/>
  <c r="E150" i="55"/>
  <c r="E119" i="55"/>
  <c r="E88" i="55"/>
  <c r="E57" i="55"/>
  <c r="F215" i="34" l="1"/>
  <c r="F199" i="34"/>
  <c r="F214" i="34"/>
  <c r="F192" i="34"/>
  <c r="F212" i="34"/>
  <c r="F196" i="34"/>
  <c r="F211" i="34"/>
  <c r="F210" i="34"/>
  <c r="F193" i="34"/>
  <c r="F209" i="34"/>
  <c r="F208" i="34"/>
  <c r="F207" i="34"/>
  <c r="F191" i="34"/>
  <c r="F206" i="34"/>
  <c r="F205" i="34"/>
  <c r="F195" i="34"/>
  <c r="F203" i="34"/>
  <c r="F200" i="34"/>
  <c r="F202" i="34"/>
  <c r="F158" i="34"/>
  <c r="F154" i="34"/>
  <c r="F156" i="34"/>
  <c r="F153" i="34"/>
  <c r="F147" i="34"/>
  <c r="C100" i="34"/>
  <c r="C100" i="33"/>
  <c r="C42" i="54"/>
  <c r="C42" i="33"/>
  <c r="C42" i="50"/>
  <c r="C43" i="48"/>
  <c r="C42" i="34"/>
  <c r="C20" i="54"/>
  <c r="C20" i="34"/>
  <c r="C20" i="33"/>
  <c r="C20" i="50"/>
  <c r="C21" i="48"/>
  <c r="C86" i="54"/>
  <c r="C86" i="34"/>
  <c r="C86" i="33"/>
  <c r="C86" i="50"/>
  <c r="C87" i="48"/>
  <c r="C108" i="54"/>
  <c r="C108" i="50"/>
  <c r="C108" i="33"/>
  <c r="C109" i="48"/>
  <c r="C108" i="34"/>
  <c r="C64" i="54"/>
  <c r="C65" i="48"/>
  <c r="C64" i="33"/>
  <c r="C64" i="34"/>
  <c r="C64" i="50"/>
  <c r="C34" i="33"/>
  <c r="C34" i="34"/>
  <c r="C56" i="34"/>
  <c r="C56" i="33"/>
  <c r="C78" i="33"/>
  <c r="C78" i="34"/>
  <c r="F140" i="33"/>
  <c r="F139" i="33"/>
  <c r="F150" i="34"/>
  <c r="F159" i="34"/>
  <c r="F146" i="34"/>
  <c r="F143" i="34"/>
  <c r="F142" i="34"/>
  <c r="C56" i="54"/>
  <c r="C57" i="48"/>
  <c r="C56" i="50"/>
  <c r="C100" i="54"/>
  <c r="C100" i="50"/>
  <c r="C101" i="48"/>
  <c r="C78" i="54"/>
  <c r="C79" i="48"/>
  <c r="C78" i="50"/>
  <c r="C34" i="54"/>
  <c r="C35" i="48"/>
  <c r="C34" i="50"/>
  <c r="C12" i="54"/>
  <c r="C13" i="48"/>
  <c r="C12" i="50"/>
  <c r="F152" i="34"/>
  <c r="F155" i="34"/>
  <c r="F157" i="34"/>
  <c r="F161" i="34"/>
  <c r="F162" i="34"/>
  <c r="F138" i="34"/>
  <c r="F139" i="34"/>
  <c r="F140" i="34"/>
  <c r="F149" i="34"/>
  <c r="E329" i="55"/>
  <c r="E161" i="55"/>
  <c r="E130" i="55"/>
  <c r="E99" i="55"/>
  <c r="E68" i="55"/>
  <c r="E37" i="55"/>
  <c r="F201" i="34" l="1"/>
  <c r="F204" i="34"/>
  <c r="F190" i="34"/>
  <c r="F213" i="34"/>
  <c r="F160" i="34"/>
  <c r="F148" i="34"/>
  <c r="F137" i="34"/>
  <c r="E330" i="55"/>
  <c r="D330" i="55" s="1"/>
  <c r="E326" i="55" l="1"/>
  <c r="E167" i="54"/>
  <c r="E153" i="54"/>
  <c r="E138" i="54"/>
  <c r="F125" i="54"/>
  <c r="B125" i="54"/>
  <c r="B124" i="54"/>
  <c r="F122" i="54"/>
  <c r="P147" i="54" l="1"/>
  <c r="P146" i="54"/>
  <c r="P154" i="54"/>
  <c r="P140" i="54"/>
  <c r="P156" i="54"/>
  <c r="P166" i="54"/>
  <c r="P150" i="54"/>
  <c r="P149" i="54"/>
  <c r="P164" i="54"/>
  <c r="P159" i="54"/>
  <c r="P162" i="54"/>
  <c r="P144" i="54"/>
  <c r="P141" i="54"/>
  <c r="P143" i="54"/>
  <c r="P160" i="54"/>
  <c r="P139" i="54"/>
  <c r="P157" i="54"/>
  <c r="P152" i="54"/>
  <c r="P148" i="54"/>
  <c r="P165" i="54"/>
  <c r="P161" i="54"/>
  <c r="P163" i="54"/>
  <c r="P155" i="54"/>
  <c r="F166" i="54"/>
  <c r="F164" i="54"/>
  <c r="F162" i="54"/>
  <c r="F163" i="54"/>
  <c r="F165" i="54"/>
  <c r="F160" i="54"/>
  <c r="F161" i="54"/>
  <c r="F156" i="54"/>
  <c r="F154" i="54"/>
  <c r="F149" i="54"/>
  <c r="F144" i="54"/>
  <c r="F140" i="54"/>
  <c r="F150" i="54"/>
  <c r="F139" i="54"/>
  <c r="F143" i="54"/>
  <c r="F151" i="54"/>
  <c r="P169" i="54"/>
  <c r="P168" i="54"/>
  <c r="E334" i="55"/>
  <c r="C6" i="34"/>
  <c r="C6" i="50"/>
  <c r="C6" i="33"/>
  <c r="C7" i="48"/>
  <c r="C6" i="54"/>
  <c r="E175" i="54"/>
  <c r="F169" i="54"/>
  <c r="F168" i="54"/>
  <c r="V149" i="54" l="1"/>
  <c r="V146" i="54"/>
  <c r="V147" i="54"/>
  <c r="V156" i="54"/>
  <c r="P142" i="54"/>
  <c r="V165" i="54"/>
  <c r="V163" i="54"/>
  <c r="V151" i="54"/>
  <c r="V157" i="54"/>
  <c r="P158" i="54"/>
  <c r="V162" i="54"/>
  <c r="V164" i="54"/>
  <c r="V150" i="54"/>
  <c r="V155" i="54"/>
  <c r="V148" i="54"/>
  <c r="V161" i="54"/>
  <c r="V144" i="54"/>
  <c r="V152" i="54"/>
  <c r="P153" i="54"/>
  <c r="F142" i="54"/>
  <c r="F158" i="54"/>
  <c r="V160" i="54"/>
  <c r="V154" i="54"/>
  <c r="P167" i="54"/>
  <c r="V139" i="54"/>
  <c r="V168" i="54"/>
  <c r="P138" i="54"/>
  <c r="V169" i="54"/>
  <c r="V159" i="54"/>
  <c r="V166" i="54"/>
  <c r="V143" i="54"/>
  <c r="V140" i="54"/>
  <c r="V141" i="54"/>
  <c r="C11" i="33"/>
  <c r="C33" i="33"/>
  <c r="C55" i="33"/>
  <c r="C77" i="33"/>
  <c r="C99" i="33"/>
  <c r="C12" i="48"/>
  <c r="C56" i="48"/>
  <c r="C100" i="48"/>
  <c r="C78" i="48"/>
  <c r="C34" i="48"/>
  <c r="C77" i="50"/>
  <c r="C55" i="50"/>
  <c r="C33" i="50"/>
  <c r="C11" i="50"/>
  <c r="C99" i="50"/>
  <c r="C77" i="34"/>
  <c r="C99" i="34"/>
  <c r="C55" i="34"/>
  <c r="C33" i="34"/>
  <c r="C11" i="34"/>
  <c r="C11" i="54"/>
  <c r="E20" i="54" s="1"/>
  <c r="C99" i="54"/>
  <c r="E108" i="54" s="1"/>
  <c r="C33" i="54"/>
  <c r="E42" i="54" s="1"/>
  <c r="C55" i="54"/>
  <c r="E64" i="54" s="1"/>
  <c r="C77" i="54"/>
  <c r="E86" i="54" s="1"/>
  <c r="F138" i="54"/>
  <c r="F153" i="54"/>
  <c r="F167" i="54"/>
  <c r="C107" i="33" l="1"/>
  <c r="C106" i="33"/>
  <c r="C105" i="33"/>
  <c r="C104" i="33"/>
  <c r="C103" i="33"/>
  <c r="C102" i="33"/>
  <c r="C84" i="33"/>
  <c r="C85" i="33"/>
  <c r="C80" i="33"/>
  <c r="C91" i="33" s="1"/>
  <c r="C93" i="33" s="1"/>
  <c r="C83" i="33"/>
  <c r="C82" i="33"/>
  <c r="C81" i="33"/>
  <c r="C37" i="33"/>
  <c r="C38" i="33"/>
  <c r="C39" i="33"/>
  <c r="C36" i="33"/>
  <c r="C47" i="33" s="1"/>
  <c r="C49" i="33" s="1"/>
  <c r="C40" i="33"/>
  <c r="C41" i="33"/>
  <c r="E42" i="33"/>
  <c r="C17" i="33"/>
  <c r="C15" i="33"/>
  <c r="C18" i="33"/>
  <c r="C14" i="33"/>
  <c r="C16" i="33"/>
  <c r="C19" i="33"/>
  <c r="C59" i="33"/>
  <c r="C61" i="33"/>
  <c r="C60" i="33"/>
  <c r="C58" i="33"/>
  <c r="C62" i="33"/>
  <c r="C63" i="33"/>
  <c r="C48" i="33" a="1"/>
  <c r="C48" i="33" s="1"/>
  <c r="C50" i="33" s="1"/>
  <c r="C69" i="33"/>
  <c r="C71" i="33" s="1"/>
  <c r="C70" i="33" a="1"/>
  <c r="C70" i="33" s="1"/>
  <c r="C72" i="33" s="1"/>
  <c r="V158" i="54"/>
  <c r="V142" i="54"/>
  <c r="V167" i="54"/>
  <c r="V138" i="54"/>
  <c r="V153" i="54"/>
  <c r="P175" i="54"/>
  <c r="C39" i="50"/>
  <c r="C38" i="50"/>
  <c r="C48" i="50" s="1" a="1"/>
  <c r="C48" i="50" s="1"/>
  <c r="C50" i="50" s="1"/>
  <c r="C37" i="50"/>
  <c r="C47" i="50" s="1"/>
  <c r="C49" i="50" s="1"/>
  <c r="C36" i="50"/>
  <c r="G106" i="48"/>
  <c r="G105" i="48"/>
  <c r="G115" i="48" s="1" a="1"/>
  <c r="G115" i="48" s="1"/>
  <c r="G117" i="48" s="1"/>
  <c r="G104" i="48"/>
  <c r="G114" i="48" s="1"/>
  <c r="G116" i="48" s="1"/>
  <c r="G103" i="48"/>
  <c r="C105" i="50"/>
  <c r="C104" i="50"/>
  <c r="C114" i="50" s="1" a="1"/>
  <c r="C114" i="50" s="1"/>
  <c r="C116" i="50" s="1"/>
  <c r="C103" i="50"/>
  <c r="C113" i="50" s="1"/>
  <c r="C115" i="50" s="1"/>
  <c r="C102" i="50"/>
  <c r="C61" i="50"/>
  <c r="C60" i="50"/>
  <c r="C70" i="50" s="1" a="1"/>
  <c r="C70" i="50" s="1"/>
  <c r="C72" i="50" s="1"/>
  <c r="C59" i="50"/>
  <c r="C69" i="50" s="1"/>
  <c r="C71" i="50" s="1"/>
  <c r="C58" i="50"/>
  <c r="G40" i="48"/>
  <c r="G39" i="48"/>
  <c r="G49" i="48" s="1" a="1"/>
  <c r="G49" i="48" s="1"/>
  <c r="G51" i="48" s="1"/>
  <c r="G38" i="48"/>
  <c r="G48" i="48" s="1"/>
  <c r="G50" i="48" s="1"/>
  <c r="G37" i="48"/>
  <c r="G62" i="48"/>
  <c r="G61" i="48"/>
  <c r="G71" i="48" s="1" a="1"/>
  <c r="G71" i="48" s="1"/>
  <c r="G73" i="48" s="1"/>
  <c r="G60" i="48"/>
  <c r="G70" i="48" s="1"/>
  <c r="G72" i="48" s="1"/>
  <c r="G59" i="48"/>
  <c r="C114" i="33" a="1"/>
  <c r="C114" i="33" s="1"/>
  <c r="C116" i="33" s="1"/>
  <c r="C113" i="33"/>
  <c r="C115" i="33" s="1"/>
  <c r="C17" i="50"/>
  <c r="C16" i="50"/>
  <c r="C15" i="50"/>
  <c r="C14" i="50"/>
  <c r="C82" i="50"/>
  <c r="C92" i="50" s="1" a="1"/>
  <c r="C92" i="50" s="1"/>
  <c r="C94" i="50" s="1"/>
  <c r="C81" i="50"/>
  <c r="C91" i="50" s="1"/>
  <c r="C93" i="50" s="1"/>
  <c r="C80" i="50"/>
  <c r="C83" i="50"/>
  <c r="G84" i="48"/>
  <c r="G83" i="48"/>
  <c r="G93" i="48" s="1" a="1"/>
  <c r="G93" i="48" s="1"/>
  <c r="G95" i="48" s="1"/>
  <c r="G82" i="48"/>
  <c r="G92" i="48" s="1"/>
  <c r="G94" i="48" s="1"/>
  <c r="G81" i="48"/>
  <c r="G18" i="48"/>
  <c r="G17" i="48"/>
  <c r="G16" i="48"/>
  <c r="G15" i="48"/>
  <c r="C92" i="33" a="1"/>
  <c r="C92" i="33" s="1"/>
  <c r="C94" i="33" s="1"/>
  <c r="E109" i="48"/>
  <c r="E87" i="48"/>
  <c r="E65" i="48"/>
  <c r="E43" i="48"/>
  <c r="K41" i="48"/>
  <c r="K40" i="48"/>
  <c r="K39" i="48"/>
  <c r="K49" i="48" s="1" a="1"/>
  <c r="K49" i="48" s="1"/>
  <c r="K51" i="48" s="1"/>
  <c r="K38" i="48"/>
  <c r="K48" i="48" s="1"/>
  <c r="K50" i="48" s="1"/>
  <c r="K37" i="48"/>
  <c r="K42" i="48"/>
  <c r="K59" i="48"/>
  <c r="K64" i="48"/>
  <c r="K63" i="48"/>
  <c r="K62" i="48"/>
  <c r="K61" i="48"/>
  <c r="K71" i="48" s="1" a="1"/>
  <c r="K71" i="48" s="1"/>
  <c r="K73" i="48" s="1"/>
  <c r="K60" i="48"/>
  <c r="K70" i="48" s="1"/>
  <c r="K72" i="48" s="1"/>
  <c r="K86" i="48"/>
  <c r="K85" i="48"/>
  <c r="K84" i="48"/>
  <c r="K83" i="48"/>
  <c r="K93" i="48" s="1" a="1"/>
  <c r="K93" i="48" s="1"/>
  <c r="K95" i="48" s="1"/>
  <c r="K82" i="48"/>
  <c r="K92" i="48" s="1"/>
  <c r="K94" i="48" s="1"/>
  <c r="K81" i="48"/>
  <c r="K108" i="48"/>
  <c r="K107" i="48"/>
  <c r="K106" i="48"/>
  <c r="K105" i="48"/>
  <c r="K115" i="48" s="1" a="1"/>
  <c r="K115" i="48" s="1"/>
  <c r="K117" i="48" s="1"/>
  <c r="K104" i="48"/>
  <c r="K114" i="48" s="1"/>
  <c r="K116" i="48" s="1"/>
  <c r="K103" i="48"/>
  <c r="K20" i="48"/>
  <c r="K19" i="48"/>
  <c r="K18" i="48"/>
  <c r="K17" i="48"/>
  <c r="K16" i="48"/>
  <c r="K15" i="48"/>
  <c r="E21" i="48"/>
  <c r="E108" i="50"/>
  <c r="E86" i="50"/>
  <c r="E64" i="50"/>
  <c r="E42" i="50"/>
  <c r="E20" i="50"/>
  <c r="E108" i="33"/>
  <c r="E86" i="33"/>
  <c r="E64" i="33"/>
  <c r="E20" i="33"/>
  <c r="E362" i="55"/>
  <c r="E355" i="55"/>
  <c r="E344" i="55"/>
  <c r="C6" i="32" s="1"/>
  <c r="E337" i="55"/>
  <c r="D38" i="58" s="1"/>
  <c r="E315" i="55"/>
  <c r="E319" i="55" s="1"/>
  <c r="E313" i="55"/>
  <c r="E297" i="55"/>
  <c r="E301" i="55" s="1"/>
  <c r="E295" i="55"/>
  <c r="E279" i="55"/>
  <c r="E281" i="55" s="1"/>
  <c r="E277" i="55"/>
  <c r="E261" i="55"/>
  <c r="E265" i="55" s="1"/>
  <c r="E259" i="55"/>
  <c r="E243" i="55"/>
  <c r="E245" i="55" s="1"/>
  <c r="E241" i="55"/>
  <c r="E224" i="55"/>
  <c r="F153" i="58" s="1"/>
  <c r="E222" i="55"/>
  <c r="E213" i="55"/>
  <c r="E211" i="55"/>
  <c r="E202" i="55"/>
  <c r="E200" i="55"/>
  <c r="E191" i="55"/>
  <c r="E189" i="55"/>
  <c r="E180" i="55"/>
  <c r="E178" i="55"/>
  <c r="K26" i="48" l="1"/>
  <c r="K28" i="48" s="1"/>
  <c r="C389" i="55" s="1"/>
  <c r="K27" i="48" a="1"/>
  <c r="K27" i="48" s="1"/>
  <c r="K29" i="48" s="1"/>
  <c r="D389" i="55" s="1"/>
  <c r="F244" i="34"/>
  <c r="F271" i="34" s="1"/>
  <c r="C11" i="32"/>
  <c r="C47" i="32"/>
  <c r="C29" i="32"/>
  <c r="C65" i="32"/>
  <c r="C83" i="32"/>
  <c r="F73" i="58"/>
  <c r="F74" i="58" s="1"/>
  <c r="F127" i="58"/>
  <c r="F101" i="58"/>
  <c r="F155" i="58"/>
  <c r="F154" i="58"/>
  <c r="F165" i="58"/>
  <c r="F159" i="58"/>
  <c r="V175" i="54"/>
  <c r="C25" i="50"/>
  <c r="C27" i="50" s="1"/>
  <c r="C386" i="55" s="1"/>
  <c r="G26" i="48"/>
  <c r="G28" i="48" s="1"/>
  <c r="C388" i="55" s="1"/>
  <c r="C25" i="33"/>
  <c r="C27" i="33" s="1"/>
  <c r="C382" i="55" s="1"/>
  <c r="C26" i="50" a="1"/>
  <c r="C26" i="50" s="1"/>
  <c r="C28" i="50" s="1"/>
  <c r="D386" i="55" s="1"/>
  <c r="G27" i="48" a="1"/>
  <c r="G27" i="48" s="1"/>
  <c r="G29" i="48" s="1"/>
  <c r="D388" i="55" s="1"/>
  <c r="C26" i="33" a="1"/>
  <c r="C26" i="33" s="1"/>
  <c r="C28" i="33" s="1"/>
  <c r="D382" i="55" s="1"/>
  <c r="E263" i="55"/>
  <c r="E340" i="55"/>
  <c r="D37" i="58" s="1"/>
  <c r="E298" i="55"/>
  <c r="E317" i="55"/>
  <c r="E347" i="55"/>
  <c r="E244" i="55"/>
  <c r="E280" i="55"/>
  <c r="E282" i="55"/>
  <c r="E283" i="55"/>
  <c r="E299" i="55"/>
  <c r="E246" i="55"/>
  <c r="E300" i="55"/>
  <c r="E247" i="55"/>
  <c r="E262" i="55"/>
  <c r="E316" i="55"/>
  <c r="E264" i="55"/>
  <c r="E318" i="55"/>
  <c r="N70" i="49"/>
  <c r="M70" i="49"/>
  <c r="L70" i="49"/>
  <c r="M8" i="49"/>
  <c r="L8" i="49"/>
  <c r="N26" i="49"/>
  <c r="M26" i="49"/>
  <c r="L26" i="49"/>
  <c r="N22" i="49"/>
  <c r="M22" i="49"/>
  <c r="L22" i="49"/>
  <c r="N38" i="49"/>
  <c r="M38" i="49"/>
  <c r="L38" i="49"/>
  <c r="N35" i="49"/>
  <c r="M35" i="49"/>
  <c r="L35" i="49"/>
  <c r="N33" i="49"/>
  <c r="M33" i="49"/>
  <c r="L33" i="49"/>
  <c r="N32" i="49"/>
  <c r="M32" i="49"/>
  <c r="L32" i="49"/>
  <c r="N44" i="49"/>
  <c r="M44" i="49"/>
  <c r="L44" i="49"/>
  <c r="N45" i="49"/>
  <c r="M45" i="49"/>
  <c r="L45" i="49"/>
  <c r="N48" i="49"/>
  <c r="M48" i="49"/>
  <c r="L48" i="49"/>
  <c r="N42" i="49"/>
  <c r="M42" i="49"/>
  <c r="L42" i="49"/>
  <c r="N41" i="49"/>
  <c r="M41" i="49"/>
  <c r="L41" i="49"/>
  <c r="N50" i="49"/>
  <c r="M50" i="49"/>
  <c r="L50" i="49"/>
  <c r="M54" i="49"/>
  <c r="L54" i="49"/>
  <c r="N58" i="49"/>
  <c r="M58" i="49"/>
  <c r="L58" i="49"/>
  <c r="M55" i="49"/>
  <c r="L55" i="49"/>
  <c r="M56" i="49"/>
  <c r="L56" i="49"/>
  <c r="N57" i="49"/>
  <c r="M57" i="49"/>
  <c r="L57" i="49"/>
  <c r="M61" i="49"/>
  <c r="L61" i="49"/>
  <c r="M60" i="49"/>
  <c r="L60" i="49"/>
  <c r="M67" i="49"/>
  <c r="L67" i="49"/>
  <c r="N68" i="49"/>
  <c r="M68" i="49"/>
  <c r="L68" i="49"/>
  <c r="N69" i="49"/>
  <c r="M69" i="49"/>
  <c r="L69" i="49"/>
  <c r="M77" i="49"/>
  <c r="L77" i="49"/>
  <c r="M81" i="49"/>
  <c r="L81" i="49"/>
  <c r="N80" i="49"/>
  <c r="M80" i="49"/>
  <c r="L80" i="49"/>
  <c r="N92" i="49"/>
  <c r="M92" i="49"/>
  <c r="L92" i="49"/>
  <c r="N84" i="49"/>
  <c r="M84" i="49"/>
  <c r="L84" i="49"/>
  <c r="N88" i="49"/>
  <c r="M88" i="49"/>
  <c r="L88" i="49"/>
  <c r="K83" i="49"/>
  <c r="K76" i="49"/>
  <c r="K66" i="49"/>
  <c r="K59" i="49"/>
  <c r="K49" i="49"/>
  <c r="K37" i="49"/>
  <c r="K28" i="49"/>
  <c r="K21" i="49"/>
  <c r="F194" i="34" l="1"/>
  <c r="F141" i="34"/>
  <c r="C89" i="32"/>
  <c r="C90" i="32"/>
  <c r="C91" i="32"/>
  <c r="C87" i="32"/>
  <c r="C88" i="32"/>
  <c r="C86" i="32"/>
  <c r="C71" i="32"/>
  <c r="C73" i="32"/>
  <c r="C70" i="32"/>
  <c r="C69" i="32"/>
  <c r="C68" i="32"/>
  <c r="C72" i="32"/>
  <c r="C37" i="32"/>
  <c r="C34" i="32"/>
  <c r="C33" i="32"/>
  <c r="C35" i="32"/>
  <c r="C36" i="32"/>
  <c r="C32" i="32"/>
  <c r="C54" i="32"/>
  <c r="C50" i="32"/>
  <c r="C53" i="32"/>
  <c r="C52" i="32"/>
  <c r="C51" i="32"/>
  <c r="C55" i="32"/>
  <c r="C18" i="32"/>
  <c r="C15" i="32"/>
  <c r="C19" i="32"/>
  <c r="C16" i="32"/>
  <c r="C22" i="32" s="1" a="1"/>
  <c r="C22" i="32" s="1"/>
  <c r="C17" i="32"/>
  <c r="C14" i="32"/>
  <c r="F149" i="58"/>
  <c r="F97" i="58"/>
  <c r="F123" i="58"/>
  <c r="F45" i="58"/>
  <c r="F49" i="58" s="1"/>
  <c r="F71" i="58"/>
  <c r="F75" i="58" s="1"/>
  <c r="F107" i="58"/>
  <c r="F103" i="58"/>
  <c r="F113" i="58"/>
  <c r="F102" i="58"/>
  <c r="F139" i="58"/>
  <c r="F129" i="58"/>
  <c r="F128" i="58"/>
  <c r="F133" i="58"/>
  <c r="F156" i="58"/>
  <c r="F166" i="58"/>
  <c r="F160" i="58"/>
  <c r="G382" i="55"/>
  <c r="H382" i="55" s="1"/>
  <c r="G386" i="55"/>
  <c r="F136" i="50" s="1"/>
  <c r="G388" i="55"/>
  <c r="H388" i="55" s="1"/>
  <c r="O68" i="49"/>
  <c r="O38" i="49"/>
  <c r="D163" i="55"/>
  <c r="D162" i="55"/>
  <c r="O67" i="49"/>
  <c r="D164" i="55"/>
  <c r="O22" i="49"/>
  <c r="O44" i="49"/>
  <c r="O60" i="49"/>
  <c r="O56" i="49"/>
  <c r="E341" i="55"/>
  <c r="E368" i="55"/>
  <c r="E349" i="55"/>
  <c r="D349" i="55" s="1"/>
  <c r="E350" i="55"/>
  <c r="D350" i="55" s="1"/>
  <c r="E348" i="55"/>
  <c r="D348" i="55" s="1"/>
  <c r="E352" i="55"/>
  <c r="E351" i="55"/>
  <c r="D351" i="55" s="1"/>
  <c r="O55" i="49"/>
  <c r="O70" i="49"/>
  <c r="O92" i="49"/>
  <c r="O32" i="49"/>
  <c r="O81" i="49"/>
  <c r="O8" i="49"/>
  <c r="O61" i="49"/>
  <c r="O57" i="49"/>
  <c r="O77" i="49"/>
  <c r="O58" i="49"/>
  <c r="O41" i="49"/>
  <c r="O33" i="49"/>
  <c r="O54" i="49"/>
  <c r="O69" i="49"/>
  <c r="O50" i="49"/>
  <c r="O26" i="49"/>
  <c r="O45" i="49"/>
  <c r="O88" i="49"/>
  <c r="O42" i="49"/>
  <c r="O35" i="49"/>
  <c r="O84" i="49"/>
  <c r="O80" i="49"/>
  <c r="N87" i="49"/>
  <c r="M87" i="49"/>
  <c r="L87" i="49"/>
  <c r="N86" i="49"/>
  <c r="M86" i="49"/>
  <c r="L86" i="49"/>
  <c r="L85" i="49"/>
  <c r="N85" i="49"/>
  <c r="M85" i="49"/>
  <c r="N91" i="49"/>
  <c r="M91" i="49"/>
  <c r="L91" i="49"/>
  <c r="N89" i="49"/>
  <c r="M89" i="49"/>
  <c r="L89" i="49"/>
  <c r="N90" i="49"/>
  <c r="M90" i="49"/>
  <c r="L90" i="49"/>
  <c r="N36" i="49"/>
  <c r="M36" i="49"/>
  <c r="L36" i="49"/>
  <c r="N34" i="49"/>
  <c r="M34" i="49"/>
  <c r="L34" i="49"/>
  <c r="N79" i="49"/>
  <c r="M79" i="49"/>
  <c r="L79" i="49"/>
  <c r="N78" i="49"/>
  <c r="M78" i="49"/>
  <c r="L78" i="49"/>
  <c r="N73" i="49"/>
  <c r="M73" i="49"/>
  <c r="L73" i="49"/>
  <c r="N71" i="49"/>
  <c r="M71" i="49"/>
  <c r="L71" i="49"/>
  <c r="N72" i="49"/>
  <c r="M72" i="49"/>
  <c r="L72" i="49"/>
  <c r="N51" i="49"/>
  <c r="M51" i="49"/>
  <c r="L51" i="49"/>
  <c r="N52" i="49"/>
  <c r="M52" i="49"/>
  <c r="L52" i="49"/>
  <c r="N75" i="49"/>
  <c r="M75" i="49"/>
  <c r="L75" i="49"/>
  <c r="N74" i="49"/>
  <c r="M74" i="49"/>
  <c r="L74" i="49"/>
  <c r="N53" i="49"/>
  <c r="M53" i="49"/>
  <c r="L53" i="49"/>
  <c r="N65" i="49"/>
  <c r="M65" i="49"/>
  <c r="L65" i="49"/>
  <c r="N64" i="49"/>
  <c r="M64" i="49"/>
  <c r="L64" i="49"/>
  <c r="N63" i="49"/>
  <c r="M63" i="49"/>
  <c r="L63" i="49"/>
  <c r="N40" i="49"/>
  <c r="M40" i="49"/>
  <c r="L40" i="49"/>
  <c r="N39" i="49"/>
  <c r="M39" i="49"/>
  <c r="L39" i="49"/>
  <c r="N43" i="49"/>
  <c r="M43" i="49"/>
  <c r="L43" i="49"/>
  <c r="N46" i="49"/>
  <c r="M46" i="49"/>
  <c r="L46" i="49"/>
  <c r="N47" i="49"/>
  <c r="M47" i="49"/>
  <c r="L47" i="49"/>
  <c r="C76" i="32" l="1" a="1"/>
  <c r="C76" i="32" s="1"/>
  <c r="C78" i="32" s="1"/>
  <c r="E304" i="55" s="1"/>
  <c r="C40" i="32" a="1"/>
  <c r="C40" i="32" s="1"/>
  <c r="C42" i="32" s="1"/>
  <c r="E268" i="55" s="1"/>
  <c r="C39" i="32"/>
  <c r="C41" i="32" s="1"/>
  <c r="E267" i="55" s="1"/>
  <c r="C58" i="32" a="1"/>
  <c r="C58" i="32" s="1"/>
  <c r="C60" i="32" s="1"/>
  <c r="E286" i="55" s="1"/>
  <c r="C94" i="32" a="1"/>
  <c r="C94" i="32" s="1"/>
  <c r="C96" i="32" s="1"/>
  <c r="E322" i="55" s="1"/>
  <c r="C75" i="32"/>
  <c r="C77" i="32" s="1"/>
  <c r="E303" i="55" s="1"/>
  <c r="C57" i="32"/>
  <c r="C59" i="32" s="1"/>
  <c r="E285" i="55" s="1"/>
  <c r="C93" i="32"/>
  <c r="C95" i="32" s="1"/>
  <c r="E321" i="55" s="1"/>
  <c r="C24" i="32"/>
  <c r="E250" i="55" s="1"/>
  <c r="C21" i="32"/>
  <c r="F167" i="58"/>
  <c r="F168" i="58" s="1"/>
  <c r="E227" i="55" s="1"/>
  <c r="F161" i="58"/>
  <c r="F162" i="58" s="1"/>
  <c r="E226" i="55" s="1"/>
  <c r="F55" i="58"/>
  <c r="F61" i="58"/>
  <c r="F51" i="58"/>
  <c r="F50" i="58"/>
  <c r="F56" i="58" s="1"/>
  <c r="F87" i="58"/>
  <c r="F81" i="58"/>
  <c r="F77" i="58"/>
  <c r="F76" i="58"/>
  <c r="F140" i="58"/>
  <c r="F134" i="58"/>
  <c r="F130" i="58"/>
  <c r="F114" i="58"/>
  <c r="F104" i="58"/>
  <c r="F108" i="58"/>
  <c r="H386" i="55"/>
  <c r="F121" i="33"/>
  <c r="C111" i="48"/>
  <c r="E111" i="48" s="1"/>
  <c r="C110" i="34"/>
  <c r="C110" i="50"/>
  <c r="E110" i="50" s="1"/>
  <c r="C110" i="33"/>
  <c r="E110" i="33" s="1"/>
  <c r="C112" i="48"/>
  <c r="E112" i="48" s="1"/>
  <c r="C111" i="34"/>
  <c r="C111" i="50"/>
  <c r="E111" i="50" s="1"/>
  <c r="C111" i="33"/>
  <c r="E111" i="33" s="1"/>
  <c r="C109" i="50"/>
  <c r="E109" i="50" s="1"/>
  <c r="C109" i="33"/>
  <c r="C110" i="48"/>
  <c r="C109" i="34"/>
  <c r="F174" i="48"/>
  <c r="G204" i="48" s="1"/>
  <c r="E162" i="55"/>
  <c r="C109" i="54"/>
  <c r="E109" i="54" s="1"/>
  <c r="E164" i="55"/>
  <c r="C111" i="54"/>
  <c r="E111" i="54" s="1"/>
  <c r="E163" i="55"/>
  <c r="C110" i="54"/>
  <c r="E110" i="54" s="1"/>
  <c r="D101" i="55"/>
  <c r="D100" i="55"/>
  <c r="D102" i="55"/>
  <c r="L76" i="49"/>
  <c r="D70" i="55"/>
  <c r="D69" i="55"/>
  <c r="D71" i="55"/>
  <c r="F151" i="34"/>
  <c r="N49" i="49"/>
  <c r="M76" i="49"/>
  <c r="N83" i="49"/>
  <c r="N76" i="49"/>
  <c r="L83" i="49"/>
  <c r="L66" i="49"/>
  <c r="N37" i="49"/>
  <c r="M66" i="49"/>
  <c r="L37" i="49"/>
  <c r="L49" i="49"/>
  <c r="N66" i="49"/>
  <c r="M37" i="49"/>
  <c r="M49" i="49"/>
  <c r="M83" i="49"/>
  <c r="O87" i="49"/>
  <c r="O86" i="49"/>
  <c r="O85" i="49"/>
  <c r="O34" i="49"/>
  <c r="O36" i="49"/>
  <c r="O91" i="49"/>
  <c r="O90" i="49"/>
  <c r="O72" i="49"/>
  <c r="O89" i="49"/>
  <c r="O47" i="49"/>
  <c r="O73" i="49"/>
  <c r="O79" i="49"/>
  <c r="O78" i="49"/>
  <c r="O51" i="49"/>
  <c r="O74" i="49"/>
  <c r="O71" i="49"/>
  <c r="O52" i="49"/>
  <c r="O40" i="49"/>
  <c r="O39" i="49"/>
  <c r="O53" i="49"/>
  <c r="O75" i="49"/>
  <c r="O48" i="49"/>
  <c r="O63" i="49"/>
  <c r="O65" i="49"/>
  <c r="O46" i="49"/>
  <c r="O43" i="49"/>
  <c r="E346" i="55" l="1"/>
  <c r="D380" i="55" s="1"/>
  <c r="C23" i="32"/>
  <c r="E249" i="55" s="1"/>
  <c r="E345" i="55" s="1"/>
  <c r="C380" i="55" s="1"/>
  <c r="F62" i="58"/>
  <c r="F52" i="58"/>
  <c r="F57" i="58" s="1"/>
  <c r="F82" i="58"/>
  <c r="F88" i="58"/>
  <c r="F78" i="58"/>
  <c r="F141" i="58"/>
  <c r="F109" i="58"/>
  <c r="F115" i="58"/>
  <c r="F135" i="58"/>
  <c r="G195" i="48"/>
  <c r="H195" i="48" s="1"/>
  <c r="G198" i="48"/>
  <c r="H198" i="48" s="1"/>
  <c r="G192" i="48"/>
  <c r="H95" i="17" s="1"/>
  <c r="G199" i="48"/>
  <c r="H199" i="48" s="1"/>
  <c r="G187" i="48"/>
  <c r="H187" i="48" s="1"/>
  <c r="G205" i="48"/>
  <c r="H205" i="48" s="1"/>
  <c r="G201" i="48"/>
  <c r="H201" i="48" s="1"/>
  <c r="G193" i="48"/>
  <c r="H193" i="48" s="1"/>
  <c r="G190" i="48"/>
  <c r="H77" i="17" s="1"/>
  <c r="G202" i="48"/>
  <c r="H202" i="17" s="1"/>
  <c r="G200" i="48"/>
  <c r="H200" i="48" s="1"/>
  <c r="G186" i="48"/>
  <c r="C104" i="34"/>
  <c r="C103" i="34"/>
  <c r="C102" i="34"/>
  <c r="C105" i="34"/>
  <c r="C105" i="48"/>
  <c r="C104" i="48"/>
  <c r="C103" i="48"/>
  <c r="C108" i="48"/>
  <c r="C107" i="48"/>
  <c r="C106" i="48"/>
  <c r="E110" i="48"/>
  <c r="C67" i="34"/>
  <c r="C67" i="50"/>
  <c r="E67" i="50" s="1"/>
  <c r="C67" i="33"/>
  <c r="E67" i="33" s="1"/>
  <c r="C68" i="48"/>
  <c r="E68" i="48" s="1"/>
  <c r="C45" i="48"/>
  <c r="E45" i="48" s="1"/>
  <c r="C44" i="34"/>
  <c r="C44" i="33"/>
  <c r="E44" i="33" s="1"/>
  <c r="C44" i="50"/>
  <c r="E44" i="50" s="1"/>
  <c r="G196" i="48"/>
  <c r="H196" i="48" s="1"/>
  <c r="C46" i="48"/>
  <c r="E46" i="48" s="1"/>
  <c r="C45" i="34"/>
  <c r="C45" i="33"/>
  <c r="E45" i="33" s="1"/>
  <c r="C45" i="50"/>
  <c r="E45" i="50" s="1"/>
  <c r="C66" i="48"/>
  <c r="C65" i="33"/>
  <c r="C65" i="34"/>
  <c r="C65" i="50"/>
  <c r="E65" i="50" s="1"/>
  <c r="E109" i="33"/>
  <c r="K102" i="34"/>
  <c r="K105" i="34"/>
  <c r="K104" i="34"/>
  <c r="K114" i="34" s="1" a="1"/>
  <c r="K114" i="34" s="1"/>
  <c r="K103" i="34"/>
  <c r="K113" i="34" s="1"/>
  <c r="G185" i="48"/>
  <c r="H33" i="17" s="1"/>
  <c r="G105" i="34"/>
  <c r="G104" i="34"/>
  <c r="G103" i="34"/>
  <c r="G102" i="34"/>
  <c r="C43" i="50"/>
  <c r="E43" i="50" s="1"/>
  <c r="C43" i="33"/>
  <c r="C44" i="48"/>
  <c r="C43" i="34"/>
  <c r="C66" i="34"/>
  <c r="C66" i="50"/>
  <c r="E66" i="50" s="1"/>
  <c r="C66" i="33"/>
  <c r="E66" i="33" s="1"/>
  <c r="C67" i="48"/>
  <c r="E67" i="48" s="1"/>
  <c r="G191" i="48"/>
  <c r="H191" i="48" s="1"/>
  <c r="G189" i="48"/>
  <c r="H63" i="17" s="1"/>
  <c r="E101" i="55"/>
  <c r="C66" i="54"/>
  <c r="E66" i="54" s="1"/>
  <c r="E102" i="55"/>
  <c r="C67" i="54"/>
  <c r="E67" i="54" s="1"/>
  <c r="E69" i="55"/>
  <c r="C43" i="54"/>
  <c r="E43" i="54" s="1"/>
  <c r="E100" i="55"/>
  <c r="C65" i="54"/>
  <c r="E65" i="54" s="1"/>
  <c r="E71" i="55"/>
  <c r="C45" i="54"/>
  <c r="E45" i="54" s="1"/>
  <c r="C102" i="54"/>
  <c r="C105" i="54"/>
  <c r="C107" i="54"/>
  <c r="C106" i="54"/>
  <c r="C104" i="54"/>
  <c r="C103" i="54"/>
  <c r="E70" i="55"/>
  <c r="C44" i="54"/>
  <c r="E44" i="54" s="1"/>
  <c r="H204" i="48"/>
  <c r="F175" i="54"/>
  <c r="C114" i="34" l="1" a="1"/>
  <c r="C114" i="34" s="1"/>
  <c r="C115" i="48" a="1"/>
  <c r="C115" i="48" s="1"/>
  <c r="C117" i="48" s="1"/>
  <c r="G113" i="34"/>
  <c r="F63" i="58"/>
  <c r="C113" i="54"/>
  <c r="C115" i="54" s="1"/>
  <c r="E166" i="55" s="1"/>
  <c r="G114" i="34" a="1"/>
  <c r="G114" i="34" s="1"/>
  <c r="C113" i="34"/>
  <c r="C114" i="54" a="1"/>
  <c r="C114" i="54" s="1"/>
  <c r="C116" i="54" s="1"/>
  <c r="E167" i="55" s="1"/>
  <c r="C114" i="48"/>
  <c r="C116" i="48" s="1"/>
  <c r="G380" i="55"/>
  <c r="H380" i="55" s="1"/>
  <c r="H47" i="17"/>
  <c r="N238" i="17" s="1"/>
  <c r="F116" i="58"/>
  <c r="E205" i="55" s="1"/>
  <c r="F110" i="58"/>
  <c r="E204" i="55" s="1"/>
  <c r="F142" i="58"/>
  <c r="E216" i="55" s="1"/>
  <c r="F136" i="58"/>
  <c r="E215" i="55" s="1"/>
  <c r="F64" i="58"/>
  <c r="E183" i="55" s="1"/>
  <c r="F58" i="58"/>
  <c r="E182" i="55" s="1"/>
  <c r="F89" i="58"/>
  <c r="F83" i="58"/>
  <c r="H192" i="48"/>
  <c r="H185" i="48"/>
  <c r="H190" i="48"/>
  <c r="H202" i="48"/>
  <c r="H197" i="48" s="1"/>
  <c r="I197" i="48" s="1"/>
  <c r="G188" i="48"/>
  <c r="G203" i="48"/>
  <c r="H186" i="48"/>
  <c r="H203" i="48"/>
  <c r="I203" i="48" s="1"/>
  <c r="H189" i="48"/>
  <c r="G197" i="48"/>
  <c r="G184" i="48"/>
  <c r="K39" i="34"/>
  <c r="K38" i="34"/>
  <c r="K48" i="34" s="1" a="1"/>
  <c r="K48" i="34" s="1"/>
  <c r="K37" i="34"/>
  <c r="K47" i="34" s="1"/>
  <c r="K36" i="34"/>
  <c r="C38" i="34"/>
  <c r="C39" i="34"/>
  <c r="C37" i="34"/>
  <c r="C36" i="34"/>
  <c r="G61" i="34"/>
  <c r="G60" i="34"/>
  <c r="G70" i="34" s="1" a="1"/>
  <c r="G70" i="34" s="1"/>
  <c r="G59" i="34"/>
  <c r="G69" i="34" s="1"/>
  <c r="G58" i="34"/>
  <c r="E43" i="33"/>
  <c r="G38" i="34"/>
  <c r="G39" i="34"/>
  <c r="G37" i="34"/>
  <c r="G36" i="34"/>
  <c r="K60" i="34"/>
  <c r="K70" i="34" s="1" a="1"/>
  <c r="K70" i="34" s="1"/>
  <c r="K59" i="34"/>
  <c r="K69" i="34" s="1"/>
  <c r="K58" i="34"/>
  <c r="K61" i="34"/>
  <c r="C38" i="48"/>
  <c r="C42" i="48"/>
  <c r="C41" i="48"/>
  <c r="C40" i="48"/>
  <c r="C39" i="48"/>
  <c r="C37" i="48"/>
  <c r="E44" i="48"/>
  <c r="G194" i="48"/>
  <c r="C60" i="34"/>
  <c r="C61" i="34"/>
  <c r="C59" i="34"/>
  <c r="C58" i="34"/>
  <c r="E65" i="33"/>
  <c r="H194" i="48"/>
  <c r="I194" i="48" s="1"/>
  <c r="E66" i="48"/>
  <c r="C64" i="48"/>
  <c r="C63" i="48"/>
  <c r="C62" i="48"/>
  <c r="C61" i="48"/>
  <c r="C60" i="48"/>
  <c r="C59" i="48"/>
  <c r="C63" i="54"/>
  <c r="C60" i="54"/>
  <c r="C61" i="54"/>
  <c r="C58" i="54"/>
  <c r="C62" i="54"/>
  <c r="C59" i="54"/>
  <c r="C41" i="54"/>
  <c r="C36" i="54"/>
  <c r="C40" i="54"/>
  <c r="C39" i="54"/>
  <c r="C38" i="54"/>
  <c r="C37" i="54"/>
  <c r="N236" i="17"/>
  <c r="M236" i="17"/>
  <c r="F121" i="32" l="1"/>
  <c r="G48" i="34" a="1"/>
  <c r="G48" i="34" s="1"/>
  <c r="C48" i="48"/>
  <c r="C50" i="48" s="1"/>
  <c r="C49" i="48" a="1"/>
  <c r="C49" i="48" s="1"/>
  <c r="C51" i="48" s="1"/>
  <c r="C48" i="34" a="1"/>
  <c r="C48" i="34" s="1"/>
  <c r="C70" i="34" a="1"/>
  <c r="C70" i="34" s="1"/>
  <c r="C70" i="54" a="1"/>
  <c r="C70" i="54" s="1"/>
  <c r="C72" i="54" s="1"/>
  <c r="E105" i="55" s="1"/>
  <c r="C69" i="34"/>
  <c r="C69" i="54"/>
  <c r="C71" i="54" s="1"/>
  <c r="E104" i="55" s="1"/>
  <c r="C47" i="34"/>
  <c r="G47" i="34"/>
  <c r="C70" i="48"/>
  <c r="C72" i="48" s="1"/>
  <c r="C71" i="48" a="1"/>
  <c r="C71" i="48" s="1"/>
  <c r="C73" i="48" s="1"/>
  <c r="Q165" i="32"/>
  <c r="R165" i="32" s="1"/>
  <c r="G165" i="32"/>
  <c r="G163" i="32"/>
  <c r="Q163" i="32"/>
  <c r="R163" i="32" s="1"/>
  <c r="Q161" i="32"/>
  <c r="R161" i="32" s="1"/>
  <c r="G161" i="32"/>
  <c r="Q155" i="32"/>
  <c r="Q157" i="32"/>
  <c r="W157" i="32" s="1"/>
  <c r="X157" i="32" s="1"/>
  <c r="G151" i="32"/>
  <c r="Q152" i="32"/>
  <c r="W152" i="32" s="1"/>
  <c r="X152" i="32" s="1"/>
  <c r="Q146" i="32"/>
  <c r="W146" i="32" s="1"/>
  <c r="X146" i="32" s="1"/>
  <c r="Q148" i="32"/>
  <c r="W148" i="32" s="1"/>
  <c r="X148" i="32" s="1"/>
  <c r="Q147" i="32"/>
  <c r="W147" i="32" s="1"/>
  <c r="X147" i="32" s="1"/>
  <c r="Q169" i="32"/>
  <c r="R169" i="32" s="1"/>
  <c r="Q139" i="32"/>
  <c r="Q140" i="32"/>
  <c r="R140" i="32" s="1"/>
  <c r="Q159" i="32"/>
  <c r="Q143" i="32"/>
  <c r="Q144" i="32"/>
  <c r="Q154" i="32"/>
  <c r="Q141" i="32"/>
  <c r="W141" i="32" s="1"/>
  <c r="X141" i="32" s="1"/>
  <c r="Q150" i="32"/>
  <c r="Q168" i="32"/>
  <c r="R168" i="32" s="1"/>
  <c r="Q160" i="32"/>
  <c r="Q149" i="32"/>
  <c r="Q162" i="32"/>
  <c r="R162" i="32" s="1"/>
  <c r="Q156" i="32"/>
  <c r="R156" i="32" s="1"/>
  <c r="Q166" i="32"/>
  <c r="Q164" i="32"/>
  <c r="R164" i="32" s="1"/>
  <c r="F84" i="58"/>
  <c r="E193" i="55" s="1"/>
  <c r="E338" i="55" s="1"/>
  <c r="C379" i="55" s="1"/>
  <c r="F90" i="58"/>
  <c r="E194" i="55" s="1"/>
  <c r="E339" i="55" s="1"/>
  <c r="D379" i="55" s="1"/>
  <c r="H188" i="48"/>
  <c r="I188" i="48" s="1"/>
  <c r="H184" i="48"/>
  <c r="I184" i="48" s="1"/>
  <c r="N237" i="17"/>
  <c r="I33" i="17"/>
  <c r="N259" i="17" s="1"/>
  <c r="G211" i="48"/>
  <c r="I47" i="17"/>
  <c r="N260" i="17" s="1"/>
  <c r="O64" i="49"/>
  <c r="N62" i="49"/>
  <c r="M62" i="49"/>
  <c r="L62" i="49"/>
  <c r="M10" i="49"/>
  <c r="S1" i="49"/>
  <c r="K7" i="49"/>
  <c r="G236" i="17"/>
  <c r="G144" i="32" l="1"/>
  <c r="G150" i="32"/>
  <c r="G143" i="32"/>
  <c r="G149" i="32"/>
  <c r="G166" i="32"/>
  <c r="W151" i="32"/>
  <c r="X151" i="32" s="1"/>
  <c r="H111" i="17"/>
  <c r="I111" i="17" s="1"/>
  <c r="H110" i="17"/>
  <c r="I110" i="17" s="1"/>
  <c r="H169" i="17"/>
  <c r="I169" i="17" s="1"/>
  <c r="H168" i="17"/>
  <c r="I168" i="17" s="1"/>
  <c r="H187" i="17"/>
  <c r="I187" i="17" s="1"/>
  <c r="H186" i="17"/>
  <c r="I186" i="17" s="1"/>
  <c r="H153" i="17"/>
  <c r="I153" i="17" s="1"/>
  <c r="H152" i="17"/>
  <c r="I152" i="17" s="1"/>
  <c r="W165" i="32"/>
  <c r="X165" i="32" s="1"/>
  <c r="W161" i="32"/>
  <c r="X161" i="32" s="1"/>
  <c r="W163" i="32"/>
  <c r="X163" i="32" s="1"/>
  <c r="Q153" i="32"/>
  <c r="Q142" i="32"/>
  <c r="R155" i="32"/>
  <c r="W155" i="32"/>
  <c r="X155" i="32" s="1"/>
  <c r="R150" i="32"/>
  <c r="W150" i="32"/>
  <c r="X150" i="32" s="1"/>
  <c r="H165" i="32"/>
  <c r="H163" i="32"/>
  <c r="H161" i="32"/>
  <c r="R157" i="32"/>
  <c r="R152" i="32"/>
  <c r="H151" i="32"/>
  <c r="R147" i="32"/>
  <c r="R148" i="32"/>
  <c r="R146" i="32"/>
  <c r="Q158" i="32"/>
  <c r="Q138" i="32"/>
  <c r="R149" i="32"/>
  <c r="R160" i="32"/>
  <c r="R154" i="32"/>
  <c r="R144" i="32"/>
  <c r="R159" i="32"/>
  <c r="R166" i="32"/>
  <c r="R167" i="32"/>
  <c r="S167" i="32" s="1"/>
  <c r="R139" i="32"/>
  <c r="R141" i="32"/>
  <c r="Q167" i="32"/>
  <c r="R143" i="32"/>
  <c r="G379" i="55"/>
  <c r="H379" i="55" s="1"/>
  <c r="H211" i="48"/>
  <c r="I211" i="48" s="1"/>
  <c r="N59" i="49"/>
  <c r="L59" i="49"/>
  <c r="M59" i="49"/>
  <c r="J70" i="49"/>
  <c r="I70" i="49"/>
  <c r="I22" i="49"/>
  <c r="J33" i="49"/>
  <c r="J48" i="49"/>
  <c r="J50" i="49"/>
  <c r="J57" i="49"/>
  <c r="J26" i="49"/>
  <c r="I33" i="49"/>
  <c r="J45" i="49"/>
  <c r="I48" i="49"/>
  <c r="I50" i="49"/>
  <c r="I57" i="49"/>
  <c r="I26" i="49"/>
  <c r="J35" i="49"/>
  <c r="I45" i="49"/>
  <c r="J41" i="49"/>
  <c r="J58" i="49"/>
  <c r="J8" i="49"/>
  <c r="I35" i="49"/>
  <c r="J46" i="49"/>
  <c r="I41" i="49"/>
  <c r="I58" i="49"/>
  <c r="J56" i="49"/>
  <c r="I32" i="49"/>
  <c r="I8" i="49"/>
  <c r="J44" i="49"/>
  <c r="I46" i="49"/>
  <c r="J54" i="49"/>
  <c r="J55" i="49"/>
  <c r="I56" i="49"/>
  <c r="J38" i="49"/>
  <c r="I44" i="49"/>
  <c r="J42" i="49"/>
  <c r="I54" i="49"/>
  <c r="I55" i="49"/>
  <c r="J22" i="49"/>
  <c r="I38" i="49"/>
  <c r="J32" i="49"/>
  <c r="I42" i="49"/>
  <c r="I60" i="49"/>
  <c r="I69" i="49"/>
  <c r="J68" i="49"/>
  <c r="J81" i="49"/>
  <c r="J84" i="49"/>
  <c r="J77" i="49"/>
  <c r="I67" i="49"/>
  <c r="J61" i="49"/>
  <c r="I68" i="49"/>
  <c r="I81" i="49"/>
  <c r="I84" i="49"/>
  <c r="J67" i="49"/>
  <c r="I77" i="49"/>
  <c r="I61" i="49"/>
  <c r="J92" i="49"/>
  <c r="J80" i="49"/>
  <c r="J88" i="49"/>
  <c r="J60" i="49"/>
  <c r="J69" i="49"/>
  <c r="I80" i="49"/>
  <c r="I88" i="49"/>
  <c r="I92" i="49"/>
  <c r="O62" i="49"/>
  <c r="J87" i="49"/>
  <c r="I87" i="49"/>
  <c r="J86" i="49"/>
  <c r="I85" i="49"/>
  <c r="I86" i="49"/>
  <c r="J85" i="49"/>
  <c r="J89" i="49"/>
  <c r="I79" i="49"/>
  <c r="I89" i="49"/>
  <c r="J34" i="49"/>
  <c r="I36" i="49"/>
  <c r="I34" i="49"/>
  <c r="J78" i="49"/>
  <c r="J91" i="49"/>
  <c r="J36" i="49"/>
  <c r="I91" i="49"/>
  <c r="I78" i="49"/>
  <c r="J90" i="49"/>
  <c r="I90" i="49"/>
  <c r="J79" i="49"/>
  <c r="I71" i="49"/>
  <c r="J52" i="49"/>
  <c r="I52" i="49"/>
  <c r="E96" i="55" s="1"/>
  <c r="J51" i="49"/>
  <c r="J73" i="49"/>
  <c r="J72" i="49"/>
  <c r="I51" i="49"/>
  <c r="I73" i="49"/>
  <c r="I72" i="49"/>
  <c r="J71" i="49"/>
  <c r="J62" i="49"/>
  <c r="J75" i="49"/>
  <c r="I75" i="49"/>
  <c r="J74" i="49"/>
  <c r="I74" i="49"/>
  <c r="J65" i="49"/>
  <c r="I65" i="49"/>
  <c r="J53" i="49"/>
  <c r="I53" i="49"/>
  <c r="J64" i="49"/>
  <c r="I64" i="49"/>
  <c r="J63" i="49"/>
  <c r="I63" i="49"/>
  <c r="J40" i="49"/>
  <c r="I40" i="49"/>
  <c r="I39" i="49"/>
  <c r="J39" i="49"/>
  <c r="J43" i="49"/>
  <c r="J47" i="49"/>
  <c r="I47" i="49"/>
  <c r="I43" i="49"/>
  <c r="I62" i="49"/>
  <c r="N31" i="49"/>
  <c r="M31" i="49"/>
  <c r="L31" i="49"/>
  <c r="J31" i="49"/>
  <c r="I31" i="49"/>
  <c r="N30" i="49"/>
  <c r="M30" i="49"/>
  <c r="L30" i="49"/>
  <c r="J30" i="49"/>
  <c r="I30" i="49"/>
  <c r="E127" i="55" s="1"/>
  <c r="N29" i="49"/>
  <c r="M29" i="49"/>
  <c r="L29" i="49"/>
  <c r="J29" i="49"/>
  <c r="I29" i="49"/>
  <c r="N27" i="49"/>
  <c r="M27" i="49"/>
  <c r="L27" i="49"/>
  <c r="J27" i="49"/>
  <c r="I27" i="49"/>
  <c r="L25" i="49"/>
  <c r="N25" i="49"/>
  <c r="M25" i="49"/>
  <c r="J25" i="49"/>
  <c r="I25" i="49"/>
  <c r="N24" i="49"/>
  <c r="U24" i="49" s="1"/>
  <c r="M24" i="49"/>
  <c r="L24" i="49"/>
  <c r="J24" i="49"/>
  <c r="I24" i="49"/>
  <c r="N23" i="49"/>
  <c r="M23" i="49"/>
  <c r="L23" i="49"/>
  <c r="J23" i="49"/>
  <c r="I23" i="49"/>
  <c r="N10" i="49"/>
  <c r="N11" i="49"/>
  <c r="M11" i="49"/>
  <c r="N14" i="49"/>
  <c r="M14" i="49"/>
  <c r="N15" i="49"/>
  <c r="U15" i="49" s="1"/>
  <c r="M15" i="49"/>
  <c r="N16" i="49"/>
  <c r="M16" i="49"/>
  <c r="N17" i="49"/>
  <c r="M17" i="49"/>
  <c r="N18" i="49"/>
  <c r="M18" i="49"/>
  <c r="M19" i="49"/>
  <c r="N19" i="49"/>
  <c r="N20" i="49"/>
  <c r="M20" i="49"/>
  <c r="L20" i="49"/>
  <c r="J20" i="49"/>
  <c r="I20" i="49"/>
  <c r="L19" i="49"/>
  <c r="J19" i="49"/>
  <c r="I19" i="49"/>
  <c r="L18" i="49"/>
  <c r="J18" i="49"/>
  <c r="I18" i="49"/>
  <c r="L17" i="49"/>
  <c r="J17" i="49"/>
  <c r="I17" i="49"/>
  <c r="L16" i="49"/>
  <c r="J16" i="49"/>
  <c r="I16" i="49"/>
  <c r="E34" i="55" s="1"/>
  <c r="L15" i="49"/>
  <c r="J15" i="49"/>
  <c r="I15" i="49"/>
  <c r="J14" i="49"/>
  <c r="I14" i="49"/>
  <c r="M13" i="49"/>
  <c r="L13" i="49"/>
  <c r="J13" i="49"/>
  <c r="I13" i="49"/>
  <c r="M12" i="49"/>
  <c r="L12" i="49"/>
  <c r="J12" i="49"/>
  <c r="I12" i="49"/>
  <c r="L14" i="49"/>
  <c r="L11" i="49"/>
  <c r="J11" i="49"/>
  <c r="I11" i="49"/>
  <c r="L10" i="49"/>
  <c r="J10" i="49"/>
  <c r="I10" i="49"/>
  <c r="H195" i="17" l="1"/>
  <c r="F251" i="17" s="1"/>
  <c r="H196" i="17"/>
  <c r="G251" i="17" s="1"/>
  <c r="H166" i="32"/>
  <c r="H149" i="32"/>
  <c r="H87" i="17"/>
  <c r="F243" i="17" s="1"/>
  <c r="H88" i="17"/>
  <c r="G243" i="17" s="1"/>
  <c r="H143" i="32"/>
  <c r="H56" i="17"/>
  <c r="G240" i="17" s="1"/>
  <c r="H55" i="17"/>
  <c r="F240" i="17" s="1"/>
  <c r="H150" i="32"/>
  <c r="H103" i="17"/>
  <c r="I103" i="17" s="1"/>
  <c r="H102" i="17"/>
  <c r="I102" i="17" s="1"/>
  <c r="F266" i="17" s="1"/>
  <c r="H70" i="17"/>
  <c r="G241" i="17" s="1"/>
  <c r="H69" i="17"/>
  <c r="F241" i="17" s="1"/>
  <c r="H144" i="32"/>
  <c r="H142" i="32" s="1"/>
  <c r="W149" i="32"/>
  <c r="X149" i="32" s="1"/>
  <c r="W166" i="32"/>
  <c r="X166" i="32" s="1"/>
  <c r="G142" i="32"/>
  <c r="W143" i="32"/>
  <c r="X143" i="32" s="1"/>
  <c r="W144" i="32"/>
  <c r="X144" i="32" s="1"/>
  <c r="G266" i="17"/>
  <c r="G244" i="17"/>
  <c r="I388" i="55"/>
  <c r="R142" i="32"/>
  <c r="S142" i="32" s="1"/>
  <c r="R153" i="32"/>
  <c r="S153" i="32" s="1"/>
  <c r="R158" i="32"/>
  <c r="S158" i="32" s="1"/>
  <c r="Q175" i="32"/>
  <c r="R138" i="32"/>
  <c r="F175" i="58"/>
  <c r="U14" i="49"/>
  <c r="E154" i="55"/>
  <c r="E61" i="55"/>
  <c r="E92" i="55"/>
  <c r="D132" i="55"/>
  <c r="U10" i="49"/>
  <c r="E123" i="55"/>
  <c r="D131" i="55"/>
  <c r="U31" i="49"/>
  <c r="U27" i="49"/>
  <c r="U55" i="49"/>
  <c r="U54" i="49"/>
  <c r="U12" i="49"/>
  <c r="U13" i="49"/>
  <c r="U67" i="49"/>
  <c r="U81" i="49"/>
  <c r="U9" i="49"/>
  <c r="U61" i="49"/>
  <c r="U25" i="49"/>
  <c r="U8" i="49"/>
  <c r="U60" i="49"/>
  <c r="U77" i="49"/>
  <c r="U56" i="49"/>
  <c r="U84" i="49"/>
  <c r="U35" i="49"/>
  <c r="U69" i="49"/>
  <c r="U68" i="49"/>
  <c r="U58" i="49"/>
  <c r="U44" i="49"/>
  <c r="U26" i="49"/>
  <c r="U32" i="49"/>
  <c r="U33" i="49"/>
  <c r="U38" i="49"/>
  <c r="U48" i="49"/>
  <c r="U41" i="49"/>
  <c r="U92" i="49"/>
  <c r="U50" i="49"/>
  <c r="U42" i="49"/>
  <c r="U70" i="49"/>
  <c r="U45" i="49"/>
  <c r="E155" i="55" s="1"/>
  <c r="U80" i="49"/>
  <c r="U57" i="49"/>
  <c r="U88" i="49"/>
  <c r="U22" i="49"/>
  <c r="U74" i="49"/>
  <c r="U87" i="49"/>
  <c r="U39" i="49"/>
  <c r="U78" i="49"/>
  <c r="E62" i="55" s="1"/>
  <c r="U73" i="49"/>
  <c r="U71" i="49"/>
  <c r="U52" i="49"/>
  <c r="E93" i="55" s="1"/>
  <c r="U65" i="49"/>
  <c r="U46" i="49"/>
  <c r="U79" i="49"/>
  <c r="U36" i="49"/>
  <c r="U34" i="49"/>
  <c r="U53" i="49"/>
  <c r="U43" i="49"/>
  <c r="U40" i="49"/>
  <c r="U91" i="49"/>
  <c r="U47" i="49"/>
  <c r="U72" i="49"/>
  <c r="U51" i="49"/>
  <c r="U90" i="49"/>
  <c r="U63" i="49"/>
  <c r="U89" i="49"/>
  <c r="U64" i="49"/>
  <c r="U86" i="49"/>
  <c r="U75" i="49"/>
  <c r="U85" i="49"/>
  <c r="U18" i="49"/>
  <c r="U23" i="49"/>
  <c r="U30" i="49"/>
  <c r="E124" i="55" s="1"/>
  <c r="D133" i="55"/>
  <c r="U20" i="49"/>
  <c r="U19" i="49"/>
  <c r="U11" i="49"/>
  <c r="U17" i="49"/>
  <c r="E65" i="55"/>
  <c r="D39" i="55"/>
  <c r="E30" i="55"/>
  <c r="D38" i="55"/>
  <c r="U62" i="49"/>
  <c r="S76" i="49"/>
  <c r="U16" i="49"/>
  <c r="E31" i="55" s="1"/>
  <c r="D40" i="55"/>
  <c r="U29" i="49"/>
  <c r="E158" i="55"/>
  <c r="I37" i="49"/>
  <c r="J66" i="49"/>
  <c r="I59" i="49"/>
  <c r="M21" i="49"/>
  <c r="J37" i="49"/>
  <c r="J59" i="49"/>
  <c r="L28" i="49"/>
  <c r="I83" i="49"/>
  <c r="I76" i="49"/>
  <c r="N21" i="49"/>
  <c r="I28" i="49"/>
  <c r="J83" i="49"/>
  <c r="J28" i="49"/>
  <c r="I66" i="49"/>
  <c r="J76" i="49"/>
  <c r="M28" i="49"/>
  <c r="I49" i="49"/>
  <c r="I21" i="49"/>
  <c r="N28" i="49"/>
  <c r="J49" i="49"/>
  <c r="J21" i="49"/>
  <c r="L21" i="49"/>
  <c r="O18" i="49"/>
  <c r="O29" i="49"/>
  <c r="O31" i="49"/>
  <c r="O13" i="49"/>
  <c r="O30" i="49"/>
  <c r="O20" i="49"/>
  <c r="N7" i="49"/>
  <c r="O14" i="49"/>
  <c r="O25" i="49"/>
  <c r="O24" i="49"/>
  <c r="O27" i="49"/>
  <c r="O23" i="49"/>
  <c r="O17" i="49"/>
  <c r="O16" i="49"/>
  <c r="O12" i="49"/>
  <c r="O19" i="49"/>
  <c r="O11" i="49"/>
  <c r="O15" i="49"/>
  <c r="O10" i="49"/>
  <c r="J9" i="49"/>
  <c r="J7" i="49" s="1"/>
  <c r="I9" i="49"/>
  <c r="I7" i="49" s="1"/>
  <c r="M9" i="49"/>
  <c r="L9" i="49"/>
  <c r="F244" i="17" l="1"/>
  <c r="X142" i="32"/>
  <c r="W142" i="32"/>
  <c r="R175" i="32"/>
  <c r="S175" i="32" s="1"/>
  <c r="S138" i="32"/>
  <c r="C23" i="34"/>
  <c r="C23" i="50"/>
  <c r="E23" i="50" s="1"/>
  <c r="C23" i="33"/>
  <c r="E23" i="33" s="1"/>
  <c r="C24" i="48"/>
  <c r="E24" i="48" s="1"/>
  <c r="C21" i="34"/>
  <c r="C21" i="50"/>
  <c r="E21" i="50" s="1"/>
  <c r="C21" i="33"/>
  <c r="E21" i="33" s="1"/>
  <c r="C22" i="48"/>
  <c r="C88" i="34"/>
  <c r="C88" i="50"/>
  <c r="E88" i="50" s="1"/>
  <c r="C88" i="33"/>
  <c r="E88" i="33" s="1"/>
  <c r="C89" i="48"/>
  <c r="E89" i="48" s="1"/>
  <c r="C87" i="34"/>
  <c r="C87" i="50"/>
  <c r="E87" i="50" s="1"/>
  <c r="C87" i="33"/>
  <c r="C88" i="48"/>
  <c r="C22" i="34"/>
  <c r="C22" i="50"/>
  <c r="E22" i="50" s="1"/>
  <c r="C22" i="33"/>
  <c r="E22" i="33" s="1"/>
  <c r="C23" i="48"/>
  <c r="E23" i="48" s="1"/>
  <c r="C89" i="34"/>
  <c r="C89" i="50"/>
  <c r="E89" i="50" s="1"/>
  <c r="C89" i="33"/>
  <c r="E89" i="33" s="1"/>
  <c r="C90" i="48"/>
  <c r="E90" i="48" s="1"/>
  <c r="E132" i="55"/>
  <c r="C88" i="54"/>
  <c r="E88" i="54" s="1"/>
  <c r="E133" i="55"/>
  <c r="C89" i="54"/>
  <c r="E89" i="54" s="1"/>
  <c r="E131" i="55"/>
  <c r="C87" i="54"/>
  <c r="E87" i="54" s="1"/>
  <c r="E40" i="55"/>
  <c r="C23" i="54"/>
  <c r="E23" i="54" s="1"/>
  <c r="E38" i="55"/>
  <c r="C21" i="54"/>
  <c r="E21" i="54" s="1"/>
  <c r="E39" i="55"/>
  <c r="C22" i="54"/>
  <c r="E22" i="54" s="1"/>
  <c r="U21" i="49"/>
  <c r="U83" i="49"/>
  <c r="S59" i="49"/>
  <c r="E91" i="55"/>
  <c r="S66" i="49"/>
  <c r="E122" i="55"/>
  <c r="S28" i="49"/>
  <c r="U76" i="49"/>
  <c r="T66" i="49"/>
  <c r="S37" i="49"/>
  <c r="U49" i="49"/>
  <c r="U59" i="49"/>
  <c r="T76" i="49"/>
  <c r="U7" i="49"/>
  <c r="T83" i="49"/>
  <c r="T49" i="49"/>
  <c r="E153" i="55"/>
  <c r="E29" i="55"/>
  <c r="S83" i="49"/>
  <c r="E60" i="55"/>
  <c r="U28" i="49"/>
  <c r="S21" i="49"/>
  <c r="U37" i="49"/>
  <c r="T59" i="49"/>
  <c r="T28" i="49"/>
  <c r="T21" i="49"/>
  <c r="T37" i="49"/>
  <c r="S49" i="49"/>
  <c r="U66" i="49"/>
  <c r="L7" i="49"/>
  <c r="S7" i="49"/>
  <c r="M7" i="49"/>
  <c r="T7" i="49"/>
  <c r="O9" i="49"/>
  <c r="O236" i="17"/>
  <c r="L236" i="17"/>
  <c r="K236" i="17"/>
  <c r="J236" i="17"/>
  <c r="I236" i="17"/>
  <c r="H236" i="17"/>
  <c r="F236" i="17"/>
  <c r="E236" i="17"/>
  <c r="D236" i="17"/>
  <c r="G446" i="49"/>
  <c r="F447" i="49" s="1"/>
  <c r="G386" i="49"/>
  <c r="F387" i="49" s="1"/>
  <c r="G250" i="49"/>
  <c r="F251" i="49" s="1"/>
  <c r="G179" i="49"/>
  <c r="F180" i="49" s="1"/>
  <c r="G101" i="49"/>
  <c r="F102" i="49" s="1"/>
  <c r="E168" i="50"/>
  <c r="E162" i="50"/>
  <c r="E159" i="50"/>
  <c r="E153" i="50"/>
  <c r="E149" i="50"/>
  <c r="H148" i="50"/>
  <c r="H147" i="50"/>
  <c r="E333" i="55" l="1"/>
  <c r="D333" i="55" s="1"/>
  <c r="I20" i="33"/>
  <c r="C14" i="54"/>
  <c r="E332" i="55"/>
  <c r="D332" i="55" s="1"/>
  <c r="E331" i="55"/>
  <c r="D331" i="55" s="1"/>
  <c r="K80" i="34"/>
  <c r="K83" i="34"/>
  <c r="K82" i="34"/>
  <c r="K92" i="34" s="1" a="1"/>
  <c r="K92" i="34" s="1"/>
  <c r="K94" i="34" s="1"/>
  <c r="K81" i="34"/>
  <c r="K91" i="34" s="1"/>
  <c r="K93" i="34" s="1"/>
  <c r="G17" i="34"/>
  <c r="G16" i="34"/>
  <c r="G15" i="34"/>
  <c r="G14" i="34"/>
  <c r="C86" i="48"/>
  <c r="C85" i="48"/>
  <c r="C84" i="48"/>
  <c r="C83" i="48"/>
  <c r="C82" i="48"/>
  <c r="C81" i="48"/>
  <c r="E88" i="48"/>
  <c r="E87" i="33"/>
  <c r="C83" i="34"/>
  <c r="C82" i="34"/>
  <c r="C81" i="34"/>
  <c r="C80" i="34"/>
  <c r="G83" i="34"/>
  <c r="G82" i="34"/>
  <c r="G81" i="34"/>
  <c r="G80" i="34"/>
  <c r="E22" i="48"/>
  <c r="C17" i="48"/>
  <c r="C16" i="48"/>
  <c r="C15" i="48"/>
  <c r="C19" i="48"/>
  <c r="C20" i="48"/>
  <c r="C18" i="48"/>
  <c r="C16" i="34"/>
  <c r="C17" i="34"/>
  <c r="C14" i="34"/>
  <c r="C15" i="34"/>
  <c r="K17" i="34"/>
  <c r="K16" i="34"/>
  <c r="K15" i="34"/>
  <c r="K14" i="34"/>
  <c r="C115" i="34"/>
  <c r="C71" i="34"/>
  <c r="C50" i="34"/>
  <c r="C19" i="54"/>
  <c r="C16" i="54"/>
  <c r="C15" i="54"/>
  <c r="C18" i="54"/>
  <c r="C17" i="54"/>
  <c r="C80" i="54"/>
  <c r="C85" i="54"/>
  <c r="C84" i="54"/>
  <c r="C83" i="54"/>
  <c r="C82" i="54"/>
  <c r="C81" i="54"/>
  <c r="C72" i="34"/>
  <c r="C116" i="34"/>
  <c r="G49" i="34"/>
  <c r="G50" i="34"/>
  <c r="G71" i="34"/>
  <c r="G72" i="34"/>
  <c r="G116" i="34"/>
  <c r="G115" i="34"/>
  <c r="C49" i="34"/>
  <c r="K72" i="34"/>
  <c r="K71" i="34"/>
  <c r="K50" i="34"/>
  <c r="K49" i="34"/>
  <c r="K116" i="34"/>
  <c r="K115" i="34"/>
  <c r="V140" i="32"/>
  <c r="V139" i="32"/>
  <c r="V156" i="32"/>
  <c r="V168" i="32"/>
  <c r="V169" i="32"/>
  <c r="F167" i="50"/>
  <c r="G167" i="50" s="1"/>
  <c r="H200" i="17" s="1"/>
  <c r="F150" i="50"/>
  <c r="G150" i="50" s="1"/>
  <c r="H31" i="17" s="1"/>
  <c r="F151" i="50"/>
  <c r="G151" i="50" s="1"/>
  <c r="F154" i="50"/>
  <c r="G154" i="50" s="1"/>
  <c r="H61" i="17" s="1"/>
  <c r="F155" i="50"/>
  <c r="G155" i="50" s="1"/>
  <c r="H75" i="17" s="1"/>
  <c r="F157" i="50"/>
  <c r="G157" i="50" s="1"/>
  <c r="H93" i="17" s="1"/>
  <c r="G142" i="33"/>
  <c r="E221" i="34"/>
  <c r="G139" i="33"/>
  <c r="F135" i="33"/>
  <c r="G135" i="33" s="1"/>
  <c r="F136" i="33"/>
  <c r="G136" i="33" s="1"/>
  <c r="G140" i="33"/>
  <c r="E176" i="50"/>
  <c r="C91" i="54" l="1"/>
  <c r="G92" i="34" a="1"/>
  <c r="G92" i="34" s="1"/>
  <c r="G94" i="34" s="1"/>
  <c r="C93" i="48" a="1"/>
  <c r="C93" i="48" s="1"/>
  <c r="C95" i="48" s="1"/>
  <c r="C91" i="34"/>
  <c r="C93" i="34" s="1"/>
  <c r="C92" i="34" a="1"/>
  <c r="C92" i="34" s="1"/>
  <c r="C94" i="34" s="1"/>
  <c r="G91" i="34"/>
  <c r="G93" i="34" s="1"/>
  <c r="K25" i="34"/>
  <c r="K27" i="34" s="1"/>
  <c r="C385" i="55" s="1"/>
  <c r="C92" i="48"/>
  <c r="C94" i="48" s="1"/>
  <c r="C92" i="54" a="1"/>
  <c r="C92" i="54" s="1"/>
  <c r="C94" i="54" s="1"/>
  <c r="E136" i="55" s="1"/>
  <c r="K26" i="34" a="1"/>
  <c r="K26" i="34" s="1"/>
  <c r="K28" i="34" s="1"/>
  <c r="D385" i="55" s="1"/>
  <c r="G26" i="34" a="1"/>
  <c r="G26" i="34" s="1"/>
  <c r="G28" i="34" s="1"/>
  <c r="D384" i="55" s="1"/>
  <c r="G25" i="34"/>
  <c r="G27" i="34" s="1"/>
  <c r="C384" i="55" s="1"/>
  <c r="V167" i="32"/>
  <c r="V154" i="32"/>
  <c r="V153" i="32" s="1"/>
  <c r="F153" i="32"/>
  <c r="H45" i="17"/>
  <c r="L238" i="17" s="1"/>
  <c r="H57" i="17"/>
  <c r="H240" i="17" s="1"/>
  <c r="H41" i="17"/>
  <c r="H238" i="17" s="1"/>
  <c r="H27" i="17"/>
  <c r="H237" i="17" s="1"/>
  <c r="H89" i="17"/>
  <c r="H243" i="17" s="1"/>
  <c r="H71" i="17"/>
  <c r="H241" i="17" s="1"/>
  <c r="C93" i="54"/>
  <c r="E135" i="55" s="1"/>
  <c r="C25" i="54"/>
  <c r="C27" i="48" a="1"/>
  <c r="C27" i="48" s="1"/>
  <c r="C29" i="48" s="1"/>
  <c r="C26" i="48"/>
  <c r="C28" i="48" s="1"/>
  <c r="C26" i="54" a="1"/>
  <c r="C26" i="54" s="1"/>
  <c r="H157" i="50"/>
  <c r="H155" i="50"/>
  <c r="H154" i="50"/>
  <c r="L240" i="17"/>
  <c r="H150" i="50"/>
  <c r="V138" i="32"/>
  <c r="G154" i="32"/>
  <c r="G162" i="32"/>
  <c r="W162" i="32" s="1"/>
  <c r="X162" i="32" s="1"/>
  <c r="G160" i="32"/>
  <c r="W160" i="32" s="1"/>
  <c r="X160" i="32" s="1"/>
  <c r="G169" i="32"/>
  <c r="W169" i="32" s="1"/>
  <c r="X169" i="32" s="1"/>
  <c r="G139" i="32"/>
  <c r="W139" i="32" s="1"/>
  <c r="G164" i="32"/>
  <c r="W164" i="32" s="1"/>
  <c r="X164" i="32" s="1"/>
  <c r="G140" i="32"/>
  <c r="W140" i="32" s="1"/>
  <c r="X140" i="32" s="1"/>
  <c r="G159" i="32"/>
  <c r="G156" i="32"/>
  <c r="W156" i="32" s="1"/>
  <c r="X156" i="32" s="1"/>
  <c r="H151" i="50"/>
  <c r="C25" i="34"/>
  <c r="C27" i="34" s="1"/>
  <c r="C383" i="55" s="1"/>
  <c r="C26" i="34" a="1"/>
  <c r="C26" i="34" s="1"/>
  <c r="C28" i="34" s="1"/>
  <c r="D383" i="55" s="1" a="1"/>
  <c r="D383" i="55" s="1"/>
  <c r="H167" i="50"/>
  <c r="H141" i="32"/>
  <c r="F167" i="32"/>
  <c r="G168" i="32"/>
  <c r="W168" i="32" s="1"/>
  <c r="F168" i="50"/>
  <c r="F162" i="50"/>
  <c r="F144" i="33"/>
  <c r="F159" i="50"/>
  <c r="F153" i="50"/>
  <c r="F149" i="50"/>
  <c r="F153" i="33"/>
  <c r="F134" i="33"/>
  <c r="F147" i="33"/>
  <c r="F138" i="33"/>
  <c r="F138" i="32"/>
  <c r="F158" i="32"/>
  <c r="D387" i="55" l="1"/>
  <c r="C387" i="55"/>
  <c r="I41" i="17"/>
  <c r="H260" i="17" s="1"/>
  <c r="F175" i="32"/>
  <c r="G153" i="32"/>
  <c r="W154" i="32"/>
  <c r="I27" i="17"/>
  <c r="H259" i="17" s="1"/>
  <c r="H159" i="32"/>
  <c r="W159" i="32"/>
  <c r="W167" i="32"/>
  <c r="X168" i="32"/>
  <c r="X167" i="32" s="1"/>
  <c r="X139" i="32"/>
  <c r="X138" i="32" s="1"/>
  <c r="W138" i="32"/>
  <c r="H169" i="32"/>
  <c r="H217" i="17"/>
  <c r="H218" i="17"/>
  <c r="H161" i="17"/>
  <c r="G249" i="17" s="1"/>
  <c r="H160" i="17"/>
  <c r="F249" i="17" s="1"/>
  <c r="H209" i="17"/>
  <c r="H208" i="17"/>
  <c r="H132" i="17"/>
  <c r="H131" i="17"/>
  <c r="H177" i="17"/>
  <c r="F250" i="17" s="1"/>
  <c r="H178" i="17"/>
  <c r="G250" i="17" s="1"/>
  <c r="H254" i="17"/>
  <c r="H154" i="32"/>
  <c r="H121" i="17"/>
  <c r="H122" i="17"/>
  <c r="H144" i="17"/>
  <c r="G248" i="17" s="1"/>
  <c r="H143" i="17"/>
  <c r="F248" i="17" s="1"/>
  <c r="H40" i="17"/>
  <c r="G238" i="17" s="1"/>
  <c r="H39" i="17"/>
  <c r="F238" i="17" s="1"/>
  <c r="H25" i="17"/>
  <c r="H26" i="17"/>
  <c r="C28" i="54"/>
  <c r="E43" i="55" s="1"/>
  <c r="C27" i="54"/>
  <c r="E42" i="55" s="1"/>
  <c r="L237" i="17"/>
  <c r="I31" i="17"/>
  <c r="L259" i="17" s="1"/>
  <c r="G387" i="55"/>
  <c r="H387" i="55" s="1"/>
  <c r="V175" i="32"/>
  <c r="H164" i="32"/>
  <c r="H156" i="32"/>
  <c r="H140" i="32"/>
  <c r="H160" i="32"/>
  <c r="H139" i="32"/>
  <c r="H162" i="32"/>
  <c r="I45" i="17"/>
  <c r="L260" i="17" s="1"/>
  <c r="H168" i="32"/>
  <c r="G389" i="55"/>
  <c r="F176" i="50"/>
  <c r="F221" i="34"/>
  <c r="F161" i="33"/>
  <c r="H153" i="32" l="1"/>
  <c r="X159" i="32"/>
  <c r="X158" i="32" s="1"/>
  <c r="W158" i="32"/>
  <c r="X154" i="32"/>
  <c r="X153" i="32" s="1"/>
  <c r="W153" i="32"/>
  <c r="F128" i="48"/>
  <c r="G157" i="48" s="1"/>
  <c r="H201" i="17" s="1"/>
  <c r="G245" i="17"/>
  <c r="G237" i="17"/>
  <c r="I26" i="17"/>
  <c r="G259" i="17" s="1"/>
  <c r="F245" i="17"/>
  <c r="I121" i="17"/>
  <c r="F267" i="17" s="1"/>
  <c r="I161" i="17"/>
  <c r="G271" i="17" s="1"/>
  <c r="F246" i="17"/>
  <c r="I131" i="17"/>
  <c r="F268" i="17" s="1"/>
  <c r="I160" i="17"/>
  <c r="F271" i="17" s="1"/>
  <c r="G252" i="17"/>
  <c r="I209" i="17"/>
  <c r="G274" i="17" s="1"/>
  <c r="G253" i="17"/>
  <c r="I218" i="17"/>
  <c r="G275" i="17" s="1"/>
  <c r="I39" i="17"/>
  <c r="F260" i="17" s="1"/>
  <c r="I177" i="17"/>
  <c r="F272" i="17" s="1"/>
  <c r="F252" i="17"/>
  <c r="I208" i="17"/>
  <c r="F274" i="17" s="1"/>
  <c r="F253" i="17"/>
  <c r="I217" i="17"/>
  <c r="F275" i="17" s="1"/>
  <c r="I40" i="17"/>
  <c r="G260" i="17" s="1"/>
  <c r="I178" i="17"/>
  <c r="G272" i="17" s="1"/>
  <c r="F237" i="17"/>
  <c r="I25" i="17"/>
  <c r="F259" i="17" s="1"/>
  <c r="G246" i="17"/>
  <c r="I132" i="17"/>
  <c r="G268" i="17" s="1"/>
  <c r="I122" i="17"/>
  <c r="G267" i="17" s="1"/>
  <c r="H389" i="55"/>
  <c r="F219" i="48"/>
  <c r="W175" i="32" l="1"/>
  <c r="X175" i="32"/>
  <c r="G144" i="48"/>
  <c r="H62" i="17" s="1"/>
  <c r="G149" i="48"/>
  <c r="G147" i="48"/>
  <c r="H94" i="17" s="1"/>
  <c r="G141" i="48"/>
  <c r="H141" i="48" s="1"/>
  <c r="G140" i="48"/>
  <c r="H140" i="48" s="1"/>
  <c r="G145" i="48"/>
  <c r="H76" i="17" s="1"/>
  <c r="G254" i="17"/>
  <c r="H157" i="48"/>
  <c r="G238" i="48"/>
  <c r="G249" i="48"/>
  <c r="G250" i="48"/>
  <c r="H250" i="48" s="1"/>
  <c r="G236" i="48"/>
  <c r="H236" i="48" s="1"/>
  <c r="G243" i="48"/>
  <c r="G237" i="48"/>
  <c r="H96" i="17" s="1"/>
  <c r="G246" i="48"/>
  <c r="H246" i="48" s="1"/>
  <c r="G234" i="48"/>
  <c r="H64" i="17" s="1"/>
  <c r="G245" i="48"/>
  <c r="H245" i="48" s="1"/>
  <c r="G244" i="48"/>
  <c r="H244" i="48" s="1"/>
  <c r="G240" i="48"/>
  <c r="G231" i="48"/>
  <c r="G235" i="48"/>
  <c r="H78" i="17" s="1"/>
  <c r="G241" i="48"/>
  <c r="H241" i="48" s="1"/>
  <c r="G247" i="48"/>
  <c r="G230" i="48"/>
  <c r="H34" i="17" s="1"/>
  <c r="G232" i="48"/>
  <c r="H232" i="48" s="1"/>
  <c r="E138" i="32"/>
  <c r="E158" i="32"/>
  <c r="E167" i="32"/>
  <c r="H32" i="17" l="1"/>
  <c r="M237" i="17" s="1"/>
  <c r="H46" i="17"/>
  <c r="M238" i="17" s="1"/>
  <c r="H144" i="48"/>
  <c r="H158" i="48"/>
  <c r="I158" i="48" s="1"/>
  <c r="H149" i="48"/>
  <c r="I149" i="48" s="1"/>
  <c r="G152" i="48"/>
  <c r="G143" i="48"/>
  <c r="G158" i="48"/>
  <c r="H145" i="48"/>
  <c r="H147" i="48"/>
  <c r="G139" i="48"/>
  <c r="I32" i="17"/>
  <c r="M259" i="17" s="1"/>
  <c r="H48" i="17"/>
  <c r="O238" i="17" s="1"/>
  <c r="O237" i="17"/>
  <c r="I34" i="17"/>
  <c r="O259" i="17" s="1"/>
  <c r="H139" i="48"/>
  <c r="I139" i="48" s="1"/>
  <c r="H231" i="48"/>
  <c r="I46" i="17"/>
  <c r="M260" i="17" s="1"/>
  <c r="H143" i="48"/>
  <c r="I143" i="48" s="1"/>
  <c r="H152" i="48"/>
  <c r="I152" i="48" s="1"/>
  <c r="H235" i="48"/>
  <c r="H237" i="48"/>
  <c r="I96" i="17"/>
  <c r="O265" i="17" s="1"/>
  <c r="H247" i="48"/>
  <c r="G229" i="48"/>
  <c r="H230" i="48"/>
  <c r="H234" i="48"/>
  <c r="G233" i="48"/>
  <c r="G242" i="48"/>
  <c r="H243" i="48"/>
  <c r="H249" i="48"/>
  <c r="H248" i="48" s="1"/>
  <c r="I248" i="48" s="1"/>
  <c r="G248" i="48"/>
  <c r="G239" i="48"/>
  <c r="H240" i="48"/>
  <c r="H239" i="48" s="1"/>
  <c r="I239" i="48" s="1"/>
  <c r="H238" i="48"/>
  <c r="I64" i="17"/>
  <c r="O262" i="17" s="1"/>
  <c r="O240" i="17"/>
  <c r="E175" i="32"/>
  <c r="G166" i="48" l="1"/>
  <c r="H229" i="48"/>
  <c r="I48" i="17"/>
  <c r="O260" i="17" s="1"/>
  <c r="H166" i="48"/>
  <c r="I387" i="55" s="1"/>
  <c r="H242" i="48"/>
  <c r="I242" i="48" s="1"/>
  <c r="O243" i="17"/>
  <c r="I78" i="17"/>
  <c r="O263" i="17" s="1"/>
  <c r="O241" i="17"/>
  <c r="H233" i="48"/>
  <c r="I233" i="48" s="1"/>
  <c r="I229" i="48"/>
  <c r="G256" i="48"/>
  <c r="O276" i="17" l="1"/>
  <c r="O254" i="17"/>
  <c r="I166" i="48"/>
  <c r="H256" i="48"/>
  <c r="C29" i="7"/>
  <c r="E29" i="7" s="1"/>
  <c r="C14" i="7"/>
  <c r="D13" i="7"/>
  <c r="D12" i="7"/>
  <c r="O279" i="17" l="1"/>
  <c r="O278" i="17"/>
  <c r="D14" i="7"/>
  <c r="I256" i="48"/>
  <c r="I389" i="55"/>
  <c r="F10" i="7"/>
  <c r="E23" i="7" l="1"/>
  <c r="C73" i="7" l="1"/>
  <c r="D63" i="7"/>
  <c r="D65" i="7" s="1"/>
  <c r="C35" i="7"/>
  <c r="C37" i="7" s="1"/>
  <c r="D33" i="7"/>
  <c r="D32" i="7"/>
  <c r="D30" i="7"/>
  <c r="D29" i="7"/>
  <c r="D73" i="7" l="1"/>
  <c r="D35" i="7"/>
  <c r="D76" i="7" l="1"/>
  <c r="F73" i="7"/>
  <c r="D37" i="7"/>
  <c r="D67" i="7" s="1"/>
  <c r="F79" i="7" l="1"/>
  <c r="F37" i="7"/>
  <c r="F63" i="7"/>
  <c r="F65" i="7"/>
  <c r="F84" i="7" l="1"/>
  <c r="F83" i="7"/>
  <c r="H189" i="34" l="1"/>
  <c r="H188" i="34"/>
  <c r="E160" i="34"/>
  <c r="E151" i="34"/>
  <c r="E148" i="34"/>
  <c r="E137" i="34"/>
  <c r="H136" i="34"/>
  <c r="H135" i="34"/>
  <c r="E168" i="34" l="1"/>
  <c r="E153" i="33"/>
  <c r="E147" i="33"/>
  <c r="E144" i="33"/>
  <c r="E138" i="33"/>
  <c r="E134" i="33"/>
  <c r="H133" i="33"/>
  <c r="H132" i="33"/>
  <c r="E161" i="33" l="1"/>
  <c r="L251" i="17" l="1"/>
  <c r="I200" i="17"/>
  <c r="L273" i="17" s="1"/>
  <c r="N241" i="17"/>
  <c r="I77" i="17"/>
  <c r="N263" i="17" s="1"/>
  <c r="I93" i="17" l="1"/>
  <c r="L265" i="17" s="1"/>
  <c r="I75" i="17"/>
  <c r="L263" i="17" s="1"/>
  <c r="L243" i="17"/>
  <c r="L241" i="17"/>
  <c r="I95" i="17"/>
  <c r="N265" i="17" s="1"/>
  <c r="N243" i="17"/>
  <c r="I61" i="17"/>
  <c r="L262" i="17" s="1"/>
  <c r="L276" i="17" s="1"/>
  <c r="I202" i="17"/>
  <c r="N273" i="17" s="1"/>
  <c r="N240" i="17"/>
  <c r="I63" i="17"/>
  <c r="N262" i="17" s="1"/>
  <c r="N251" i="17"/>
  <c r="N276" i="17" l="1"/>
  <c r="N279" i="17" s="1"/>
  <c r="L279" i="17"/>
  <c r="L278" i="17"/>
  <c r="N278" i="17"/>
  <c r="L254" i="17"/>
  <c r="N254" i="17"/>
  <c r="I144" i="17"/>
  <c r="G270" i="17" s="1"/>
  <c r="G167" i="32"/>
  <c r="H167" i="32"/>
  <c r="I167" i="32" s="1"/>
  <c r="G158" i="32"/>
  <c r="G138" i="32"/>
  <c r="H135" i="33" l="1"/>
  <c r="H136" i="33"/>
  <c r="I143" i="17"/>
  <c r="F270" i="17" s="1"/>
  <c r="I196" i="17"/>
  <c r="G273" i="17" s="1"/>
  <c r="I201" i="17"/>
  <c r="M273" i="17" s="1"/>
  <c r="I70" i="17"/>
  <c r="I153" i="32"/>
  <c r="H158" i="32"/>
  <c r="I158" i="32" s="1"/>
  <c r="I195" i="17"/>
  <c r="M241" i="17"/>
  <c r="I76" i="17"/>
  <c r="M263" i="17" s="1"/>
  <c r="M243" i="17"/>
  <c r="I94" i="17"/>
  <c r="M265" i="17" s="1"/>
  <c r="M240" i="17"/>
  <c r="I62" i="17"/>
  <c r="M262" i="17" s="1"/>
  <c r="I57" i="17"/>
  <c r="H262" i="17" s="1"/>
  <c r="I71" i="17"/>
  <c r="H263" i="17" s="1"/>
  <c r="I142" i="32"/>
  <c r="I56" i="17"/>
  <c r="I88" i="17"/>
  <c r="M251" i="17"/>
  <c r="H142" i="33"/>
  <c r="H138" i="32"/>
  <c r="I138" i="32" s="1"/>
  <c r="H162" i="50"/>
  <c r="I162" i="50" s="1"/>
  <c r="H149" i="50"/>
  <c r="I149" i="50" s="1"/>
  <c r="I87" i="17"/>
  <c r="G162" i="50"/>
  <c r="G149" i="50"/>
  <c r="G168" i="50"/>
  <c r="H140" i="33"/>
  <c r="H159" i="50"/>
  <c r="I159" i="50" s="1"/>
  <c r="H168" i="50"/>
  <c r="I168" i="50" s="1"/>
  <c r="G144" i="33"/>
  <c r="H139" i="33"/>
  <c r="G153" i="50"/>
  <c r="G159" i="50"/>
  <c r="H153" i="50"/>
  <c r="I153" i="50" s="1"/>
  <c r="G175" i="32"/>
  <c r="G153" i="33"/>
  <c r="I69" i="17"/>
  <c r="G138" i="33"/>
  <c r="G134" i="33"/>
  <c r="I55" i="17"/>
  <c r="G147" i="33"/>
  <c r="M276" i="17" l="1"/>
  <c r="F265" i="17"/>
  <c r="F262" i="17"/>
  <c r="G263" i="17"/>
  <c r="G265" i="17"/>
  <c r="G262" i="17"/>
  <c r="F273" i="17"/>
  <c r="F263" i="17"/>
  <c r="M254" i="17"/>
  <c r="H134" i="33"/>
  <c r="I134" i="33" s="1"/>
  <c r="H144" i="33"/>
  <c r="I144" i="33" s="1"/>
  <c r="H153" i="33"/>
  <c r="I153" i="33" s="1"/>
  <c r="F254" i="17"/>
  <c r="H147" i="33"/>
  <c r="I147" i="33" s="1"/>
  <c r="H175" i="32"/>
  <c r="I175" i="32" s="1"/>
  <c r="H138" i="33"/>
  <c r="I138" i="33" s="1"/>
  <c r="H176" i="50"/>
  <c r="G176" i="50"/>
  <c r="I89" i="17"/>
  <c r="H265" i="17" s="1"/>
  <c r="G161" i="33"/>
  <c r="G276" i="17" l="1"/>
  <c r="G279" i="17" s="1"/>
  <c r="F276" i="17"/>
  <c r="F279" i="17" s="1"/>
  <c r="M279" i="17"/>
  <c r="M278" i="17"/>
  <c r="H276" i="17"/>
  <c r="I176" i="50"/>
  <c r="I386" i="55"/>
  <c r="I380" i="55"/>
  <c r="H161" i="33"/>
  <c r="H279" i="17" l="1"/>
  <c r="H278" i="17"/>
  <c r="I161" i="33"/>
  <c r="I382" i="55"/>
  <c r="G385" i="55" l="1"/>
  <c r="H385" i="55" l="1"/>
  <c r="F227" i="34"/>
  <c r="G383" i="55"/>
  <c r="H383" i="55" s="1"/>
  <c r="G384" i="55"/>
  <c r="G261" i="34" l="1"/>
  <c r="G259" i="34"/>
  <c r="G257" i="34"/>
  <c r="G250" i="34"/>
  <c r="H114" i="17" s="1"/>
  <c r="I114" i="17" s="1"/>
  <c r="H384" i="55"/>
  <c r="G252" i="34"/>
  <c r="H125" i="17" s="1"/>
  <c r="G249" i="34"/>
  <c r="H106" i="17" s="1"/>
  <c r="G248" i="34"/>
  <c r="G246" i="34"/>
  <c r="G245" i="34"/>
  <c r="G258" i="34"/>
  <c r="H164" i="17" s="1"/>
  <c r="G242" i="34"/>
  <c r="G265" i="34"/>
  <c r="H221" i="17" s="1"/>
  <c r="G241" i="34"/>
  <c r="H30" i="17" s="1"/>
  <c r="G264" i="34"/>
  <c r="G262" i="34"/>
  <c r="G253" i="34"/>
  <c r="H135" i="17" s="1"/>
  <c r="G260" i="34"/>
  <c r="H181" i="17" s="1"/>
  <c r="G256" i="34"/>
  <c r="F174" i="34"/>
  <c r="F121" i="34"/>
  <c r="K244" i="17" l="1"/>
  <c r="I106" i="17"/>
  <c r="K266" i="17" s="1"/>
  <c r="G244" i="34"/>
  <c r="H250" i="34"/>
  <c r="H156" i="17"/>
  <c r="I156" i="17" s="1"/>
  <c r="H257" i="34"/>
  <c r="H172" i="17"/>
  <c r="I172" i="17" s="1"/>
  <c r="H259" i="34"/>
  <c r="H190" i="17"/>
  <c r="I190" i="17" s="1"/>
  <c r="H261" i="34"/>
  <c r="G211" i="34"/>
  <c r="H189" i="17" s="1"/>
  <c r="I189" i="17" s="1"/>
  <c r="G209" i="34"/>
  <c r="H171" i="17" s="1"/>
  <c r="I171" i="17" s="1"/>
  <c r="G207" i="34"/>
  <c r="H155" i="17" s="1"/>
  <c r="I155" i="17" s="1"/>
  <c r="G200" i="34"/>
  <c r="G193" i="34"/>
  <c r="H193" i="34" s="1"/>
  <c r="G215" i="34"/>
  <c r="H215" i="34" s="1"/>
  <c r="G192" i="34"/>
  <c r="H192" i="34" s="1"/>
  <c r="G202" i="34"/>
  <c r="G203" i="34"/>
  <c r="H203" i="34" s="1"/>
  <c r="G205" i="34"/>
  <c r="H205" i="34" s="1"/>
  <c r="G206" i="34"/>
  <c r="H206" i="34" s="1"/>
  <c r="G208" i="34"/>
  <c r="H208" i="34" s="1"/>
  <c r="G214" i="34"/>
  <c r="H211" i="17" s="1"/>
  <c r="G198" i="34"/>
  <c r="H198" i="34" s="1"/>
  <c r="G196" i="34"/>
  <c r="H196" i="34" s="1"/>
  <c r="G199" i="34"/>
  <c r="G195" i="34"/>
  <c r="G210" i="34"/>
  <c r="H210" i="34" s="1"/>
  <c r="G212" i="34"/>
  <c r="H212" i="34" s="1"/>
  <c r="G191" i="34"/>
  <c r="H29" i="17" s="1"/>
  <c r="G156" i="34"/>
  <c r="G158" i="34"/>
  <c r="G147" i="34"/>
  <c r="H112" i="17" s="1"/>
  <c r="I112" i="17" s="1"/>
  <c r="G154" i="34"/>
  <c r="H154" i="17" s="1"/>
  <c r="I154" i="17" s="1"/>
  <c r="H212" i="17"/>
  <c r="K252" i="17" s="1"/>
  <c r="H147" i="17"/>
  <c r="K248" i="17" s="1"/>
  <c r="H199" i="17"/>
  <c r="H44" i="17"/>
  <c r="K238" i="17" s="1"/>
  <c r="H60" i="17"/>
  <c r="K240" i="17" s="1"/>
  <c r="H74" i="17"/>
  <c r="K241" i="17" s="1"/>
  <c r="H92" i="17"/>
  <c r="K243" i="17" s="1"/>
  <c r="H253" i="34"/>
  <c r="K246" i="17"/>
  <c r="H260" i="34"/>
  <c r="H241" i="34"/>
  <c r="K237" i="17"/>
  <c r="H258" i="34"/>
  <c r="H265" i="34"/>
  <c r="K253" i="17"/>
  <c r="H252" i="34"/>
  <c r="K245" i="17"/>
  <c r="H264" i="34"/>
  <c r="H242" i="34"/>
  <c r="H262" i="34"/>
  <c r="H245" i="34"/>
  <c r="H246" i="34"/>
  <c r="H248" i="34"/>
  <c r="H249" i="34"/>
  <c r="H256" i="34"/>
  <c r="G240" i="34"/>
  <c r="G254" i="34"/>
  <c r="G263" i="34"/>
  <c r="G251" i="34"/>
  <c r="G153" i="34"/>
  <c r="H145" i="17" s="1"/>
  <c r="G155" i="34"/>
  <c r="H162" i="17" s="1"/>
  <c r="G157" i="34"/>
  <c r="H179" i="17" s="1"/>
  <c r="G159" i="34"/>
  <c r="H197" i="17" s="1"/>
  <c r="G150" i="34"/>
  <c r="H133" i="17" s="1"/>
  <c r="G162" i="34"/>
  <c r="H219" i="17" s="1"/>
  <c r="G152" i="34"/>
  <c r="G161" i="34"/>
  <c r="G140" i="34"/>
  <c r="G139" i="34"/>
  <c r="G149" i="34"/>
  <c r="G138" i="34"/>
  <c r="G146" i="34"/>
  <c r="H104" i="17" s="1"/>
  <c r="G145" i="34"/>
  <c r="G143" i="34"/>
  <c r="G142" i="34"/>
  <c r="H58" i="17" s="1"/>
  <c r="H200" i="34" l="1"/>
  <c r="H113" i="17"/>
  <c r="I113" i="17" s="1"/>
  <c r="I244" i="17"/>
  <c r="I248" i="17"/>
  <c r="K251" i="17"/>
  <c r="K249" i="17"/>
  <c r="I104" i="17"/>
  <c r="I266" i="17" s="1"/>
  <c r="H211" i="34"/>
  <c r="H209" i="34"/>
  <c r="H220" i="17"/>
  <c r="H244" i="34"/>
  <c r="I212" i="17"/>
  <c r="K274" i="17" s="1"/>
  <c r="H163" i="17"/>
  <c r="J249" i="17" s="1"/>
  <c r="H134" i="17"/>
  <c r="H199" i="34"/>
  <c r="H105" i="17"/>
  <c r="J244" i="17" s="1"/>
  <c r="G194" i="34"/>
  <c r="H147" i="34"/>
  <c r="H214" i="34"/>
  <c r="H213" i="34" s="1"/>
  <c r="G213" i="34"/>
  <c r="H195" i="34"/>
  <c r="G190" i="34"/>
  <c r="H191" i="34"/>
  <c r="H190" i="34" s="1"/>
  <c r="H198" i="17"/>
  <c r="H202" i="34"/>
  <c r="H201" i="34" s="1"/>
  <c r="G201" i="34"/>
  <c r="H207" i="34"/>
  <c r="G204" i="34"/>
  <c r="H158" i="34"/>
  <c r="H188" i="17"/>
  <c r="I188" i="17" s="1"/>
  <c r="H156" i="34"/>
  <c r="H170" i="17"/>
  <c r="I170" i="17" s="1"/>
  <c r="H90" i="17"/>
  <c r="G141" i="34"/>
  <c r="H154" i="34"/>
  <c r="H251" i="34"/>
  <c r="J251" i="34" s="1"/>
  <c r="H180" i="17"/>
  <c r="H210" i="17"/>
  <c r="I252" i="17" s="1"/>
  <c r="H59" i="17"/>
  <c r="J240" i="17" s="1"/>
  <c r="H73" i="17"/>
  <c r="J241" i="17" s="1"/>
  <c r="H124" i="17"/>
  <c r="I124" i="17" s="1"/>
  <c r="J267" i="17" s="1"/>
  <c r="H146" i="17"/>
  <c r="J248" i="17" s="1"/>
  <c r="H91" i="17"/>
  <c r="J243" i="17" s="1"/>
  <c r="H43" i="17"/>
  <c r="J238" i="17" s="1"/>
  <c r="H123" i="17"/>
  <c r="I245" i="17" s="1"/>
  <c r="H42" i="17"/>
  <c r="I42" i="17" s="1"/>
  <c r="I260" i="17" s="1"/>
  <c r="H72" i="17"/>
  <c r="I241" i="17" s="1"/>
  <c r="H28" i="17"/>
  <c r="I237" i="17" s="1"/>
  <c r="H240" i="34"/>
  <c r="I240" i="34" s="1"/>
  <c r="H263" i="34"/>
  <c r="I263" i="34" s="1"/>
  <c r="I181" i="17"/>
  <c r="K272" i="17" s="1"/>
  <c r="K250" i="17"/>
  <c r="I164" i="17"/>
  <c r="K271" i="17" s="1"/>
  <c r="J237" i="17"/>
  <c r="I29" i="17"/>
  <c r="J259" i="17" s="1"/>
  <c r="I30" i="17"/>
  <c r="K259" i="17" s="1"/>
  <c r="J252" i="17"/>
  <c r="I211" i="17"/>
  <c r="J274" i="17" s="1"/>
  <c r="I221" i="17"/>
  <c r="K275" i="17" s="1"/>
  <c r="I246" i="17"/>
  <c r="I133" i="17"/>
  <c r="I268" i="17" s="1"/>
  <c r="H159" i="34"/>
  <c r="I251" i="17"/>
  <c r="I253" i="17"/>
  <c r="I219" i="17"/>
  <c r="I275" i="17" s="1"/>
  <c r="I162" i="17"/>
  <c r="I135" i="17"/>
  <c r="K268" i="17" s="1"/>
  <c r="I179" i="17"/>
  <c r="I272" i="17" s="1"/>
  <c r="H254" i="34"/>
  <c r="I254" i="34" s="1"/>
  <c r="I125" i="17"/>
  <c r="K267" i="17" s="1"/>
  <c r="I44" i="17"/>
  <c r="K260" i="17" s="1"/>
  <c r="I147" i="17"/>
  <c r="K270" i="17" s="1"/>
  <c r="I74" i="17"/>
  <c r="K263" i="17" s="1"/>
  <c r="I60" i="17"/>
  <c r="K262" i="17" s="1"/>
  <c r="I92" i="17"/>
  <c r="K265" i="17" s="1"/>
  <c r="I199" i="17"/>
  <c r="K273" i="17" s="1"/>
  <c r="G271" i="34"/>
  <c r="H145" i="34"/>
  <c r="H139" i="34"/>
  <c r="H146" i="34"/>
  <c r="H150" i="34"/>
  <c r="H140" i="34"/>
  <c r="G151" i="34"/>
  <c r="H152" i="34"/>
  <c r="H143" i="34"/>
  <c r="H155" i="34"/>
  <c r="H153" i="34"/>
  <c r="H157" i="34"/>
  <c r="H162" i="34"/>
  <c r="I271" i="17" l="1"/>
  <c r="K276" i="17"/>
  <c r="I180" i="17"/>
  <c r="J272" i="17" s="1"/>
  <c r="J251" i="17"/>
  <c r="I249" i="17"/>
  <c r="H204" i="34"/>
  <c r="I250" i="17"/>
  <c r="I105" i="17"/>
  <c r="J266" i="17" s="1"/>
  <c r="H194" i="34"/>
  <c r="J250" i="17"/>
  <c r="I59" i="17"/>
  <c r="J262" i="17" s="1"/>
  <c r="I251" i="34"/>
  <c r="I28" i="17"/>
  <c r="I259" i="17" s="1"/>
  <c r="I238" i="17"/>
  <c r="I123" i="17"/>
  <c r="I267" i="17" s="1"/>
  <c r="J240" i="34"/>
  <c r="J245" i="17"/>
  <c r="J263" i="34"/>
  <c r="J213" i="34"/>
  <c r="I190" i="34"/>
  <c r="J201" i="34"/>
  <c r="J246" i="17"/>
  <c r="I134" i="17"/>
  <c r="J268" i="17" s="1"/>
  <c r="I163" i="17"/>
  <c r="J271" i="17" s="1"/>
  <c r="I243" i="17"/>
  <c r="I145" i="17"/>
  <c r="I270" i="17" s="1"/>
  <c r="J254" i="34"/>
  <c r="H271" i="34"/>
  <c r="I385" i="55" s="1"/>
  <c r="J253" i="17"/>
  <c r="I220" i="17"/>
  <c r="J275" i="17" s="1"/>
  <c r="I90" i="17"/>
  <c r="I265" i="17" s="1"/>
  <c r="K254" i="17"/>
  <c r="I43" i="17"/>
  <c r="J260" i="17" s="1"/>
  <c r="I244" i="34"/>
  <c r="J244" i="34"/>
  <c r="I197" i="17"/>
  <c r="I273" i="17" s="1"/>
  <c r="I146" i="17"/>
  <c r="J270" i="17" s="1"/>
  <c r="I73" i="17"/>
  <c r="J263" i="17" s="1"/>
  <c r="I198" i="17"/>
  <c r="J273" i="17" s="1"/>
  <c r="I91" i="17"/>
  <c r="J265" i="17" s="1"/>
  <c r="G221" i="34"/>
  <c r="H151" i="34"/>
  <c r="I72" i="17"/>
  <c r="I263" i="17" s="1"/>
  <c r="H138" i="34"/>
  <c r="H137" i="34" s="1"/>
  <c r="G137" i="34"/>
  <c r="H142" i="34"/>
  <c r="H141" i="34" s="1"/>
  <c r="H149" i="34"/>
  <c r="H148" i="34" s="1"/>
  <c r="G148" i="34"/>
  <c r="F168" i="34"/>
  <c r="H161" i="34"/>
  <c r="H160" i="34" s="1"/>
  <c r="G160" i="34"/>
  <c r="K279" i="17" l="1"/>
  <c r="K278" i="17"/>
  <c r="I213" i="34"/>
  <c r="I201" i="34"/>
  <c r="J190" i="34"/>
  <c r="J276" i="17"/>
  <c r="J271" i="34"/>
  <c r="I271" i="34"/>
  <c r="J254" i="17"/>
  <c r="H221" i="34"/>
  <c r="I384" i="55" s="1"/>
  <c r="I204" i="34"/>
  <c r="J204" i="34"/>
  <c r="I194" i="34"/>
  <c r="J194" i="34"/>
  <c r="J160" i="34"/>
  <c r="I160" i="34"/>
  <c r="J141" i="34"/>
  <c r="I141" i="34"/>
  <c r="J148" i="34"/>
  <c r="I148" i="34"/>
  <c r="I137" i="34"/>
  <c r="J137" i="34"/>
  <c r="I151" i="34"/>
  <c r="J151" i="34"/>
  <c r="I58" i="17"/>
  <c r="I262" i="17" s="1"/>
  <c r="I240" i="17"/>
  <c r="I254" i="17" s="1"/>
  <c r="H168" i="34"/>
  <c r="I383" i="55" s="1"/>
  <c r="G168" i="34"/>
  <c r="J279" i="17" l="1"/>
  <c r="J278" i="17"/>
  <c r="I210" i="17"/>
  <c r="I274" i="17" s="1"/>
  <c r="I221" i="34"/>
  <c r="J221" i="34"/>
  <c r="J168" i="34"/>
  <c r="I168" i="34"/>
  <c r="C48" i="54" a="1"/>
  <c r="C48" i="54" s="1"/>
  <c r="C47" i="54"/>
  <c r="I276" i="17" l="1"/>
  <c r="C50" i="54"/>
  <c r="E74" i="55" s="1"/>
  <c r="E328" i="55" s="1"/>
  <c r="D378" i="55" s="1"/>
  <c r="C49" i="54"/>
  <c r="E73" i="55" s="1"/>
  <c r="E327" i="55" s="1"/>
  <c r="C378" i="55" s="1"/>
  <c r="I279" i="17" l="1"/>
  <c r="I278" i="17"/>
  <c r="G378" i="55"/>
  <c r="F121" i="54" s="1"/>
  <c r="Q205" i="58"/>
  <c r="G213" i="58"/>
  <c r="Q201" i="58"/>
  <c r="G197" i="58"/>
  <c r="H54" i="17" s="1"/>
  <c r="G201" i="58"/>
  <c r="H101" i="17" s="1"/>
  <c r="Q200" i="58"/>
  <c r="G215" i="58"/>
  <c r="H176" i="17" s="1"/>
  <c r="Q193" i="58"/>
  <c r="Q220" i="58"/>
  <c r="Q194" i="58"/>
  <c r="Q211" i="58"/>
  <c r="G211" i="58"/>
  <c r="H142" i="17" s="1"/>
  <c r="Q219" i="58"/>
  <c r="Q195" i="58"/>
  <c r="Q217" i="58"/>
  <c r="G219" i="58"/>
  <c r="H207" i="17" s="1"/>
  <c r="G200" i="58"/>
  <c r="H86" i="17" s="1"/>
  <c r="Q197" i="58"/>
  <c r="Q210" i="58"/>
  <c r="G205" i="58"/>
  <c r="G217" i="58"/>
  <c r="H194" i="17" s="1"/>
  <c r="E251" i="17" s="1"/>
  <c r="G214" i="58"/>
  <c r="G193" i="58"/>
  <c r="G198" i="58"/>
  <c r="H68" i="17" s="1"/>
  <c r="G202" i="58"/>
  <c r="H109" i="17" s="1"/>
  <c r="I109" i="17" s="1"/>
  <c r="G220" i="58"/>
  <c r="H216" i="17" s="1"/>
  <c r="G207" i="58"/>
  <c r="H130" i="17" s="1"/>
  <c r="Q198" i="58"/>
  <c r="G194" i="58"/>
  <c r="H38" i="17" s="1"/>
  <c r="Q207" i="58"/>
  <c r="Q216" i="58"/>
  <c r="Q203" i="58"/>
  <c r="G216" i="58"/>
  <c r="H185" i="17" s="1"/>
  <c r="I185" i="17" s="1"/>
  <c r="Q215" i="58"/>
  <c r="G212" i="58"/>
  <c r="H151" i="17" s="1"/>
  <c r="I151" i="17" s="1"/>
  <c r="Q206" i="58"/>
  <c r="Q208" i="58"/>
  <c r="Q212" i="58"/>
  <c r="E244" i="17" l="1"/>
  <c r="I207" i="17"/>
  <c r="E274" i="17" s="1"/>
  <c r="E252" i="17"/>
  <c r="I142" i="17"/>
  <c r="E270" i="17" s="1"/>
  <c r="E248" i="17"/>
  <c r="I130" i="17"/>
  <c r="E268" i="17" s="1"/>
  <c r="E246" i="17"/>
  <c r="I216" i="17"/>
  <c r="E275" i="17" s="1"/>
  <c r="E253" i="17"/>
  <c r="I176" i="17"/>
  <c r="E272" i="17" s="1"/>
  <c r="E250" i="17"/>
  <c r="I86" i="17"/>
  <c r="E265" i="17" s="1"/>
  <c r="E243" i="17"/>
  <c r="I54" i="17"/>
  <c r="E262" i="17" s="1"/>
  <c r="E240" i="17"/>
  <c r="I38" i="17"/>
  <c r="E260" i="17" s="1"/>
  <c r="E238" i="17"/>
  <c r="I101" i="17"/>
  <c r="E266" i="17" s="1"/>
  <c r="I68" i="17"/>
  <c r="E263" i="17" s="1"/>
  <c r="E241" i="17"/>
  <c r="H24" i="17"/>
  <c r="W205" i="58"/>
  <c r="H120" i="17"/>
  <c r="W210" i="58"/>
  <c r="R217" i="58"/>
  <c r="R212" i="58"/>
  <c r="R211" i="58"/>
  <c r="R194" i="58"/>
  <c r="R220" i="58"/>
  <c r="R215" i="58"/>
  <c r="R200" i="58"/>
  <c r="R201" i="58"/>
  <c r="R216" i="58"/>
  <c r="R207" i="58"/>
  <c r="R198" i="58"/>
  <c r="W193" i="58"/>
  <c r="Q169" i="54"/>
  <c r="H214" i="17" s="1"/>
  <c r="Q168" i="54"/>
  <c r="H205" i="17" s="1"/>
  <c r="Q157" i="54"/>
  <c r="H136" i="17" s="1"/>
  <c r="Q140" i="54"/>
  <c r="H36" i="17" s="1"/>
  <c r="Q146" i="54"/>
  <c r="H80" i="17" s="1"/>
  <c r="Q161" i="54"/>
  <c r="R161" i="54" s="1"/>
  <c r="Q150" i="54"/>
  <c r="H99" i="17" s="1"/>
  <c r="Q155" i="54"/>
  <c r="Q160" i="54"/>
  <c r="H140" i="17" s="1"/>
  <c r="Q165" i="54"/>
  <c r="H183" i="17" s="1"/>
  <c r="Q147" i="54"/>
  <c r="H81" i="17" s="1"/>
  <c r="Q154" i="54"/>
  <c r="H118" i="17" s="1"/>
  <c r="Q156" i="54"/>
  <c r="H128" i="17" s="1"/>
  <c r="Q148" i="54"/>
  <c r="Q159" i="54"/>
  <c r="H138" i="17" s="1"/>
  <c r="Q162" i="54"/>
  <c r="H158" i="17" s="1"/>
  <c r="Q149" i="54"/>
  <c r="H84" i="17" s="1"/>
  <c r="Q163" i="54"/>
  <c r="Q143" i="54"/>
  <c r="H52" i="17" s="1"/>
  <c r="Q139" i="54"/>
  <c r="H22" i="17" s="1"/>
  <c r="Q166" i="54"/>
  <c r="H192" i="17" s="1"/>
  <c r="Q144" i="54"/>
  <c r="H66" i="17" s="1"/>
  <c r="Q164" i="54"/>
  <c r="H174" i="17" s="1"/>
  <c r="Q152" i="54"/>
  <c r="H115" i="17" s="1"/>
  <c r="Q141" i="54"/>
  <c r="H49" i="17" s="1"/>
  <c r="H378" i="55"/>
  <c r="H390" i="55" s="1"/>
  <c r="W211" i="58"/>
  <c r="W197" i="58"/>
  <c r="H194" i="58"/>
  <c r="W194" i="58"/>
  <c r="R203" i="58"/>
  <c r="X203" i="58" s="1"/>
  <c r="W203" i="58"/>
  <c r="R195" i="58"/>
  <c r="X195" i="58" s="1"/>
  <c r="W195" i="58"/>
  <c r="H207" i="58"/>
  <c r="W207" i="58"/>
  <c r="H201" i="58"/>
  <c r="W201" i="58"/>
  <c r="W219" i="58"/>
  <c r="H220" i="58"/>
  <c r="W220" i="58"/>
  <c r="H202" i="58"/>
  <c r="X202" i="58" s="1"/>
  <c r="W202" i="58"/>
  <c r="H198" i="58"/>
  <c r="W198" i="58"/>
  <c r="H215" i="58"/>
  <c r="W215" i="58"/>
  <c r="H214" i="58"/>
  <c r="X214" i="58" s="1"/>
  <c r="W214" i="58"/>
  <c r="R208" i="58"/>
  <c r="X208" i="58" s="1"/>
  <c r="W208" i="58"/>
  <c r="H217" i="58"/>
  <c r="W217" i="58"/>
  <c r="R206" i="58"/>
  <c r="X206" i="58" s="1"/>
  <c r="W206" i="58"/>
  <c r="H213" i="58"/>
  <c r="X213" i="58" s="1"/>
  <c r="W213" i="58"/>
  <c r="H212" i="58"/>
  <c r="W212" i="58"/>
  <c r="H216" i="58"/>
  <c r="W216" i="58"/>
  <c r="H200" i="58"/>
  <c r="W200" i="58"/>
  <c r="H219" i="58"/>
  <c r="G218" i="58"/>
  <c r="R219" i="58"/>
  <c r="Q218" i="58"/>
  <c r="Q192" i="58"/>
  <c r="R193" i="58"/>
  <c r="G209" i="58"/>
  <c r="H211" i="58"/>
  <c r="H193" i="58"/>
  <c r="G192" i="58"/>
  <c r="G165" i="54"/>
  <c r="H184" i="17" s="1"/>
  <c r="I184" i="17" s="1"/>
  <c r="G163" i="54"/>
  <c r="H167" i="17" s="1"/>
  <c r="I167" i="17" s="1"/>
  <c r="G150" i="54"/>
  <c r="H100" i="17" s="1"/>
  <c r="G161" i="54"/>
  <c r="H150" i="17" s="1"/>
  <c r="G151" i="54"/>
  <c r="H108" i="17" s="1"/>
  <c r="I108" i="17" s="1"/>
  <c r="G164" i="54"/>
  <c r="H175" i="17" s="1"/>
  <c r="G162" i="54"/>
  <c r="H159" i="17" s="1"/>
  <c r="H205" i="58"/>
  <c r="G204" i="58"/>
  <c r="H197" i="58"/>
  <c r="G196" i="58"/>
  <c r="R210" i="58"/>
  <c r="Q209" i="58"/>
  <c r="Q196" i="58"/>
  <c r="R197" i="58"/>
  <c r="Q204" i="58"/>
  <c r="R205" i="58"/>
  <c r="G139" i="54"/>
  <c r="H23" i="17" s="1"/>
  <c r="G140" i="54"/>
  <c r="H37" i="17" s="1"/>
  <c r="G168" i="54"/>
  <c r="H206" i="17" s="1"/>
  <c r="G160" i="54"/>
  <c r="H141" i="17" s="1"/>
  <c r="G143" i="54"/>
  <c r="G144" i="54"/>
  <c r="H67" i="17" s="1"/>
  <c r="G154" i="54"/>
  <c r="H119" i="17" s="1"/>
  <c r="G169" i="54"/>
  <c r="G166" i="54"/>
  <c r="H193" i="17" s="1"/>
  <c r="G149" i="54"/>
  <c r="H85" i="17" s="1"/>
  <c r="D243" i="17" s="1"/>
  <c r="G156" i="54"/>
  <c r="H129" i="17" s="1"/>
  <c r="D244" i="17" l="1"/>
  <c r="C246" i="17"/>
  <c r="D250" i="17"/>
  <c r="I120" i="17"/>
  <c r="E267" i="17" s="1"/>
  <c r="E245" i="17"/>
  <c r="E254" i="17" s="1"/>
  <c r="C244" i="17"/>
  <c r="P244" i="17" s="1"/>
  <c r="H97" i="17"/>
  <c r="I97" i="17" s="1"/>
  <c r="C250" i="17"/>
  <c r="D249" i="17"/>
  <c r="D248" i="17"/>
  <c r="I24" i="17"/>
  <c r="E259" i="17" s="1"/>
  <c r="E237" i="17"/>
  <c r="I100" i="17"/>
  <c r="D266" i="17" s="1"/>
  <c r="R218" i="58"/>
  <c r="S218" i="58" s="1"/>
  <c r="H149" i="17"/>
  <c r="H139" i="17" s="1"/>
  <c r="X198" i="58"/>
  <c r="X220" i="58"/>
  <c r="R192" i="58"/>
  <c r="S192" i="58" s="1"/>
  <c r="X200" i="58"/>
  <c r="X212" i="58"/>
  <c r="X217" i="58"/>
  <c r="W141" i="54"/>
  <c r="X216" i="58"/>
  <c r="X194" i="58"/>
  <c r="X207" i="58"/>
  <c r="X201" i="58"/>
  <c r="X215" i="58"/>
  <c r="H166" i="17"/>
  <c r="I166" i="17" s="1"/>
  <c r="H82" i="17"/>
  <c r="I82" i="17" s="1"/>
  <c r="I115" i="17"/>
  <c r="I183" i="17"/>
  <c r="H126" i="17"/>
  <c r="H117" i="17" s="1"/>
  <c r="I99" i="17"/>
  <c r="W192" i="58"/>
  <c r="H173" i="17"/>
  <c r="R163" i="54"/>
  <c r="W143" i="54"/>
  <c r="H53" i="17"/>
  <c r="D240" i="17" s="1"/>
  <c r="R165" i="54"/>
  <c r="I150" i="17"/>
  <c r="H215" i="17"/>
  <c r="H213" i="17" s="1"/>
  <c r="H204" i="17"/>
  <c r="I136" i="17"/>
  <c r="H127" i="17"/>
  <c r="H21" i="17"/>
  <c r="W146" i="54"/>
  <c r="R146" i="54"/>
  <c r="X146" i="54" s="1"/>
  <c r="W154" i="54"/>
  <c r="W147" i="54"/>
  <c r="R147" i="54"/>
  <c r="X147" i="54" s="1"/>
  <c r="W139" i="54"/>
  <c r="D241" i="17"/>
  <c r="W144" i="54"/>
  <c r="D252" i="17"/>
  <c r="W168" i="54"/>
  <c r="H165" i="54"/>
  <c r="W165" i="54"/>
  <c r="H162" i="54"/>
  <c r="W162" i="54"/>
  <c r="H164" i="54"/>
  <c r="W164" i="54"/>
  <c r="W160" i="54"/>
  <c r="C247" i="17"/>
  <c r="P247" i="17" s="1"/>
  <c r="W159" i="54"/>
  <c r="R152" i="54"/>
  <c r="X152" i="54" s="1"/>
  <c r="W152" i="54"/>
  <c r="R157" i="54"/>
  <c r="X157" i="54" s="1"/>
  <c r="W157" i="54"/>
  <c r="H151" i="54"/>
  <c r="X151" i="54" s="1"/>
  <c r="W151" i="54"/>
  <c r="H161" i="54"/>
  <c r="X161" i="54" s="1"/>
  <c r="W161" i="54"/>
  <c r="R148" i="54"/>
  <c r="X148" i="54" s="1"/>
  <c r="W148" i="54"/>
  <c r="W149" i="54"/>
  <c r="H150" i="54"/>
  <c r="W150" i="54"/>
  <c r="H163" i="54"/>
  <c r="W163" i="54"/>
  <c r="R155" i="54"/>
  <c r="X155" i="54" s="1"/>
  <c r="W155" i="54"/>
  <c r="I129" i="17"/>
  <c r="D268" i="17" s="1"/>
  <c r="W156" i="54"/>
  <c r="W166" i="54"/>
  <c r="W169" i="54"/>
  <c r="D238" i="17"/>
  <c r="W140" i="54"/>
  <c r="W204" i="58"/>
  <c r="W196" i="58"/>
  <c r="H218" i="58"/>
  <c r="I218" i="58" s="1"/>
  <c r="X219" i="58"/>
  <c r="H204" i="58"/>
  <c r="I204" i="58" s="1"/>
  <c r="X205" i="58"/>
  <c r="H209" i="58"/>
  <c r="I209" i="58" s="1"/>
  <c r="X211" i="58"/>
  <c r="H192" i="58"/>
  <c r="I192" i="58" s="1"/>
  <c r="X193" i="58"/>
  <c r="W218" i="58"/>
  <c r="W209" i="58"/>
  <c r="R209" i="58"/>
  <c r="S209" i="58" s="1"/>
  <c r="X210" i="58"/>
  <c r="H196" i="58"/>
  <c r="I196" i="58" s="1"/>
  <c r="X197" i="58"/>
  <c r="D245" i="17"/>
  <c r="G153" i="54"/>
  <c r="Q153" i="54"/>
  <c r="Q226" i="58"/>
  <c r="R204" i="58"/>
  <c r="S204" i="58" s="1"/>
  <c r="G142" i="54"/>
  <c r="G226" i="58"/>
  <c r="Q142" i="54"/>
  <c r="R196" i="58"/>
  <c r="S196" i="58" s="1"/>
  <c r="C251" i="17"/>
  <c r="C252" i="17"/>
  <c r="C243" i="17"/>
  <c r="I159" i="17"/>
  <c r="D271" i="17" s="1"/>
  <c r="I158" i="17"/>
  <c r="I174" i="17"/>
  <c r="I175" i="17"/>
  <c r="D272" i="17" s="1"/>
  <c r="H166" i="54"/>
  <c r="C241" i="17"/>
  <c r="H139" i="54"/>
  <c r="R162" i="54"/>
  <c r="I205" i="17"/>
  <c r="C274" i="17" s="1"/>
  <c r="R164" i="54"/>
  <c r="R169" i="54"/>
  <c r="R141" i="54"/>
  <c r="X141" i="54" s="1"/>
  <c r="R156" i="54"/>
  <c r="R140" i="54"/>
  <c r="H140" i="54"/>
  <c r="R149" i="54"/>
  <c r="R160" i="54"/>
  <c r="R144" i="54"/>
  <c r="R150" i="54"/>
  <c r="R166" i="54"/>
  <c r="R168" i="54"/>
  <c r="Q167" i="54"/>
  <c r="R139" i="54"/>
  <c r="Q138" i="54"/>
  <c r="R154" i="54"/>
  <c r="R159" i="54"/>
  <c r="Q158" i="54"/>
  <c r="R143" i="54"/>
  <c r="G158" i="54"/>
  <c r="H159" i="54"/>
  <c r="H169" i="54"/>
  <c r="H149" i="54"/>
  <c r="H156" i="54"/>
  <c r="H154" i="54"/>
  <c r="H144" i="54"/>
  <c r="G138" i="54"/>
  <c r="H143" i="54"/>
  <c r="H160" i="54"/>
  <c r="G167" i="54"/>
  <c r="H168" i="54"/>
  <c r="C266" i="17" l="1"/>
  <c r="P266" i="17" s="1"/>
  <c r="C272" i="17"/>
  <c r="P272" i="17" s="1"/>
  <c r="S272" i="17" s="1"/>
  <c r="I173" i="17"/>
  <c r="C271" i="17"/>
  <c r="P271" i="17" s="1"/>
  <c r="S271" i="17" s="1"/>
  <c r="I157" i="17"/>
  <c r="C249" i="17"/>
  <c r="C248" i="17"/>
  <c r="P248" i="17" s="1"/>
  <c r="C245" i="17"/>
  <c r="P245" i="17" s="1"/>
  <c r="X218" i="58"/>
  <c r="I149" i="17"/>
  <c r="X196" i="58"/>
  <c r="X192" i="58"/>
  <c r="X204" i="58"/>
  <c r="H157" i="17"/>
  <c r="I215" i="17"/>
  <c r="D275" i="17" s="1"/>
  <c r="X163" i="54"/>
  <c r="I126" i="17"/>
  <c r="H116" i="17"/>
  <c r="H203" i="17"/>
  <c r="X165" i="54"/>
  <c r="C238" i="17"/>
  <c r="P238" i="17" s="1"/>
  <c r="H35" i="17"/>
  <c r="H20" i="17" s="1"/>
  <c r="W138" i="54"/>
  <c r="C237" i="17"/>
  <c r="P241" i="17"/>
  <c r="I206" i="17"/>
  <c r="D274" i="17" s="1"/>
  <c r="P274" i="17" s="1"/>
  <c r="S274" i="17" s="1"/>
  <c r="H79" i="17"/>
  <c r="X143" i="54"/>
  <c r="D246" i="17"/>
  <c r="P246" i="17" s="1"/>
  <c r="X209" i="58"/>
  <c r="W226" i="58"/>
  <c r="X169" i="54"/>
  <c r="X164" i="54"/>
  <c r="X156" i="54"/>
  <c r="X168" i="54"/>
  <c r="X160" i="54"/>
  <c r="W153" i="54"/>
  <c r="X154" i="54"/>
  <c r="I118" i="17"/>
  <c r="X149" i="54"/>
  <c r="X159" i="54"/>
  <c r="W142" i="54"/>
  <c r="D253" i="17"/>
  <c r="X144" i="54"/>
  <c r="I119" i="17"/>
  <c r="D267" i="17" s="1"/>
  <c r="X166" i="54"/>
  <c r="W158" i="54"/>
  <c r="X162" i="54"/>
  <c r="W167" i="54"/>
  <c r="X150" i="54"/>
  <c r="P243" i="17"/>
  <c r="X139" i="54"/>
  <c r="X140" i="54"/>
  <c r="H226" i="58"/>
  <c r="I226" i="58" s="1"/>
  <c r="R153" i="54"/>
  <c r="S153" i="54" s="1"/>
  <c r="H142" i="54"/>
  <c r="I142" i="54" s="1"/>
  <c r="H153" i="54"/>
  <c r="I153" i="54" s="1"/>
  <c r="R142" i="54"/>
  <c r="S142" i="54" s="1"/>
  <c r="R226" i="58"/>
  <c r="S226" i="58" s="1"/>
  <c r="R271" i="17"/>
  <c r="P250" i="17"/>
  <c r="P249" i="17"/>
  <c r="P252" i="17"/>
  <c r="R167" i="54"/>
  <c r="S167" i="54" s="1"/>
  <c r="C239" i="17"/>
  <c r="P239" i="17" s="1"/>
  <c r="C240" i="17"/>
  <c r="P240" i="17" s="1"/>
  <c r="C253" i="17"/>
  <c r="D251" i="17"/>
  <c r="P251" i="17" s="1"/>
  <c r="I193" i="17"/>
  <c r="H51" i="17"/>
  <c r="D237" i="17"/>
  <c r="I23" i="17"/>
  <c r="D259" i="17" s="1"/>
  <c r="I52" i="17"/>
  <c r="C262" i="17" s="1"/>
  <c r="I214" i="17"/>
  <c r="C275" i="17" s="1"/>
  <c r="I128" i="17"/>
  <c r="I22" i="17"/>
  <c r="C259" i="17" s="1"/>
  <c r="R138" i="54"/>
  <c r="S138" i="54" s="1"/>
  <c r="I37" i="17"/>
  <c r="D260" i="17" s="1"/>
  <c r="I36" i="17"/>
  <c r="C260" i="17" s="1"/>
  <c r="H191" i="17"/>
  <c r="I191" i="17" s="1"/>
  <c r="I192" i="17"/>
  <c r="C273" i="17" s="1"/>
  <c r="H65" i="17"/>
  <c r="I66" i="17"/>
  <c r="C263" i="17" s="1"/>
  <c r="R158" i="54"/>
  <c r="S158" i="54" s="1"/>
  <c r="I140" i="17"/>
  <c r="H83" i="17"/>
  <c r="I84" i="17"/>
  <c r="C265" i="17" s="1"/>
  <c r="Q175" i="54"/>
  <c r="H167" i="54"/>
  <c r="I167" i="54" s="1"/>
  <c r="I67" i="17"/>
  <c r="D263" i="17" s="1"/>
  <c r="I127" i="17"/>
  <c r="I117" i="17"/>
  <c r="I80" i="17"/>
  <c r="I194" i="17"/>
  <c r="E273" i="17" s="1"/>
  <c r="E276" i="17" s="1"/>
  <c r="E279" i="17" s="1"/>
  <c r="I85" i="17"/>
  <c r="D265" i="17" s="1"/>
  <c r="I141" i="17"/>
  <c r="D270" i="17" s="1"/>
  <c r="I204" i="17"/>
  <c r="I213" i="17"/>
  <c r="I49" i="17"/>
  <c r="I53" i="17"/>
  <c r="D262" i="17" s="1"/>
  <c r="H138" i="54"/>
  <c r="I138" i="54" s="1"/>
  <c r="H158" i="54"/>
  <c r="I158" i="54" s="1"/>
  <c r="I81" i="17"/>
  <c r="G175" i="54"/>
  <c r="I138" i="17"/>
  <c r="C269" i="17" s="1"/>
  <c r="P269" i="17" s="1"/>
  <c r="S269" i="17" s="1"/>
  <c r="I21" i="17"/>
  <c r="S266" i="17" l="1"/>
  <c r="R266" i="17"/>
  <c r="P260" i="17"/>
  <c r="S260" i="17" s="1"/>
  <c r="P265" i="17"/>
  <c r="S265" i="17" s="1"/>
  <c r="C267" i="17"/>
  <c r="P267" i="17" s="1"/>
  <c r="S267" i="17" s="1"/>
  <c r="P275" i="17"/>
  <c r="S275" i="17" s="1"/>
  <c r="P262" i="17"/>
  <c r="S262" i="17" s="1"/>
  <c r="P263" i="17"/>
  <c r="S263" i="17" s="1"/>
  <c r="C270" i="17"/>
  <c r="P270" i="17" s="1"/>
  <c r="S270" i="17" s="1"/>
  <c r="C268" i="17"/>
  <c r="P268" i="17" s="1"/>
  <c r="S268" i="17" s="1"/>
  <c r="X226" i="58"/>
  <c r="I35" i="17"/>
  <c r="I20" i="17" s="1"/>
  <c r="I116" i="17"/>
  <c r="I203" i="17"/>
  <c r="I79" i="17"/>
  <c r="C264" i="17" s="1"/>
  <c r="P264" i="17" s="1"/>
  <c r="S264" i="17" s="1"/>
  <c r="X153" i="54"/>
  <c r="Y153" i="54" s="1"/>
  <c r="X167" i="54"/>
  <c r="Y167" i="54" s="1"/>
  <c r="X158" i="54"/>
  <c r="Y158" i="54" s="1"/>
  <c r="X142" i="54"/>
  <c r="Y142" i="54" s="1"/>
  <c r="P253" i="17"/>
  <c r="X138" i="54"/>
  <c r="Y138" i="54" s="1"/>
  <c r="W175" i="54"/>
  <c r="R272" i="17"/>
  <c r="R274" i="17"/>
  <c r="P259" i="17"/>
  <c r="D273" i="17"/>
  <c r="P273" i="17" s="1"/>
  <c r="S273" i="17" s="1"/>
  <c r="D254" i="17"/>
  <c r="P237" i="17"/>
  <c r="C261" i="17"/>
  <c r="P261" i="17" s="1"/>
  <c r="S261" i="17" s="1"/>
  <c r="I51" i="17"/>
  <c r="C242" i="17"/>
  <c r="I139" i="17"/>
  <c r="I137" i="17" s="1"/>
  <c r="I65" i="17"/>
  <c r="R175" i="54"/>
  <c r="S175" i="54" s="1"/>
  <c r="I83" i="17"/>
  <c r="H137" i="17"/>
  <c r="H175" i="54"/>
  <c r="I175" i="54" s="1"/>
  <c r="H50" i="17"/>
  <c r="C276" i="17" l="1"/>
  <c r="R268" i="17"/>
  <c r="D276" i="17"/>
  <c r="R275" i="17"/>
  <c r="R267" i="17"/>
  <c r="X175" i="54"/>
  <c r="Y175" i="54" s="1"/>
  <c r="R264" i="17"/>
  <c r="R265" i="17"/>
  <c r="R269" i="17"/>
  <c r="R263" i="17"/>
  <c r="R260" i="17"/>
  <c r="R259" i="17"/>
  <c r="S259" i="17"/>
  <c r="S276" i="17" s="1"/>
  <c r="R262" i="17"/>
  <c r="R273" i="17"/>
  <c r="C254" i="17"/>
  <c r="P242" i="17"/>
  <c r="P254" i="17" s="1"/>
  <c r="H223" i="17"/>
  <c r="I50" i="17"/>
  <c r="I223" i="17" s="1"/>
  <c r="I224" i="17" s="1"/>
  <c r="I378" i="55"/>
  <c r="I390" i="55" s="1"/>
  <c r="D278" i="17" l="1"/>
  <c r="D279" i="17"/>
  <c r="C279" i="17"/>
  <c r="C278" i="17"/>
  <c r="P278" i="17" s="1"/>
  <c r="P276" i="17"/>
  <c r="L277" i="17" s="1"/>
  <c r="R270" i="17"/>
  <c r="R261" i="17"/>
  <c r="R276" i="17" l="1"/>
  <c r="C277" i="17"/>
  <c r="D277" i="17"/>
  <c r="J277" i="17"/>
  <c r="I277" i="17"/>
  <c r="K277" i="17"/>
  <c r="G277" i="17"/>
  <c r="F277" i="17"/>
  <c r="H277" i="17"/>
  <c r="P279" i="17"/>
  <c r="Q263" i="17"/>
  <c r="Q264" i="17"/>
  <c r="Q260" i="17"/>
  <c r="Q262" i="17"/>
  <c r="Q268" i="17"/>
  <c r="Q269" i="17"/>
  <c r="Q270" i="17"/>
  <c r="Q259" i="17"/>
  <c r="Q261" i="17"/>
  <c r="Q275" i="17"/>
  <c r="Q271" i="17"/>
  <c r="Q274" i="17"/>
  <c r="Q266" i="17"/>
  <c r="Q265" i="17"/>
  <c r="Q272" i="17"/>
  <c r="Q273" i="17"/>
  <c r="Q267" i="17"/>
  <c r="M277" i="17"/>
  <c r="N277" i="17"/>
  <c r="O277" i="17"/>
  <c r="E277" i="17"/>
  <c r="P277" i="17"/>
  <c r="Q276"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Mima Suhadolc</author>
  </authors>
  <commentList>
    <comment ref="E394" authorId="0" shapeId="0" xr:uid="{2A8FCD35-69FC-42E4-B640-7371DEB65965}">
      <text>
        <r>
          <rPr>
            <b/>
            <sz val="9"/>
            <color indexed="81"/>
            <rFont val="Tahoma"/>
            <family val="2"/>
          </rPr>
          <t>Mima Suhadolc:</t>
        </r>
        <r>
          <rPr>
            <sz val="9"/>
            <color indexed="81"/>
            <rFont val="Tahoma"/>
            <family val="2"/>
          </rPr>
          <t xml:space="preserve">
ZA NOTRANJO OPREMO JE LAHKO DODATEK DO 50%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<sst xmlns="http://schemas.openxmlformats.org/spreadsheetml/2006/main" count="4944" uniqueCount="1160">
  <si>
    <t>SKUPAJ</t>
  </si>
  <si>
    <t>SKUPAJ PROJEKT</t>
  </si>
  <si>
    <t>NOTRANJA OPREMA</t>
  </si>
  <si>
    <t>1.</t>
  </si>
  <si>
    <t>2.</t>
  </si>
  <si>
    <t>3.</t>
  </si>
  <si>
    <t>6.</t>
  </si>
  <si>
    <t>8.</t>
  </si>
  <si>
    <t>9.</t>
  </si>
  <si>
    <t>10.</t>
  </si>
  <si>
    <t>11.</t>
  </si>
  <si>
    <t>12.</t>
  </si>
  <si>
    <t>13.</t>
  </si>
  <si>
    <t>14.</t>
  </si>
  <si>
    <t>15.</t>
  </si>
  <si>
    <t>16.</t>
  </si>
  <si>
    <t>17.</t>
  </si>
  <si>
    <t>18.</t>
  </si>
  <si>
    <t>19.</t>
  </si>
  <si>
    <t>20.</t>
  </si>
  <si>
    <t>21.</t>
  </si>
  <si>
    <t>22.</t>
  </si>
  <si>
    <t>23.</t>
  </si>
  <si>
    <t>Letni fond delovnih dni</t>
  </si>
  <si>
    <t>Število dela prostih dni (prazniki)</t>
  </si>
  <si>
    <t>% projekta</t>
  </si>
  <si>
    <t>STOLPEC</t>
  </si>
  <si>
    <t>VRSTICA</t>
  </si>
  <si>
    <t>PRIMERJALNA VRSTICA</t>
  </si>
  <si>
    <t>0</t>
  </si>
  <si>
    <t>POBUDA</t>
  </si>
  <si>
    <t>0.1</t>
  </si>
  <si>
    <t>0.2</t>
  </si>
  <si>
    <t>1</t>
  </si>
  <si>
    <t>ZAGON</t>
  </si>
  <si>
    <t>1.1</t>
  </si>
  <si>
    <t>1.2</t>
  </si>
  <si>
    <t>1.3</t>
  </si>
  <si>
    <t>PROJEKTIRANJE</t>
  </si>
  <si>
    <t>3</t>
  </si>
  <si>
    <t>3.1</t>
  </si>
  <si>
    <t>3.2</t>
  </si>
  <si>
    <t>4.1</t>
  </si>
  <si>
    <t>4.2</t>
  </si>
  <si>
    <t>4.3</t>
  </si>
  <si>
    <t>4.4</t>
  </si>
  <si>
    <t>4.5</t>
  </si>
  <si>
    <t>UPORABA</t>
  </si>
  <si>
    <t>5.1</t>
  </si>
  <si>
    <t>5.2</t>
  </si>
  <si>
    <t>KONEC ŽIVLJENJSKEGA CIKLA</t>
  </si>
  <si>
    <t>2.1</t>
  </si>
  <si>
    <t>2.2</t>
  </si>
  <si>
    <t>2.3</t>
  </si>
  <si>
    <t>6.1</t>
  </si>
  <si>
    <t>6.2</t>
  </si>
  <si>
    <t>6.3</t>
  </si>
  <si>
    <t>ŠTEVILO NU</t>
  </si>
  <si>
    <t>NAROČNIK</t>
  </si>
  <si>
    <t>PONUDNIK</t>
  </si>
  <si>
    <t>GRADNJA</t>
  </si>
  <si>
    <t>DATUM</t>
  </si>
  <si>
    <t>GRADBENO OBRTNIŠKA DELA (GO)</t>
  </si>
  <si>
    <t>STROJNE INŠTALACIJE (SI)</t>
  </si>
  <si>
    <t>ELEKTRIČNE INŠTALACIJE (EI)</t>
  </si>
  <si>
    <t xml:space="preserve">TRŽNA ANALIZA                            </t>
  </si>
  <si>
    <t>OCENA GOSPODARNOSTI</t>
  </si>
  <si>
    <t>ZAGON PROJEKTA</t>
  </si>
  <si>
    <t>ŠTUDIJA IZVEDLJIVOSTI</t>
  </si>
  <si>
    <t>ZAŠČITA PRED HRUPOM</t>
  </si>
  <si>
    <t>VREDNOST V EUR</t>
  </si>
  <si>
    <t>OBRAČUNSKI STROŠKI V EUR</t>
  </si>
  <si>
    <t>CENOVNI RAZRED I</t>
  </si>
  <si>
    <t>CENOVNI RAZRED II</t>
  </si>
  <si>
    <t>CENOVNI RAZRED III</t>
  </si>
  <si>
    <t>CENOVNI RAZRED IV</t>
  </si>
  <si>
    <t>CENOVNI RAZRED V</t>
  </si>
  <si>
    <t>zelo nizke zahteve</t>
  </si>
  <si>
    <t>nizke zahteve</t>
  </si>
  <si>
    <t>povprečne zahteve</t>
  </si>
  <si>
    <t>visoke zahteve</t>
  </si>
  <si>
    <t>zelo visoke zahteve</t>
  </si>
  <si>
    <t>1 do 6 točk</t>
  </si>
  <si>
    <t>1 do 9 točk</t>
  </si>
  <si>
    <t>Cenovni razred I</t>
  </si>
  <si>
    <t>Cenovni razred II</t>
  </si>
  <si>
    <t>Cenovni razred III</t>
  </si>
  <si>
    <t>Cenovni razred IV</t>
  </si>
  <si>
    <t>Cenovni razred V</t>
  </si>
  <si>
    <t>EUR</t>
  </si>
  <si>
    <t>PRIMERJALNO ŠTEVILO UR</t>
  </si>
  <si>
    <t>Poraba časa za storitve na področju načrtovanja gradbenih konstrukcij</t>
  </si>
  <si>
    <t>BRUTO POVRŠINA</t>
  </si>
  <si>
    <t>SKUPAJ STAVBA</t>
  </si>
  <si>
    <t>SKUPAJ BRUTO POVRŠINA</t>
  </si>
  <si>
    <t>SNOVANJE</t>
  </si>
  <si>
    <t>2.4</t>
  </si>
  <si>
    <t>2.5</t>
  </si>
  <si>
    <t>PRIPRAVA GRADIV ZA NAROČILO</t>
  </si>
  <si>
    <t>POVPREČNA VREDNOST GOI EUR/m2 BEP</t>
  </si>
  <si>
    <t>SKUPAJ NETO POVRŠINA</t>
  </si>
  <si>
    <t>POVPREČNA VREDNOST NOTRANJA OPREMA EUR/m2 NEP</t>
  </si>
  <si>
    <t>število funkcionalnih področij</t>
  </si>
  <si>
    <t>zahteve glede oblikovanje svetlobe</t>
  </si>
  <si>
    <t>zahteve glede razporeditve in razmerja prostorov</t>
  </si>
  <si>
    <t>zahteve glede inštalacij</t>
  </si>
  <si>
    <t>zahteve glede barv in materialov</t>
  </si>
  <si>
    <t>konstruktivno oblikovanje detajlov</t>
  </si>
  <si>
    <t>zahteve za vključitev v okolje</t>
  </si>
  <si>
    <t>zahtevnost inštalacij</t>
  </si>
  <si>
    <t>4.</t>
  </si>
  <si>
    <t>5.</t>
  </si>
  <si>
    <t>SKUPAJ MAKSIMALNO 42</t>
  </si>
  <si>
    <t>oblikovne zahteve</t>
  </si>
  <si>
    <t>komunalna ureditev</t>
  </si>
  <si>
    <t>1 do 8 točk</t>
  </si>
  <si>
    <t>SKUPAJ MAKSIMALNO 36</t>
  </si>
  <si>
    <t>IZBRANI CENOVNI RAZRED</t>
  </si>
  <si>
    <t>PRIMERJALNI STOLPEC</t>
  </si>
  <si>
    <t>MINIMALNO ŠTEVILO UR</t>
  </si>
  <si>
    <t>INTERPOLACIJA ŠTEVILA UR ZA NIŽJO VREDNOST</t>
  </si>
  <si>
    <t>INTERPOLACIJA ŠTEVILA UR ZA VIŠJO VREDNOST</t>
  </si>
  <si>
    <t>NAROČANJE</t>
  </si>
  <si>
    <t>PORAZDELITEV UR ZA NAČRTE ELEKTROTEHNIKE</t>
  </si>
  <si>
    <t>PORAZDELITEV UR ZA NAČRTE STROJNIŠTVA</t>
  </si>
  <si>
    <t>I.</t>
  </si>
  <si>
    <t>Stroški</t>
  </si>
  <si>
    <t>A.</t>
  </si>
  <si>
    <t>mesec</t>
  </si>
  <si>
    <t>leto</t>
  </si>
  <si>
    <t>ura</t>
  </si>
  <si>
    <t>faktor bruto/neto</t>
  </si>
  <si>
    <t>skupaj</t>
  </si>
  <si>
    <t>B.</t>
  </si>
  <si>
    <t>Drugi stroški</t>
  </si>
  <si>
    <t>pisarniški in drobni material</t>
  </si>
  <si>
    <t>telefon, internet</t>
  </si>
  <si>
    <t>reprezentanca</t>
  </si>
  <si>
    <t>amortizacija osnovnih sredsev</t>
  </si>
  <si>
    <t>7.</t>
  </si>
  <si>
    <t>amortizacija programske opreme</t>
  </si>
  <si>
    <t>potni stroški, dnevnice</t>
  </si>
  <si>
    <t>prevozna sredstva (leasing, vzdrževanje)</t>
  </si>
  <si>
    <t>literatura, revije, časopisi</t>
  </si>
  <si>
    <t>sodne takse</t>
  </si>
  <si>
    <t>zavarovanja</t>
  </si>
  <si>
    <t>finančni stroški (banke, posojila, )</t>
  </si>
  <si>
    <t>davki</t>
  </si>
  <si>
    <t>računovodstvo</t>
  </si>
  <si>
    <t>odvetniške in notarske stroitve</t>
  </si>
  <si>
    <t xml:space="preserve">druga svetovanja v zvezi z vodenjem firme </t>
  </si>
  <si>
    <t>članarine</t>
  </si>
  <si>
    <t>natečaji (materialni stroški, delo ziunanjih sodelavcev, nabave gradiva, ..)</t>
  </si>
  <si>
    <t>promocija (objave, sodelovanje na predstavitvah)</t>
  </si>
  <si>
    <t>donacije</t>
  </si>
  <si>
    <t>štipendije</t>
  </si>
  <si>
    <t>kazni, odškodnine (rizični fond)</t>
  </si>
  <si>
    <t>skupaj biro</t>
  </si>
  <si>
    <t>C.</t>
  </si>
  <si>
    <t>SKUPAJ A.+B.+C.</t>
  </si>
  <si>
    <t>II.</t>
  </si>
  <si>
    <t>Proizvodne ure</t>
  </si>
  <si>
    <t xml:space="preserve">proizvodne ure </t>
  </si>
  <si>
    <t>Cena povprečne proizvodne ure (NU)</t>
  </si>
  <si>
    <t>Razmerja</t>
  </si>
  <si>
    <t>faktor NU/bto ura</t>
  </si>
  <si>
    <t>prostori, 15 m2/delavec (najemnina, tekoči stroški in vzdrževanje, nadomestilo za uporabo stavbnega zemljišča)</t>
  </si>
  <si>
    <t>pošta, kurirji, DHL, …</t>
  </si>
  <si>
    <t>Pričakovani dobiček (pred obdavčitvijo, 10 % stroškov</t>
  </si>
  <si>
    <t>faktor NU/nto ura</t>
  </si>
  <si>
    <t>delež</t>
  </si>
  <si>
    <t>prehrana (ocena)</t>
  </si>
  <si>
    <t>prevoz na delo (ocena)</t>
  </si>
  <si>
    <t>regres</t>
  </si>
  <si>
    <t>Podatki</t>
  </si>
  <si>
    <t>število zaposlenih</t>
  </si>
  <si>
    <t>od tega proizvodnih delavcev</t>
  </si>
  <si>
    <t>Stroški dela posameznega delavca</t>
  </si>
  <si>
    <t>skupaj za vse delavce</t>
  </si>
  <si>
    <t>dni</t>
  </si>
  <si>
    <t>ur</t>
  </si>
  <si>
    <t>Letni dopust</t>
  </si>
  <si>
    <t>Bolniška odsotnost</t>
  </si>
  <si>
    <t>Izobraževanje</t>
  </si>
  <si>
    <t>bto plača</t>
  </si>
  <si>
    <t>neto plača</t>
  </si>
  <si>
    <t>zahteve glede varovanja, ohranjanja in razvoja narave</t>
  </si>
  <si>
    <t>VRSTA UREDITVE</t>
  </si>
  <si>
    <t>POVRŠINA</t>
  </si>
  <si>
    <t>SKUPAJ POVRŠINA</t>
  </si>
  <si>
    <t>POVPREČNA VREDNOST GOI EUR/m2</t>
  </si>
  <si>
    <t>do 10 točk</t>
  </si>
  <si>
    <t>11 do 18 točk</t>
  </si>
  <si>
    <t>19 do 26 točk</t>
  </si>
  <si>
    <t>27 do 34 točk</t>
  </si>
  <si>
    <t>35 do 42 točk</t>
  </si>
  <si>
    <t>do 8 točk</t>
  </si>
  <si>
    <t>9 do 15 točk</t>
  </si>
  <si>
    <t>16 do 22 točk</t>
  </si>
  <si>
    <t>23 do 29 točk</t>
  </si>
  <si>
    <t>30 do 36 točk</t>
  </si>
  <si>
    <t>SKUPAJ OSNOVNE STORITVE</t>
  </si>
  <si>
    <t>GRADBENA POGODBA</t>
  </si>
  <si>
    <t>PRIPRAVA GRADNJE</t>
  </si>
  <si>
    <t>SPUŠČANJE V OBRATOVANJE</t>
  </si>
  <si>
    <t>OBRATOVANJE</t>
  </si>
  <si>
    <t>VZDRŽEVANJE</t>
  </si>
  <si>
    <t>PRESOJA</t>
  </si>
  <si>
    <t>PRENOVA</t>
  </si>
  <si>
    <t>RAZGRADNJA</t>
  </si>
  <si>
    <t>DDV 22%</t>
  </si>
  <si>
    <t>NAVODILA</t>
  </si>
  <si>
    <r>
      <t>m</t>
    </r>
    <r>
      <rPr>
        <vertAlign val="superscript"/>
        <sz val="10"/>
        <rFont val="Inter Light"/>
        <family val="2"/>
        <charset val="238"/>
      </rPr>
      <t>2</t>
    </r>
  </si>
  <si>
    <r>
      <t>EUR/m</t>
    </r>
    <r>
      <rPr>
        <vertAlign val="superscript"/>
        <sz val="10"/>
        <rFont val="Inter Light"/>
        <family val="2"/>
        <charset val="238"/>
      </rPr>
      <t>2</t>
    </r>
  </si>
  <si>
    <t>POSEBNE STORITVE</t>
  </si>
  <si>
    <t>Vpiši vrednost</t>
  </si>
  <si>
    <t>IZRAČUNANI CENOVNI RAZRED</t>
  </si>
  <si>
    <t>PORAZDELITEV UR ZA NAČRTOVANJE STAVB</t>
  </si>
  <si>
    <t>ODPRTI PROSTOR</t>
  </si>
  <si>
    <t>TIPOLOGIJA NOTRANJE OPREME</t>
  </si>
  <si>
    <t>SKUPAJ NOTRANJA OPREMA</t>
  </si>
  <si>
    <t>OSNOVNI PODATKI</t>
  </si>
  <si>
    <t>SKUPAJ ODPRTI PROSTOR</t>
  </si>
  <si>
    <t>I</t>
  </si>
  <si>
    <t>II</t>
  </si>
  <si>
    <t>III</t>
  </si>
  <si>
    <t>IV</t>
  </si>
  <si>
    <t>V</t>
  </si>
  <si>
    <t>x</t>
  </si>
  <si>
    <t>preprosti rovi in predori</t>
  </si>
  <si>
    <t>obalni zidovi in stene</t>
  </si>
  <si>
    <t>preproste zapornice za ladje in čolne</t>
  </si>
  <si>
    <t>enostavne naprave za predelavo gradbenih odpadkov</t>
  </si>
  <si>
    <t>zahtevni nasipi in jezovi</t>
  </si>
  <si>
    <t>fiksne zapornice</t>
  </si>
  <si>
    <t>preproste premične zapornice</t>
  </si>
  <si>
    <t>zahtevni obalni zidovi in stene, utrditev brežin na vodnih poteh</t>
  </si>
  <si>
    <t>ladijske zapornice za nizko višino dviga</t>
  </si>
  <si>
    <t>ladjedelnice, preprosti suhi doki</t>
  </si>
  <si>
    <t>ladijski kanali z bitvami, obalnimi zidovi, s preprostimi pogoji</t>
  </si>
  <si>
    <t>začasna skladišča, nepokriti zbirni centri in prekladalne postaje za odpadke, odpadno embalažo in kosovne odpadke s preprostimi dodatnimi napravami</t>
  </si>
  <si>
    <t>kompostirnice rastlinskih odpadkov brez posebnih naprav</t>
  </si>
  <si>
    <t>odlagališča gradbenih odpadkov</t>
  </si>
  <si>
    <t xml:space="preserve">enopoljni mostovi </t>
  </si>
  <si>
    <t>premične zapornice</t>
  </si>
  <si>
    <t>hidroelektrarne</t>
  </si>
  <si>
    <t>ladijski kanali z bitvami, obalnimi zidovi, v zahtevnih razmerah, s prehodi</t>
  </si>
  <si>
    <t>ladijske zapornice za veliko višino dviga</t>
  </si>
  <si>
    <t>zahtevni suhi doki</t>
  </si>
  <si>
    <t>kompostirnice</t>
  </si>
  <si>
    <t>sanacija starih odlagališč odpadkov in kontaminiranih zemljišč</t>
  </si>
  <si>
    <t>enostavni večpoljni in ločni mostovi</t>
  </si>
  <si>
    <t>zahtevni dimniki</t>
  </si>
  <si>
    <t>zahtevne vetrnice</t>
  </si>
  <si>
    <t xml:space="preserve">sidrani masivni podporni in oporni zidovi na zahtevnem terenu </t>
  </si>
  <si>
    <t>zahtevne samostojne podzemne garaže, zahtevne kaverne in komore, zahtevni predori</t>
  </si>
  <si>
    <t>zahtevne čistilne naprave</t>
  </si>
  <si>
    <t>zahtevni plavajoči pomoli, premični nakladalni mostovi</t>
  </si>
  <si>
    <t>mostovi za komunalne vode</t>
  </si>
  <si>
    <t>posebej zahtevni dimniki</t>
  </si>
  <si>
    <t xml:space="preserve">sidrani masivni podporni in oporni zidovi na izjemno zahtevnem terenu </t>
  </si>
  <si>
    <t>privezi za čolne z bitvami, sidrišči, valobrani in bojami na stoječih vodah</t>
  </si>
  <si>
    <t>protihrupne ograje, z izjemo protihrupnih ograj kot krajinskega oblikovanja,</t>
  </si>
  <si>
    <t>nesidrani enostavni masivni podporni in oporni zidovi z majhnimi višinskimi razlikami brez prometne obremenitve kot sredstvo za preoblikovanje terena in za konstruktivno zaščito pobočij</t>
  </si>
  <si>
    <t>posamezna vodna telesa z enakomernim padcem in enakomerno spremenljivim prečnim prerezom</t>
  </si>
  <si>
    <t>posamezna vodna telesa z enakomernim padcem in prečnim prerezom, z izjemo posameznih vodnih teles s pretežno ekološkimi in krajinsko oblikovalskimi elementi</t>
  </si>
  <si>
    <t>Nasipi in jezovi</t>
  </si>
  <si>
    <t>rovi in prepusti</t>
  </si>
  <si>
    <t>preproste ojačitve brežin</t>
  </si>
  <si>
    <t>začasna skladišča, nepokriti zbirni centri in prekladalne postaje za odpadke, odpadno embalažo in kosovne odpadke brez dodatnih naprav</t>
  </si>
  <si>
    <t>odlagališča gradbenih odpadkov brez posebnih naprav</t>
  </si>
  <si>
    <t>enostavni sistemi za zaščito pred hrupom</t>
  </si>
  <si>
    <t>jambori in stolpi brez nadgradenj</t>
  </si>
  <si>
    <t>nesidrani enostavni masivni podporni in oporni zidovi s prometnimi obremenitvami na nezahtevnem terenu</t>
  </si>
  <si>
    <t>posamezna vodna telesa z neenakomernim padcem in neenakomerno spremenljivim prečnim prerezom</t>
  </si>
  <si>
    <t>zadrževalniki in nasipi z višino do 5,0 m nad terenom ali do 100.000 m3 prostornine</t>
  </si>
  <si>
    <t>enostavne fiksne zapornice</t>
  </si>
  <si>
    <t>majhne hidroelektrarne</t>
  </si>
  <si>
    <t>začasna skladišča, nepokriti zbirni centri in prekladalne postaje za odpadke, odpadno embalažo in kosovne odpadke z zahtevnimi dodatnimi napravami</t>
  </si>
  <si>
    <t>naprave za predelavo odpadkov</t>
  </si>
  <si>
    <t>naprave za predelavo gradbenih odpadkov</t>
  </si>
  <si>
    <t>kompostirnice organiskih odpadkov, kompostirnice rastlinskih odpadkov</t>
  </si>
  <si>
    <t>odlagališča nenevarnih odpadkov in monodeponije</t>
  </si>
  <si>
    <t>sistemi za zaščito pred hrupom</t>
  </si>
  <si>
    <t>ravni enopoljni mostovi preproste zasnove</t>
  </si>
  <si>
    <t>dimniki</t>
  </si>
  <si>
    <t>enostavni dimniki</t>
  </si>
  <si>
    <t>čistilne naprave s skupno aerobno stabilizacijo, črpališča in dvižne naprave</t>
  </si>
  <si>
    <t>čistilne naprave, zahtevnejša črpališča in dvižne naprave</t>
  </si>
  <si>
    <t>posamezna vodna telesa z neenakomernim padcem in številnimi spremembami  prečnega prerez, vodni sistemi s številnimi spremembami prereza, zlasti zahtevno načrtovanje vodotokov z visokimi tehničnimi zahtevami in izravnalnimi ukrepi</t>
  </si>
  <si>
    <t xml:space="preserve">zadrževalniki in nasipi s prostornino od 100.000 m³ do 5.000.000 m³ </t>
  </si>
  <si>
    <t>izjemno zahtevni nasipi in jezovi</t>
  </si>
  <si>
    <t>preproste pregrade in zapore kanalov</t>
  </si>
  <si>
    <t>pregrade in zapore kanalov</t>
  </si>
  <si>
    <t>protipoplavni jezovi in stene</t>
  </si>
  <si>
    <t>protipoplavni jezovi in stene v težkih pogojih</t>
  </si>
  <si>
    <t>odlagališča nenevarnih odpadkov in mono odlagališča s težkimi tehničnimi zahtevami</t>
  </si>
  <si>
    <t>sistemi za kondicioniranje nevarnih odpadkov</t>
  </si>
  <si>
    <t>odlagališča nevarnih odpadkov</t>
  </si>
  <si>
    <t>sistemi za podzemna odlagališča</t>
  </si>
  <si>
    <t>odlagališča zabojnikov</t>
  </si>
  <si>
    <t>tesnjenje starih nanosov in onesnaženih mest s visokimi tehničnimi zahtevami</t>
  </si>
  <si>
    <t>tesnjenje starih nanosov in onesnaženih mest</t>
  </si>
  <si>
    <t>sistemi za zaščito pred hrupom v zahtevem urbanem okolju</t>
  </si>
  <si>
    <t>postaje podzemne železnice</t>
  </si>
  <si>
    <t xml:space="preserve">sidrani masivni podporni in oporni zidovi ali nesidrani masivni podporni in oporni zidovi na zahtevnem terenu </t>
  </si>
  <si>
    <t>zahtevne hidroelektrarne, na primer črpalne ali kavernske elektrarne</t>
  </si>
  <si>
    <t>poplavni kesoni, zahtevni jezovi, valobrani</t>
  </si>
  <si>
    <t>privezi za čolne z bitvami, sidrišči, valobrani in bojami na tekočnih vodah, enostavni nakladalni mostovi za ladje, z enostavnimi obalnimi zidovi in pomoli</t>
  </si>
  <si>
    <t>nakladalni mostovi za ladje, pristanišča z bitvami, sidrišči, valobrani in bojami z  obalnimi zidovi in pomoli z velikimi obremenitvami</t>
  </si>
  <si>
    <t>pristanišča, nakladalni mostovi za ladje v primeru plime ali poplave, pristanišča v primeru plime in poplave, zahtevne obalne stene in pomoli</t>
  </si>
  <si>
    <t>dvigala za ladje</t>
  </si>
  <si>
    <t>plavajoči doki</t>
  </si>
  <si>
    <t>sežigalnice, pirolizne naprave</t>
  </si>
  <si>
    <t>zahtevni eno- in večpoljni mostovi in ločni mostovi</t>
  </si>
  <si>
    <t>zahtevne vzdolžno prednapete jeklene konstrukcije</t>
  </si>
  <si>
    <t>zahtevne postaje podzemne železnice</t>
  </si>
  <si>
    <t>posebej zahtevne postaje  in prestopne postaje podzemne železnice</t>
  </si>
  <si>
    <t>zbiralniki deževnice</t>
  </si>
  <si>
    <t>male komunalne čistilne naprave, enostavna črpališča in dvižne naprave</t>
  </si>
  <si>
    <t>zahtevni rovi in prepusti</t>
  </si>
  <si>
    <t>posebej zahtevni rovi in prepusti</t>
  </si>
  <si>
    <t>večstopenjske naprave za predelavo odpadkov</t>
  </si>
  <si>
    <t>enostavne, enostopenjske naprave za predelavo odpadkov</t>
  </si>
  <si>
    <t>zahtevne naprave za čiščenje odpadne vode</t>
  </si>
  <si>
    <t>naprave za čiščenje odpadne vode</t>
  </si>
  <si>
    <t>predori in tuneli</t>
  </si>
  <si>
    <t>zahtevni predori in tuneli</t>
  </si>
  <si>
    <t>zelo zahtevni predori in tuneli</t>
  </si>
  <si>
    <t>izjemno zahtevni mostovi</t>
  </si>
  <si>
    <t xml:space="preserve">samostojne podzemne garaže, enostavne kaverne in komore, enostavne predori </t>
  </si>
  <si>
    <t>izjemno zahtevne kaverne in komore</t>
  </si>
  <si>
    <t>Stanovanjske stavbe, domovi, šole, upravne stavbe ali banke s povprečno tehnično opremo</t>
  </si>
  <si>
    <t>Domovi, šole, upravne stavbe z nadpovprečno tehnično opremo</t>
  </si>
  <si>
    <t>stanovanjske stavbe z zamaknjenimi tlorisi</t>
  </si>
  <si>
    <t>stanovanjske stavbe, izpostavljene zunanjemu hrupu</t>
  </si>
  <si>
    <t>hoteli, kadar se ne uvrščajo v III. razred</t>
  </si>
  <si>
    <t>univerze in visoke šole</t>
  </si>
  <si>
    <t>bolnišnice, kadar se ne uvrščajo v III. razred</t>
  </si>
  <si>
    <t>stavbe za oddih, zdravljenje in rekreacijo</t>
  </si>
  <si>
    <t>Dvorane za družabne prireditve, kadar se ne uvrščajo v III. razred</t>
  </si>
  <si>
    <t>delavnice, ki potrebujejo zvočno zaščitene prostore</t>
  </si>
  <si>
    <t>hoteli z obsežno gastronomsko dejavnostjo</t>
  </si>
  <si>
    <t>stavbe za poslovno ali stanovanjsko rabo</t>
  </si>
  <si>
    <t>bolnišnice na posebej neugodnih lokacijah ali z neugodno razporeditvijo oskrbovalnih naprav</t>
  </si>
  <si>
    <t>Koncertne dvorane, gledališča, operne hiše, konferenčne in kongresne dvorane stavbe</t>
  </si>
  <si>
    <t>snemalni studii, akustični merilni laboratoriji</t>
  </si>
  <si>
    <t>Prostori (dvorane) za počitek, igralnice, foyerji</t>
  </si>
  <si>
    <t>Pisarne odprtega tipa</t>
  </si>
  <si>
    <t>Učilnice, predavalnice in sejne sobe</t>
  </si>
  <si>
    <t>– do 500 m³</t>
  </si>
  <si>
    <t>– 500 do 1 500 m³</t>
  </si>
  <si>
    <t>– več kot 1 500 m³</t>
  </si>
  <si>
    <t>Kinematografi</t>
  </si>
  <si>
    <t>– do 1 000 m³</t>
  </si>
  <si>
    <t>– 1 000 do 3 000 m³</t>
  </si>
  <si>
    <t>– več kot 3 000 m³</t>
  </si>
  <si>
    <t>Cerkve</t>
  </si>
  <si>
    <t>Športne dvorane, telovadnice</t>
  </si>
  <si>
    <t>– brez možnosti pregrajevanje, do 1 000 m³</t>
  </si>
  <si>
    <t>– z možnostjo pregrajevanja, do 3 000 m³</t>
  </si>
  <si>
    <t>Večnamenske dovrane</t>
  </si>
  <si>
    <t>– do 3 000 m³</t>
  </si>
  <si>
    <t>Koncertne dvorane, gledališča, operne hiše</t>
  </si>
  <si>
    <t>prostori s spremenljivimi akustičnimi lastnostmi</t>
  </si>
  <si>
    <t>TEHNOLOGIJA</t>
  </si>
  <si>
    <t>TEHNOLOGIJA (TH)</t>
  </si>
  <si>
    <t>VREDNOST DEL GRADNJA</t>
  </si>
  <si>
    <t>TEHNIČNA OPREMA</t>
  </si>
  <si>
    <t>INŽENIRSKI OBJEKTI</t>
  </si>
  <si>
    <t>STAVBE</t>
  </si>
  <si>
    <t>OBJEKTI PROMETNE INFRASTRUKTURE</t>
  </si>
  <si>
    <t>GRADBENE KONSTRUKCIJE</t>
  </si>
  <si>
    <t>ELEKTRIČNE INSTALACIJE</t>
  </si>
  <si>
    <t>STROJNE INSTALACIJE</t>
  </si>
  <si>
    <t>UČINKOVITA RABA ENERGIJE</t>
  </si>
  <si>
    <t>PROSTORSKA AKUSTIKA</t>
  </si>
  <si>
    <t>POŽARNA VARNOST</t>
  </si>
  <si>
    <t>oblikovna zahtevnost</t>
  </si>
  <si>
    <t>konstrukcijska zahtevnost</t>
  </si>
  <si>
    <t>zahtevnost zaključnih del</t>
  </si>
  <si>
    <t>Predavalnice, kongresni centri</t>
  </si>
  <si>
    <t>Laboratoriji ali inštituti</t>
  </si>
  <si>
    <t>Stavbe kazenskega sistema</t>
  </si>
  <si>
    <t>Ustanove za varstvo odraslih, dnevni centri</t>
  </si>
  <si>
    <t>Domovi za ostarele ali posteljni domovi z medicinsko-tehničnimi pripomočki ali brez njih,</t>
  </si>
  <si>
    <t>Reševalne postaje, ambulante</t>
  </si>
  <si>
    <t>Prostori za terapijo ali rehabilitacijo, zgradbe za rekreacijo, zdravljenje ali okrevanje</t>
  </si>
  <si>
    <t>Pomožne bolnišnice</t>
  </si>
  <si>
    <t>Bolnišnice I ali II stopnje oskrbe, bolnišnice posebnega namena</t>
  </si>
  <si>
    <t>Bolnišnice III. Stopnje oskrbe, univerzitetne bolnišnice</t>
  </si>
  <si>
    <t>Enostavna prodajna skladišča, stojnice, kioski</t>
  </si>
  <si>
    <t>Javne kuhinje, z jedilnicami ali brez njih</t>
  </si>
  <si>
    <t>Preproste tribune</t>
  </si>
  <si>
    <t>Čolnarne</t>
  </si>
  <si>
    <t>Telovadnice ali športne dvorane</t>
  </si>
  <si>
    <t>Gospodarske zgradbe, hlevi</t>
  </si>
  <si>
    <t>Rastlinjaki za proizvodnjo</t>
  </si>
  <si>
    <t>Enostavne zaprte enonadstropne dvorane, delavnice</t>
  </si>
  <si>
    <t>posebne zgradbe za skladiščenje, na primer hladilnice</t>
  </si>
  <si>
    <t>Odprti prehodi, nadkritja, na primer vremenska zavetišča, nadstrešnice</t>
  </si>
  <si>
    <t>Enostavne garažne zgradbe</t>
  </si>
  <si>
    <t>Parkirne stavbe, garaže, podzemne garaže, vsaka z integriranimi drugimi vrstami uporabe</t>
  </si>
  <si>
    <t>Potniški centri ali postaje različnih javnih prevozov</t>
  </si>
  <si>
    <t>letališča</t>
  </si>
  <si>
    <t>energetske centrale, zgradbe elektrarn, velike elektrarne</t>
  </si>
  <si>
    <t>Paviljoni za kulturne namene</t>
  </si>
  <si>
    <t>Večnamenske dvorane za verske ali kulturne namene</t>
  </si>
  <si>
    <t>Muzeji</t>
  </si>
  <si>
    <t>Stavbe za radio ali televizijo</t>
  </si>
  <si>
    <t>SEZNAMI STANDARDNIH PRIMEROV</t>
  </si>
  <si>
    <t>Najenostavnejša notranja oprema za začasno uporabo z najpreprostejšo serijsko opremo ali brez nje</t>
  </si>
  <si>
    <t>Notranja oprema z nizkimi zahtevami glede načrtovanja, z uporabo serijsko izdelanega pohištva in opreme preproste kakovosti, brez tehnične opreme</t>
  </si>
  <si>
    <t>Notranja oprema s povprečnimi zahtevami glede načrtovanja, pretežno z uporabo serijsko izdelanega pohištva in opreme ali s povprečno tehnično opremo</t>
  </si>
  <si>
    <t>Notranja oprema z visokimi zahtevami glede načrtovanja, z uporabo serijsko izdelanega pohištva in pohištva visoke kakovosti ali visokokakovostne tehnične opreme</t>
  </si>
  <si>
    <t>Notranjost z zelo visokimi zahtevami glede načrtovanja, z uporabo kompleksnega pohištva in opreme ali obsežne tehnične opreme</t>
  </si>
  <si>
    <t>Najenostavnejše sobe brez pohištva ali za začasno uporabo</t>
  </si>
  <si>
    <t>Najenostavnejši prostori brez pohištva ali za začasno uporabo</t>
  </si>
  <si>
    <t>Preprosti stanovanjski prostori z nizkimi zahtevami glede oblikovanja ali opreme</t>
  </si>
  <si>
    <t>Stanovanjski prostori s povprečnimi zahtevami, serijsko opremljene kuhinje</t>
  </si>
  <si>
    <t>Stanovanjski prostori v skupnih nastanitvah ali domovih</t>
  </si>
  <si>
    <t>Stanovanjski prostori z visokimi zahtevami, kuhinje in kopalnice po meri</t>
  </si>
  <si>
    <t>Predelava podstrešja, zimski vrtovi</t>
  </si>
  <si>
    <t>preproste odprte dvorane</t>
  </si>
  <si>
    <t>shrambe ali pomožni prostori s preprostim pohištvom ali opremo</t>
  </si>
  <si>
    <t>Skupinski prostori, na primer v jaslih, vrtcih, mladinskih centrih, mladinskih domovih, mladinskih hostlih</t>
  </si>
  <si>
    <t>učilnice, predavalnice, seminarske sobe, manjše knjižnice, menze</t>
  </si>
  <si>
    <t>Avditoriji, izobraževalni centri, knjižnice, laboratoriji, učne kuhinje z jedilnicami oziroma saloni ali brez, specializirane učilnice s tehnično opremo</t>
  </si>
  <si>
    <t>kongresni, konferenčni in seminarski prostori, sejne sobe s pohištvom in opremo po meri ter obsežno tehnično opremo</t>
  </si>
  <si>
    <t>Znanstvenoraziskovalni prostori z visokimi zahtevami in tehnično opremo</t>
  </si>
  <si>
    <t>območja notranjih komunikacij</t>
  </si>
  <si>
    <t>Kopirnice, prostori za čistila ali drugi pomožni prostori brez konstrukcijskih elementov</t>
  </si>
  <si>
    <t>pisarne, administrativni prostori in lounge s povprečnimi zahtevami, stopnišča, čakalnice, čajne kuhinje</t>
  </si>
  <si>
    <t>Sanitarni prostori, utility, pomožni prostori, tehnični prostori</t>
  </si>
  <si>
    <t>Vhodne avle, sejne ali konferenčne sobe, menze, družabni prostori</t>
  </si>
  <si>
    <t>prostori za stranke, razstavni in predstavitveni prostori</t>
  </si>
  <si>
    <t>Prostori za sestanke in konference, sodne dvorane, vodstveni prostori z opremo po meri ali sofisticirano tehnično opremo</t>
  </si>
  <si>
    <t>Poslovne, sejne ali konferenčne sobe v prefinjenem dizajnu s pohištvom in opremo po meri, dodelano opremo ali zelo visokimi tehničnimi zahtevami</t>
  </si>
  <si>
    <t>Odprte igralnice ali avle</t>
  </si>
  <si>
    <t>Preprosti prostori za počitek ali pomožni prostori</t>
  </si>
  <si>
    <t>posvetovalne, negovalne, bolniške, bivalne ali družabne sobe s povprečnimi potrebami brez medicinsko tehnične opreme</t>
  </si>
  <si>
    <t>ambulante in prostori za oskrbo z opremo ali medicinsko tehnološko opremo v zdravstvenih, terapevtskih, rehabilitacijskih ali negovalnih ustanovah in ambulantah ordinacijah</t>
  </si>
  <si>
    <t>Operacijske dvorane, porodne sobe, rentgenske sobe</t>
  </si>
  <si>
    <t>Prodajne stojnice za začasno uporabo</t>
  </si>
  <si>
    <t>Kioski, prodajna skladišča, pomožni prostori s preprosto opremo in opremo</t>
  </si>
  <si>
    <t>Povprečne trgovine ali restavracije, nakupovalne površine, restavracije s hitro hrano</t>
  </si>
  <si>
    <t>Specializirane trgovine, butiki, razstavni saloni, kinodvorane, velike kuhinje</t>
  </si>
  <si>
    <t>Razstavna stojala, če se uporabljajo sistemske ali modularne komponente</t>
  </si>
  <si>
    <t>Posamezne razstavne stojnice</t>
  </si>
  <si>
    <t>sobe za goste, visokokakovostni sanitarni prostori, na primer v restavracijah, barih, vinskih barih, kavarnah, klubskih sobah</t>
  </si>
  <si>
    <t>gostinski ali sanitarni prostori, na primer v penzionih ali hotelih s povprečnimi zahtevami ali napravami ali opremo</t>
  </si>
  <si>
    <t>Prostori za goste, recepcije ali zabaviščni prostori v hotelih z individualno zasnovo ali opremo ali z vrhunsko opremo ali tehnično opremo</t>
  </si>
  <si>
    <t>Pomožni ali servisni prostori v športnih objektih ali bazenih</t>
  </si>
  <si>
    <t>Bazeni, fitnes, wellness ali savna, veliki športni objekti</t>
  </si>
  <si>
    <t>Športne, večnamenske ali mestne dvorane, telovadnice, plesne šole</t>
  </si>
  <si>
    <t>Preproste dvorane ali delavnice brez posebne opreme, paviljoni</t>
  </si>
  <si>
    <t>Kmetijski gospodarski prostori</t>
  </si>
  <si>
    <t>Trgovski prostori, delavnice s tehnično ali mehansko opremo</t>
  </si>
  <si>
    <t>Celotne delavnice ali industrijski objekti</t>
  </si>
  <si>
    <t>Prostori v podzemnih garažah, podhodih</t>
  </si>
  <si>
    <t>Gostinska ali poslovna območja na letališčih, železniških postajah</t>
  </si>
  <si>
    <t>Kulturni ali sakralnI objekti, verski prostori</t>
  </si>
  <si>
    <t>Individualno oblikovane razstavne, muzejske ali gledališke površine</t>
  </si>
  <si>
    <t>Koncertne ali gledališke dvorane, studijske sobe za radio, televizijo ali gledališče</t>
  </si>
  <si>
    <t>Preprosta zunanja ureditev</t>
  </si>
  <si>
    <t>Terase in strešni vrtovi</t>
  </si>
  <si>
    <t>Otroška igrišča</t>
  </si>
  <si>
    <t>Gledališča na prostem</t>
  </si>
  <si>
    <t>Pokopališča, spomeniki, spominska obeležja, z visokimi ali zelo visokimi zahtevami</t>
  </si>
  <si>
    <t>namakanje in odvodnjavanje brez cevnih sistemov, obsežna zemeljska dela z različnimi nivoji ali materiali</t>
  </si>
  <si>
    <r>
      <t>zadrževalniki in nasipi s prostornino nad 5.000.000 m</t>
    </r>
    <r>
      <rPr>
        <vertAlign val="superscript"/>
        <sz val="10"/>
        <color rgb="FF000000"/>
        <rFont val="Inter"/>
        <family val="2"/>
      </rPr>
      <t>3</t>
    </r>
  </si>
  <si>
    <t>enostavni jambori in stolpi brez nadgradenj</t>
  </si>
  <si>
    <t>jambori in stolpi z nadgradnjami</t>
  </si>
  <si>
    <t>jambori in stolpi z nadgradnjami in etažami z uporabnimi površinami</t>
  </si>
  <si>
    <t>jambori in stolpi z nadgradnjami in etažami z uporabnimi površinami v javni rabi</t>
  </si>
  <si>
    <t>INŽENIRSKI OBJEKTI (IZBOR)</t>
  </si>
  <si>
    <t>cenovni razred je enak kot za stavbe</t>
  </si>
  <si>
    <t>Poraba časa - odprti prostor</t>
  </si>
  <si>
    <t>PORAZDELITEV UR  - UČINKOVITA RABA ENERGIJE</t>
  </si>
  <si>
    <t>PORAZDELITEV UR  - ZAŠČITA PRED HRUPOM</t>
  </si>
  <si>
    <t>IZRAČUN IZHODIŠČNIH VREDNOSTI OSNOVNIH STORITEV</t>
  </si>
  <si>
    <t>PORAZDELITEV UR  - PROSTORSKA AKUSTIKA</t>
  </si>
  <si>
    <t>3 do 33 %</t>
  </si>
  <si>
    <t>2 do 8 %</t>
  </si>
  <si>
    <t>% z dodatki</t>
  </si>
  <si>
    <t>AB KONSTRUKCIJA BREZ OPAŽNIH NAČRTOV ALI ENOSTAVNA LESENA KONSTRUKCIJA</t>
  </si>
  <si>
    <t>BREZ NAČRTA UTOROV IN PREBOJEV V NAČRTIH INŠTALACIJ</t>
  </si>
  <si>
    <t>BREZ PREVERJANJA MONTAŽNIH IN DELAVNIŠKIH NAČRTOV V TEHNIČNIH NAČRTIH</t>
  </si>
  <si>
    <t>PRIBITEK ZA PRENOVO</t>
  </si>
  <si>
    <t>specifični tehnični pogoji</t>
  </si>
  <si>
    <t>geološke geotehnične danosti gradbenega zemljišča,</t>
  </si>
  <si>
    <t>tehnična oprema in opremljenost,</t>
  </si>
  <si>
    <t>Vključevanje v okolje ali v območje objekta,</t>
  </si>
  <si>
    <t>število funkcionalnih področij ali konstrukcijske in tehnične zahteve,</t>
  </si>
  <si>
    <t>1 do 5 točk</t>
  </si>
  <si>
    <t>1 do 10 točk</t>
  </si>
  <si>
    <t>1 do 15 točk</t>
  </si>
  <si>
    <t>SKUPAJ MAKSIMALNO 40</t>
  </si>
  <si>
    <t>11 do 17 točk</t>
  </si>
  <si>
    <t>18 do 25 točk</t>
  </si>
  <si>
    <t>26 do 33 točk</t>
  </si>
  <si>
    <t>34 do 40 točk</t>
  </si>
  <si>
    <t>vključevanje v okolje ali v območje objekta,</t>
  </si>
  <si>
    <t>SKUPAJ NU ZA FAZO</t>
  </si>
  <si>
    <t>SKUPAJ EUR ZA FAZO</t>
  </si>
  <si>
    <t>GRADBENI NADZOR</t>
  </si>
  <si>
    <t>Ceste izven naselij</t>
  </si>
  <si>
    <t>– brez posebnih horizontalnih elementov osi ali na zmerno neravnem terenu</t>
  </si>
  <si>
    <t>– s posebnimi horizontalnimi elementi osi ali na neravnem terenu</t>
  </si>
  <si>
    <t>– z večjim številom posebnih horizontalnih elementov osi ali na močno neravnem terenu</t>
  </si>
  <si>
    <t>– v hribovitem terenu</t>
  </si>
  <si>
    <t>Ceste in trgi v naselju</t>
  </si>
  <si>
    <t>– Stanovanjske in zbirne ulice</t>
  </si>
  <si>
    <t>– druge mestne ulice z običajnimi prometnimi zahtevami ali normalnimi urbanističnimi razmerami (povprečno število povezav z okolico)</t>
  </si>
  <si>
    <t>– druge mestne ulice z visokimi prometnimi zahtevami ali težkimi urbanističnimi razmerami (veliko število povezav z okoljem)</t>
  </si>
  <si>
    <t>Poti</t>
  </si>
  <si>
    <t>– na ravnem terenu z enostavnimi pogoji za odvodnjavanje</t>
  </si>
  <si>
    <t>– na neravnem terenu z enostavnimi pogoji za gradnjo in odvodnjavanje</t>
  </si>
  <si>
    <t>– na neravnem terenu s težkimi pogoji za gradnjo in odvodnjavanje</t>
  </si>
  <si>
    <t>Parkirišča, prometne površine</t>
  </si>
  <si>
    <t>– preproste prometne površine, parkirišča izven urbanih območij</t>
  </si>
  <si>
    <t>– notranja parkirišča</t>
  </si>
  <si>
    <t xml:space="preserve">– območja umirjenega prometa z običajnimi urbanističnimi zahtevami </t>
  </si>
  <si>
    <r>
      <t> </t>
    </r>
    <r>
      <rPr>
        <sz val="10"/>
        <color rgb="FF221F1F"/>
        <rFont val="Inter"/>
        <family val="2"/>
      </rPr>
      <t>x</t>
    </r>
  </si>
  <si>
    <t>– območja umirjenega prometa z visokimi urbanističnimi zahtevami</t>
  </si>
  <si>
    <t>– prometne površine za pretovarjanje cesta/cesta</t>
  </si>
  <si>
    <t>– prometne površine za pretovarjanje kombinirani promet</t>
  </si>
  <si>
    <t>Bencinske črpalke, počivališča</t>
  </si>
  <si>
    <t>– z običajnimi prometnimi zahtevami</t>
  </si>
  <si>
    <t>– z visokimi prometnimi zahtevami</t>
  </si>
  <si>
    <t>Vozlišča</t>
  </si>
  <si>
    <t>– enostavna nivojska</t>
  </si>
  <si>
    <t>– zahtevna nivojska</t>
  </si>
  <si>
    <t>– zelo zahtevna nivojska</t>
  </si>
  <si>
    <t>– enostavna izven nivojska</t>
  </si>
  <si>
    <t>– zahtevna izven nivojska</t>
  </si>
  <si>
    <t>– zelo zahtevna izven nivojska</t>
  </si>
  <si>
    <t>Železniški tiri na odprtih progah</t>
  </si>
  <si>
    <t>– brez kretnic in križišč</t>
  </si>
  <si>
    <t>Tirni in peronski sistemi železniških postaj</t>
  </si>
  <si>
    <t>- z enostavno tirno shemo</t>
  </si>
  <si>
    <t>– z zahtevno tirno shemo</t>
  </si>
  <si>
    <t>– z zelo zahtevno tirno shemo</t>
  </si>
  <si>
    <t>– enostavne prometne površine pristajališč, letališča za jadralna letala</t>
  </si>
  <si>
    <t>– zahtevne prometne površine pristajališč, enostavne prometne površine letališč</t>
  </si>
  <si>
    <r>
      <t>x</t>
    </r>
    <r>
      <rPr>
        <sz val="7.5"/>
        <color theme="1"/>
        <rFont val="Inter"/>
        <family val="2"/>
      </rPr>
      <t> </t>
    </r>
  </si>
  <si>
    <t>– zahtevne prometne površine letališč</t>
  </si>
  <si>
    <t>bajerji z nasipi višine do 3,0 m nad terenom, brez razbremenilnikov visoke vode in regulacijskih odtočnih objektov</t>
  </si>
  <si>
    <t>bajerji z nasipi višine več kot 3 m nad terenom brez razbremenilnikov visokih vod, ribniki z nasipi višine do 3 m nad terenom z razbremenilnikom visokih vod</t>
  </si>
  <si>
    <t>Nosilne konstrukcije z zelo majhno statično zahtevnostjo, predvsem enostavne statično določene ravninske konstrukcije iz lesa, jekla, kamna ali nearmiranega betona, za mirujoče obtežbe, brez ugotavljanja horizontalne togosti</t>
  </si>
  <si>
    <t>Oporni zidovi</t>
  </si>
  <si>
    <t>Temeljenje</t>
  </si>
  <si>
    <t>enostavno ploskovno temeljenje (temeljne plošče)</t>
  </si>
  <si>
    <t xml:space="preserve">povprečno zahtevno ploskovno temeljenje, povprečno zahtevno ravninsko in prostorsko temeljenje </t>
  </si>
  <si>
    <t>zahtevno ploskovno temeljenje, zahtevno ravninsko in prostorsko temeljenje, pilotna in druga posebna temeljenja</t>
  </si>
  <si>
    <t>zidane gradnje z nosilnimi stenami do temeljev, brez ugotavljanja horizontalne togosti,</t>
  </si>
  <si>
    <t>konstrukcije, pri katerih je treba trdnostne lastnosti zidanih delov določiti s preizkusom (inženirska opečna gradnja)</t>
  </si>
  <si>
    <t>nosilne zidane konstrukcije z upoštevanjem nosilnih oziroma ojačenih sten,</t>
  </si>
  <si>
    <t>Oboki</t>
  </si>
  <si>
    <t>enostavni oboki</t>
  </si>
  <si>
    <t>zahtevni oboki in sistemi obokov</t>
  </si>
  <si>
    <t>Stropne konstrukcije</t>
  </si>
  <si>
    <t>enostavne stropne konstrukcije s pretežno mirujočo površinsko obtežbo</t>
  </si>
  <si>
    <t>povprečno zahtevne stropne konstrukcije</t>
  </si>
  <si>
    <t>enopoljne poševne plošče</t>
  </si>
  <si>
    <t>poševni ali ukrivljeni nosilci</t>
  </si>
  <si>
    <t>poševni ukrivljeni nosilci</t>
  </si>
  <si>
    <t>povprečno zahtevne brane in ortotropne plošče,</t>
  </si>
  <si>
    <t>zahtevne brane in ortotropne plošče,</t>
  </si>
  <si>
    <t>enostavne poliedrične konstrukcije brez prednapetja</t>
  </si>
  <si>
    <t>enostavne sovprežne konstrukcije stavb brez upoštevanja vpliva raztezkov in skrčkov</t>
  </si>
  <si>
    <t>povprečno zahtevne sovprežne konstrukcije</t>
  </si>
  <si>
    <t>prednapete sovprežne konstrukcije</t>
  </si>
  <si>
    <t>Utrejene skeletne konstrukcije</t>
  </si>
  <si>
    <t>zahtevni okvirji, skeleti in stolpi, pri katerih se morata stabilnost in trdnost preverjati po posebnih računskih metodah</t>
  </si>
  <si>
    <t>enostavne okvirne konstrukcije, brez prednapetih konstrukcij in brez preverjanja stabilnosti,</t>
  </si>
  <si>
    <t>povprečno zahtevne okvirne konstrukcije</t>
  </si>
  <si>
    <t>Okvirne in skeletne konstrukcije</t>
  </si>
  <si>
    <t>zahtevne okvirne konstrukcije s prednapetimi konstrukcijskimi elementi in s preverjanjem stabilnosti</t>
  </si>
  <si>
    <t>povprečno zahtevne ploskovne konstrukcije (plošče, stene)</t>
  </si>
  <si>
    <t>zahtevne ploskovne konstrukcije (plošče, stene, poliedrične konstrukcije, lupine)</t>
  </si>
  <si>
    <t>povprečno zahtevne prostorske konstrukcije</t>
  </si>
  <si>
    <t>zahtevne prostorske konstrukcije</t>
  </si>
  <si>
    <t>konstrukcije, prednapete s kabli</t>
  </si>
  <si>
    <t>enostavne konstrukcije, prednapete s kabli</t>
  </si>
  <si>
    <t>Dinamično obremenjene konstrukcije</t>
  </si>
  <si>
    <t>konstrukcije z enostavno dinamično obremenitvijo</t>
  </si>
  <si>
    <t>konstrukcije s povprečno do zelo zahtevno dinamično obremenitvijo</t>
  </si>
  <si>
    <t>povprečno do zelo zahtevne konstrukcije, prednapete s kabli</t>
  </si>
  <si>
    <t>Posebne računske metode</t>
  </si>
  <si>
    <t>zahtevne nosilne konstrukcije, pri katerih se za dimenzioniranje prerezov upošteva teorija II. reda</t>
  </si>
  <si>
    <t>zelo zahtevne nosilne konstrukcije, pri katerih se za dimenzioniranje prerezov upošteva teorija II. reda</t>
  </si>
  <si>
    <t>zahtevne inovativne nosilne konstrukcije</t>
  </si>
  <si>
    <t>nosilne konstrukcije, pri katerih je stabilnost mogoče dokazati le z modelnimi preizkusi ali z računom po metodi končnih elementov</t>
  </si>
  <si>
    <t>nosilne konstrukcije, pri katerih je treba pri dimenzioniranju prerezov upoštevati odpornost veznih elementov</t>
  </si>
  <si>
    <t>Prednapete betonske konstrukcije</t>
  </si>
  <si>
    <t>enostavne statično določene betonske prednapete konstrukcije</t>
  </si>
  <si>
    <t>povprečno zahtevne betonske prednapete konstrukcije</t>
  </si>
  <si>
    <t>zahtevne do zelo zahtevne betonske prednapete konstrukcije</t>
  </si>
  <si>
    <t>enostavni gradbeni odri in drugi enostavni odri za inženirske objekte</t>
  </si>
  <si>
    <t>zahtevni gradbeni odri in drugi zahtevni odri za inženirske objekte</t>
  </si>
  <si>
    <t>zelo zahtevni gradbeni odri in drugi zelo zahtevni odri za inženirske objekte, npr. visoki nosilni odri ali odri z velikim razponom</t>
  </si>
  <si>
    <t>Gradbeni odri</t>
  </si>
  <si>
    <t>Zelo zahtevne nosilne konstrukcije, predvsem statično in konstrukcijsko neobičajno zahtevne nosilne konstrukcije</t>
  </si>
  <si>
    <t>Nosilne konstrukcije z nadpovprečno zahtevnostjo, predvsem statično in konstrukcijsko zahtevne nosilne konstrukcije običajne izvedbe in nosilne konstrukcije, pri katerih je pri preverjanju stabilnosti in trdnosti treba upoštevati težko določljive vplive</t>
  </si>
  <si>
    <t>Nosilne konstrukcije s povprečno zahtevnostjo, predvsem zahtevne, statično določene in nedoločene ravninske konstrukcije običajne izvedbe, brez prednapetih in sovprežnih konstrukcij in brez preverjanja stabilnosti</t>
  </si>
  <si>
    <t>Nosilne konstrukcije z majhno statično zahtevnostjo, predvsem statično določene ravninske konstrukcije običajne izvedbe, brez prednapetih in sovprežnih konstrukcij, za pretežno mirujočo obremenitev</t>
  </si>
  <si>
    <t>SKUPAJ GRADBENI STROŠKI</t>
  </si>
  <si>
    <t>VREDNOST V EUR S PRIBITKI</t>
  </si>
  <si>
    <t>Krajinske ureditve vodotokov, brežin in plazišč</t>
  </si>
  <si>
    <t>Počivališča, parkirišča, avtobusna in železniška postajališča in peroni z opremo, obračališča in druge utrjene površine, gozdne ceste, pešpoti, kolesarske poti in jahalne steze</t>
  </si>
  <si>
    <t>Območja urbanih vrtov (mestni vrtički, skupnostni vrtovi ipd.)</t>
  </si>
  <si>
    <t>Skakalnice</t>
  </si>
  <si>
    <t>Športna igrišča in rekreacijska območja</t>
  </si>
  <si>
    <t>Športni objekti v odprti krajini, poligoni, tekmovalne steze, vzletišča, jahališča, površine za avtomobilske, motoristične, kolesarske in konjske dirke s pomožnimi objekti</t>
  </si>
  <si>
    <t>Razgledne ploščadi in opazovalnice</t>
  </si>
  <si>
    <t>Živalski in botanični vrtovi, arboretumi</t>
  </si>
  <si>
    <t>Objekti za zaščito pred hrupom in vetrom (protihrupne in protivetrne ograje ali drugi objekti)</t>
  </si>
  <si>
    <t>Urbana oprema (grajena igrala, vodometi in vodnjaki), objekti za oglaševanje in informacijski panoji</t>
  </si>
  <si>
    <t>Zunanje vrtne razstave in dvoranske vrtne predstavitve</t>
  </si>
  <si>
    <t>Nepokrita prezentirana arheološka najdišča in ruševine</t>
  </si>
  <si>
    <t>Zunanje ureditve v povezavi z zgodovinskimi stavbami ali drugimi objekti, zgodovinski parki in vrtovi, vrtni spomeniki</t>
  </si>
  <si>
    <t>Zunanje ureditve glede na tipologijo stavbe, s povprečnimi topografskimi pogoji ali povprečno opremo (npr. ob večstanovanjskih ali javnih stavbah)</t>
  </si>
  <si>
    <t>Zunanje ureditve glede na tipologijo stavbe, s težkimi ali posebej težkimi topografskimi razmerami ali visokimi ali zelo visokimi zahtevami glede opreme (npr. soseske, zunanji prostor šol in vrtcev, domov za starejše, zunanji prostor reprezentančnih stavb ipd.)</t>
  </si>
  <si>
    <t>Marine s pripadajočimi pristaniškimi napravami (športna pristanišča in marine, tudi rečna pristanišča, oprema za plaže, pomoli in pontoni)</t>
  </si>
  <si>
    <t>Urejena naravna kopališča, smučišča na vodi, vlečnice za smučanje na vodi, kajakaške proge</t>
  </si>
  <si>
    <t>Vodne in obvodne ureditve s pretežno ekološkimi in krajinskimi elementi, ribniki brez jezov, drenažni jarki in drugi objekti za osuševanje zemljišč,</t>
  </si>
  <si>
    <t>Reliefno preoblikovanje terena  (nasipi, izkopi in odkopi)</t>
  </si>
  <si>
    <t>CENOVNI RAZREDI - STAVBE</t>
  </si>
  <si>
    <t>CENOVNI RAZREDI - NOTRANJA OPREMA</t>
  </si>
  <si>
    <t>CENOVNI RAZREDI - ODPRTI PROSTOR</t>
  </si>
  <si>
    <t>MERILA ZA OCENJEVANJE INŽENIRSKIH OBJEKTOV</t>
  </si>
  <si>
    <t>CENOVNI RAZREDI - INŽENIRSKI OBJEKTI</t>
  </si>
  <si>
    <t>CENOVNI RAZREDI - OBJEKTI PROMETNE INFRASTRUKTURE</t>
  </si>
  <si>
    <t>MERILA ZA OCENJEVANJE OBJEKTI PROMETNE INFRASTRUKTURE</t>
  </si>
  <si>
    <t>MERILA ZA OCENJEVANJE - STAVBE</t>
  </si>
  <si>
    <t>MERILA ZA OCENJEVANJE - NOTRANJA OPREMA</t>
  </si>
  <si>
    <t>MERILA ZA OCENJEVANJE - ODPRTI PROSTOR</t>
  </si>
  <si>
    <t>posamične prezračevalne naprave</t>
  </si>
  <si>
    <t>Strojne inštalacije</t>
  </si>
  <si>
    <t>inštalacije za plin, vodovod in kanalizacijo s kratkim in enostavnim razvodom</t>
  </si>
  <si>
    <t>inštalacije za plin, vodovod in kanalizacijo z obsežnim razvejanim razvodom, sistemom za kroženje sanitarne vode, dvižnimi vodi in napravami za zviševanje tlaka</t>
  </si>
  <si>
    <t>sistemi za čiščenje, razstrupljanje ali nevtralizacijo odpadne vode, sistemi za biološko, kemično ali fizikalno obdelavo vode, sistemi s posebnimi higienskimi zahtevami ali nove tehnologije (npr. za bolnišnice, domove za ostarele in podobnoi)</t>
  </si>
  <si>
    <t>naprave za tlačno regulacijo plina, večstopenjski ločevalniki lahkih tekočin</t>
  </si>
  <si>
    <t>površinsko ogrevanje</t>
  </si>
  <si>
    <t>hišne toplotne postaje</t>
  </si>
  <si>
    <t>razvejana omrežja</t>
  </si>
  <si>
    <t>ogrevalni sistemi v stavbah, eno- ali dvovalentni sistemi (na primer solarni sistemi za ogrevanje sanitarne vode, sistemi s toplotno črpalko)</t>
  </si>
  <si>
    <t>multivalentni sistemi</t>
  </si>
  <si>
    <t>sistemi s sočasno proizvodnjo toplote in električne energije, parno ogrevanje, sistemi s toplo vodo, sevalno stropno ogrevanje (npr. športne ali industrijske hale)</t>
  </si>
  <si>
    <t xml:space="preserve">posamične naprave za ogrevanje, etažno ogrevanje </t>
  </si>
  <si>
    <t>termodinamični prezračevalni sistemi (na primer ogrevanje), nadtlačno prezračevanje</t>
  </si>
  <si>
    <t>prezračevalni sistemi z vsaj dvema termodinamičnima sistemoma (npr. ogrevanje ali hlajenje), delni klimatski sistemi, klimatski sistemi</t>
  </si>
  <si>
    <t>sistemi s posebnimi zahtevami glede kakovosti zraka (npr. operacijske dvorane)</t>
  </si>
  <si>
    <t>hišne postaje za daljinsko hlajenje, centralno hlajenje</t>
  </si>
  <si>
    <t>hladilne naprave, hladilni sistemi brez procesnega hlajenja</t>
  </si>
  <si>
    <t>Električne inštalacije</t>
  </si>
  <si>
    <t>ozemljitev</t>
  </si>
  <si>
    <t>nizkonapetostni sistemi z do dvema merilnima mestoma, vključno z osvetlitvijo ali varnostno razsvetljavo s posameznimi baterijami</t>
  </si>
  <si>
    <t>kompaktne transformatorske postaje, lastni sistemi za proizvodnjo električne energije (npr. centralni akumulatorji ali sistemi za neprekinjeno napajanje, fotovoltaični sistemi)</t>
  </si>
  <si>
    <t>sistemi centralne varnostne razsvetljave</t>
  </si>
  <si>
    <t>Nizkonapetostne napeljave, vključno z vodili</t>
  </si>
  <si>
    <t>sistemi za zaščito pred strelo ali ozemljitev, razen če je navedeno v I ali III razredu</t>
  </si>
  <si>
    <t>zunanja razsvetljava</t>
  </si>
  <si>
    <t>Visokonapetostni ali srednjenapetostni sistemi, transformatorske postaje, notranji napajalni sistemi s posebnimi zahtevami (npr. zasilni generatorji električne energije, kombinirane toplarne in elektrarne, dinamično neprekinjeno napajanje)</t>
  </si>
  <si>
    <t>nizkonapetostni sistemi z do tremi distribucijskimi nivoji (merilnimi mesti), vključno z osvetlitvijo</t>
  </si>
  <si>
    <t>nizkonapetostni sistemi z najmanj štirimi distribucijskimi nivoji (merilnimi mesti) ali več kot 1000 A nazivnega toka</t>
  </si>
  <si>
    <t>sistemi razsvetljave s posebnimi zahtevami načrtovanja (npr. simulacije svetlobe za muzeje ali druge posebne prostore)</t>
  </si>
  <si>
    <t>sistemi za zaščito pred strelo s posebnimi zahtevami (npr. bolnišnice, stolpnice, podatkovni centri)</t>
  </si>
  <si>
    <t>Preproste telekomunikacijske inštalacije s posameznimi terminali</t>
  </si>
  <si>
    <t>Telekomunikacijski ali informacijski sistemi, ki niso navedeni v I. ali III. razredu</t>
  </si>
  <si>
    <t>Telekomunikacijski ali informacijski tehnološki sistemi s posebnimi zahtevami (npr. konferenčni ali tolmaški sistemi, sistemi za obveščanje javnosti za posebne prostore, sistemi za spremljanje nepremičnin, aktivne omrežne komponente, oddaljena prenosna omrežja, sistemi za daljinsko upravljanje, sistemi za vodenje parkiranja)</t>
  </si>
  <si>
    <t>Transportni sistemi</t>
  </si>
  <si>
    <t>Posamezna standardna dvigala, manjša tovorna dvigala, dvižne ploščadi</t>
  </si>
  <si>
    <t>Dvigala ki niso navedena v I. ali III. razredu, tekoče stopnice ali trakovi, žerjavi, nakladalni mostovi, neprekinjeni transportni sistemi</t>
  </si>
  <si>
    <t>Dvigala s posebnimi zahtevami, fasadna dvigala, transportni sistemi z več kot dvema oddajnima ali sprejemnima točkama</t>
  </si>
  <si>
    <t>Posebne naprave in sistemi</t>
  </si>
  <si>
    <t>enostavna kuhinjska oprema, na primer čajne kuhinje</t>
  </si>
  <si>
    <t>kuhinjska oprema, npr. srednje velike kuhinje, pogrevalne kuhinje, naprave za pripravo hrane ali pijače,</t>
  </si>
  <si>
    <t>serviranje ali skladiščenje hrane (brez kuhinje), vključno s pripadajočimi hladilnimi sistemi</t>
  </si>
  <si>
    <t>zahtevna kuhinjska tehnologija, na primer velike kuhinje, oprema za proizvodne kuhinje, vključno s strežbo ali skladiščenjem in pripadajočimi hladilnimi sistemi, komercialno hlajenje za velike kuhinje, velike hladilnice ali hladilne omare</t>
  </si>
  <si>
    <t>naprave za pranje ali čiščenje, na primer za skupne pralnice</t>
  </si>
  <si>
    <t>naprave za pranje ali čiščenje, na primer oprema za javne pralnice</t>
  </si>
  <si>
    <t>pralni ali čistilni sistemi za velika pralna in čistilna podjetja</t>
  </si>
  <si>
    <t>medicinska ali laboratorijska oprema, na primer za posamično splošno medicinsko prakso</t>
  </si>
  <si>
    <t>medicinska ali laboratorijska oprema, na primer za skupinske prakse v splošni medicini ali posamezne prakse v specialistični medicini, sanatoriji, oskrbovalni centri, bolnišnični oddelki, laboratorijski prostori za šole</t>
  </si>
  <si>
    <t>medicinska ali laboratorijska oprema, na primer za klinike, inštitute z učnimi ali raziskovalnimi nalogami, laboratorije, proizvodne obrate</t>
  </si>
  <si>
    <t>posamični gasilni aparati, na primer ročni gasilni aparati</t>
  </si>
  <si>
    <t>ročno upravljani sistemi za gašenje požara</t>
  </si>
  <si>
    <t>avtomatični sistemi za gašenje požara</t>
  </si>
  <si>
    <t>sistemi za odstranjevanje, npr. odpadkov ali perila,</t>
  </si>
  <si>
    <t>sistemi za odstranjevanje, na primer centralni sistemi za odstranjevanje perila ali odpadkov, centralni sistemi za sesanje</t>
  </si>
  <si>
    <t>odrska tehnika za majhne ali srednje velike odre</t>
  </si>
  <si>
    <t>odrska tehnika za velike odre</t>
  </si>
  <si>
    <t>Sistemi za oskrbo s tekočinami in plini, na primer za proizvodnjo, shranjevanje, predelavo ali distribucijo medicinskih ali tehničnih plinov, tekočin ali vakuuma</t>
  </si>
  <si>
    <t>bazenski sistemi na primer sistemi za obdelavo vode, sistemi za ustvarjanje valov, premično dno bazena</t>
  </si>
  <si>
    <t>Sistemi za ogrevanje in hlajenje tehnoloških procesov, sistemi za tehnološki zrak, na primer vakuumski sistemi, testne postaje, vetrovniki, industrijski sesalni sistemi</t>
  </si>
  <si>
    <t>Tehnologija za bencinske črpalke in pralnice vozil</t>
  </si>
  <si>
    <t>skladiščni sistemi, na primer naprave za shranjevanje in dviganje (s pripadajočimi regalnimi sistemi), avtomatski sistemi za prevoz blaga</t>
  </si>
  <si>
    <t>Sistemi za odtaljevanje ali zaščita proti zmrzali</t>
  </si>
  <si>
    <t>Stacionarni sistemi za odtaljevanje za velike sisteme, npr. za letališča</t>
  </si>
  <si>
    <t>Tehnološki sistemi</t>
  </si>
  <si>
    <t>enostavni tehnološki sistemi za obdelavo vode (na primer prezračevanje, odstranjevanje železa, odstranjevanje mangana, kemično razkisanje, fizično razkisanje)</t>
  </si>
  <si>
    <t>tehnološki sistemi za obdelavo vode (na primer membranska filtracija, flokulacijska filtracija, ozoniranje, odstranjevanje arzena, dealuminizacija, denitrifikacija)</t>
  </si>
  <si>
    <t>enostavni tehnološki sistemi za čiščenje odpadne vode (na primer aerobna stabilizacija)</t>
  </si>
  <si>
    <t>tehnološki sistemi za čiščenje odpadne vode (npr. za večstopenjske čistilne naprave)</t>
  </si>
  <si>
    <t>enostavni sistemi za obdelavo blata (npr. sistemi za usedanje blata z mehanskimi napravami)</t>
  </si>
  <si>
    <t>sistemi za večstopenjske ali kombinirane procese obdelave blata</t>
  </si>
  <si>
    <t>enostavni tehnični sistemi za odvajanje odplak</t>
  </si>
  <si>
    <t>tehnični sistemi za odvajanje odplak</t>
  </si>
  <si>
    <t>enostavni tehnični sistemi za črpanje, dovajanje in skladiščenje vode</t>
  </si>
  <si>
    <t>tehnični sistemi za črpanje, dovajanje in skladiščenje vode</t>
  </si>
  <si>
    <t>enostavni sistemi za čiščenje deževnice</t>
  </si>
  <si>
    <t>enostavni sistemi za sisteme za dekontaminacijo podtalnice</t>
  </si>
  <si>
    <t>kompleksni tehnični sistemi za sisteme za dekontaminacijo podtalnice</t>
  </si>
  <si>
    <t>enostavni tehnični sistemi za dovajanje in odstranjevanje plinov
(npr. sistem odorizacije)</t>
  </si>
  <si>
    <t>enostavni tehnični sistemi za oskrbo in odstranjevanje trdnih snovi</t>
  </si>
  <si>
    <t>tehnični sistemi za oskrbo in odstranjevanje trdnih snovi</t>
  </si>
  <si>
    <t>enostavni tehnični sistemi za odstranjevanje odpadkov (npr. za kompostarne, sistemi za kondicioniranje nevarnih odpadkov, odlagališča gospodinjskih odpadkov ali mono odlagališča nevarnih odpadkov, sistemi za podzemna odlagališča, sistemi za obdelavo onesnaženih tal)</t>
  </si>
  <si>
    <t>tehnološki sistemi za odstranjevanje odpadkov (npr. za sežigalnice, pirolizne sisteme, večnamenske sisteme za obdelavo materialov, ki jih je mogoče reciklirati)</t>
  </si>
  <si>
    <t>Avtomatizacija stavb</t>
  </si>
  <si>
    <t>sistemi avtomatizacije stavb, nevtralni do proizvajalca, ali sistemi za avtomatizacijo s sistemsko integracijo med sistemskimi skupinami</t>
  </si>
  <si>
    <t>TIPOLOGIJA</t>
  </si>
  <si>
    <t>lokalni faktor</t>
  </si>
  <si>
    <t>Večstanovanjske stavbe ali skupine stanovanjskih stavb v strnjeni pozidavi, nižji standard</t>
  </si>
  <si>
    <t>Večstanovanjske stavbe ali skupine stanovanjskih stavb v strnjeni pozidavi, srednji standard</t>
  </si>
  <si>
    <t>Večstanovanjske stavbe ali skupine stanovanjskih stavb v strnjeni pozidavi, višji standard</t>
  </si>
  <si>
    <t>Podkletene eno in dvostanovanjske stavbe, srednji standard</t>
  </si>
  <si>
    <t>Podkletene eno in dvostanovanjske stavbe, višji standard</t>
  </si>
  <si>
    <t>Nepodkletene eno in dvostanovanjske stavbe, nižji standard</t>
  </si>
  <si>
    <t>Nepodkletene eno in dvostanovanjske stavbe, srednji standard</t>
  </si>
  <si>
    <t>Nepodkletene eno in dvostanovanjske stavbe, višji standard</t>
  </si>
  <si>
    <t>Oskrbovana stanovanja, srednji standard</t>
  </si>
  <si>
    <t>Oskrbovana stanovanja, višji standard</t>
  </si>
  <si>
    <t>Študentski domovi, skupna nastanitev</t>
  </si>
  <si>
    <t>Šole s povprečnimi načrtovalskimi potrebami - poklicne šole</t>
  </si>
  <si>
    <t>Šole s povprečnimi načrtovalskimi potrebami - osnovne in srednje šole</t>
  </si>
  <si>
    <t>MINIMALNO ŠTEVILO NU</t>
  </si>
  <si>
    <t>MAKSIMALNO ŠTEVILO NU</t>
  </si>
  <si>
    <t xml:space="preserve">Vrednosti v ležeči pisavi so informativne narave. </t>
  </si>
  <si>
    <t>DELEŽ UREDITVE ODPRTEGA PROSTORA, KI BO ZAJET V NAČRT ARHITEKTURE</t>
  </si>
  <si>
    <t>0 do 100 %</t>
  </si>
  <si>
    <t>OPOMBE</t>
  </si>
  <si>
    <t>Podkletene eno in dvostanovanjske stavbe, nižji standard</t>
  </si>
  <si>
    <t>IDEJNO PROJEKTIRANJE</t>
  </si>
  <si>
    <t>PROJEKTIRANJE ZA IZVEDBO</t>
  </si>
  <si>
    <t>% stroškov gradnje</t>
  </si>
  <si>
    <t>OSNOVNE STORITVE</t>
  </si>
  <si>
    <t>PROJEKTANT</t>
  </si>
  <si>
    <t>UPORABI SREDNJO VREDNOST ŠTEVILA NU</t>
  </si>
  <si>
    <t>Vrtci - nepodkleteni</t>
  </si>
  <si>
    <t>Vrtci - podkleteni</t>
  </si>
  <si>
    <t>Večnamenske dvorane</t>
  </si>
  <si>
    <t>Veliki športni objekti</t>
  </si>
  <si>
    <t>Notranji bazeni</t>
  </si>
  <si>
    <t>Industrijske stavbe - masivna gradnja</t>
  </si>
  <si>
    <t>Industrijske stavbe - skeletna gradnja</t>
  </si>
  <si>
    <t>delavnice, obrtne stavbe</t>
  </si>
  <si>
    <t>Stavbe za gostinstvo, menze ali kantine</t>
  </si>
  <si>
    <t>Diskonti</t>
  </si>
  <si>
    <t>Trgovski centri, nakupovalni centri, pokrite tržnice, sejemske dvorane</t>
  </si>
  <si>
    <t>Občinska središča, skupnosti, stavbe za kulturo</t>
  </si>
  <si>
    <t xml:space="preserve">Ureditve ob avtocestah in cestah, zasaditve protivetrnih pasov, zelene ločevalne poteze </t>
  </si>
  <si>
    <t>Zasaditve na prostem z zahtevami glede ohranjanja  narave (izravnalni ukrepi, nadomestni habitati)</t>
  </si>
  <si>
    <t xml:space="preserve">Zunanja ureditev in zasaditev odlagališč odpadkov, zbirnih centrov in smetišč </t>
  </si>
  <si>
    <t xml:space="preserve">Odprti prostori na območjih enostavne pozidave v manjših podeželskih  naseljih in ob posameznih objektih </t>
  </si>
  <si>
    <t>Parki, javni vrtovi in druge urejene zelene površine</t>
  </si>
  <si>
    <t>Trgi (ki so ali niso sestavni deli javne ceste) in območja za pešce</t>
  </si>
  <si>
    <t>Ozelenjena parkirišča in poti brez posebne opreme, zelenice</t>
  </si>
  <si>
    <t>Mestne ulice, avenije in drevoredi v varovalnem pasu cest ter drugi drevoredi, ozelenjene poti in druge povezave z urbano opremo</t>
  </si>
  <si>
    <t>Zabaviščni in tematski parki (npr. vodni, adrenalinski, plezalni parki in podobni objekti na prostem)</t>
  </si>
  <si>
    <t>Ureditve vodotokov in nabrežij vodnih teles v naseljih</t>
  </si>
  <si>
    <t xml:space="preserve">Izobraževalna območja, naravoslovne in druge učne poti </t>
  </si>
  <si>
    <t>Vrtovi in vrtna dvorišča z reprezentativno funkcijo ali visokimi zahtevami</t>
  </si>
  <si>
    <t xml:space="preserve">Smučišča in sankališča s tehnično opremo ali brez </t>
  </si>
  <si>
    <t>Kombinirana igrišča (z raznovrstnim programom), športna igrišča, teniška igrišča in igrišča z umetno podlago</t>
  </si>
  <si>
    <t>Ureditve zahtevnega terena z opornimi zidovi ali drugimi oporami v naseljih</t>
  </si>
  <si>
    <t>Mestni trgi in območja za pešce z visokimi ali zelo visokimi zahtevami glede opreme (mestna jedra, tržnice ipd.)</t>
  </si>
  <si>
    <t>Utrjene brežine (armirane brežine, podporni zidovi, suhozidi, gabioni, skalne ali kamnite zložbe ipd.)</t>
  </si>
  <si>
    <t>Enostavne in improvizirane stavbe za začasno uporabo</t>
  </si>
  <si>
    <t>Penzioni, gostišča</t>
  </si>
  <si>
    <t>Hoteli, moteli</t>
  </si>
  <si>
    <t>Mladinska prenočišča, planinske koče in zavetišča, počitniški domovi</t>
  </si>
  <si>
    <t>8. Infrastruktura</t>
  </si>
  <si>
    <t>1. Stanovanjske stavbe</t>
  </si>
  <si>
    <t>2. Izobraževanje, znanstvena in raziskovalna dejavnost</t>
  </si>
  <si>
    <t>3. Pisarniški in upravni prostori</t>
  </si>
  <si>
    <t>4. Zdravstveni prostori in prostori za oskrbo</t>
  </si>
  <si>
    <t>5. Trgovina in gostinstvo</t>
  </si>
  <si>
    <t>6. Šport in prosti čas</t>
  </si>
  <si>
    <t>2. Izobraževalne, znanstvene in raziskovalne stavbe</t>
  </si>
  <si>
    <t>5. Trgovske in gostinske stavbe</t>
  </si>
  <si>
    <t>3. Poslovne in upravne stavbe</t>
  </si>
  <si>
    <t>8. Stavbe za infrastrukturo</t>
  </si>
  <si>
    <t>7. Gospodarske, industrijske in kmetijske stavbe</t>
  </si>
  <si>
    <t>6. Stavbe za šport in rekreacijo</t>
  </si>
  <si>
    <t>9. Stavbe za kulturo in obredne stavbe</t>
  </si>
  <si>
    <t>1. Stanovanjski prostori</t>
  </si>
  <si>
    <t>9. Kultura, prostori za obrede</t>
  </si>
  <si>
    <t>1. V odprti krajini</t>
  </si>
  <si>
    <t>2. V mestih in naseljih</t>
  </si>
  <si>
    <t>3. Ozelenitev stavb</t>
  </si>
  <si>
    <t>4. Igrišča in športni objekti</t>
  </si>
  <si>
    <t>5. Posebni objekti</t>
  </si>
  <si>
    <t>6. Drugi objekti na prostem</t>
  </si>
  <si>
    <t>1. Objekti in naprave za oskrbo z vodo</t>
  </si>
  <si>
    <t>2. Objekti in naprave za odstranjevanje in čiščenje odpadnih vod z izjemo drenažnih sistemov, ki so namenjeni prometnim površinam in odvodnjavanju (odprti prostor)</t>
  </si>
  <si>
    <t>3. Objekti in naprave za hidrotehniko razen ureditev vodotokov in nabrežij ter vodnih in obvodnih ureditev (odprti prostor)</t>
  </si>
  <si>
    <t>4. Objekti in naprave za oskrbo in odstranjevanje</t>
  </si>
  <si>
    <t>5. Objekti in naprave za odstranjevanje odpadkov</t>
  </si>
  <si>
    <t>6. Inženirski objekti za promet</t>
  </si>
  <si>
    <t>7. Drugi inženirski objekti</t>
  </si>
  <si>
    <t>cisterne</t>
  </si>
  <si>
    <t>1. Ceste</t>
  </si>
  <si>
    <t>2. Železnice</t>
  </si>
  <si>
    <t>3. Letališča</t>
  </si>
  <si>
    <t>Zasaditve v odprti krajini, drevoredi, nasadi</t>
  </si>
  <si>
    <t>Območja varstva narave  z različnimi zahtevami glede zagotavljanja ekoloških funkcij (npr. mreženja biotopov)</t>
  </si>
  <si>
    <t>Pripadajoče površine ob stavbah ter drugih objektih in napravah, vrtovi in ureditve z nizkimi ali povprečnimi zahtevami</t>
  </si>
  <si>
    <t>Vertikalna in horizontalna ozelenitev ovoja stavb z visokimi ali zelo visokimi zahtevami (zelene strehe in zelene stene)</t>
  </si>
  <si>
    <t>Ozelenitev v notranjih prostorih z visokimi ali zelo visokimi zahtevami</t>
  </si>
  <si>
    <t>Notranja dvorišča, atriji z visokimi ali zelo visokimi zahtevami</t>
  </si>
  <si>
    <t>Igrišča za igre z žogo, nogometna igrišča in podobno, z nizkimi ali povprečnimi zahtevami</t>
  </si>
  <si>
    <t>Športni objekti za atletiko, atletske steze s pripadajočimi ureditvami in športni stadioni</t>
  </si>
  <si>
    <t>Igrišča za golf, konjeniški centri</t>
  </si>
  <si>
    <t>Šolska dvorišča in igrišča z igrali in vadbenimi napravami</t>
  </si>
  <si>
    <t xml:space="preserve">Šotorišča, kamp oziroma območja za kampiranje ali za avtodome s povprečnimi ali visokimi zahtevami </t>
  </si>
  <si>
    <t>Zunanji bazeni z visokimi zahtevami; bazenska kopališča</t>
  </si>
  <si>
    <t>Enostavne stavbe za začasno uporabo (bungalovi, stavbe v kampih, hišice na drevesih ali na vodi, glamping hišice ipd.)</t>
  </si>
  <si>
    <t>7. Gospodarstvo, industrija, kmetijstvo, promet</t>
  </si>
  <si>
    <t>Šole z nadpovprečnimi načrtovalskimi potrebami - izobraževalni centri, visoke šole, univerze, akademije</t>
  </si>
  <si>
    <t>Pisarniške in upravne stavbe, nižji standard</t>
  </si>
  <si>
    <t>Pisarniške in upravne stavbe, srednji standard</t>
  </si>
  <si>
    <t>Pisarniške in upravne stavbe, višji standard</t>
  </si>
  <si>
    <t>Parlament, sodna stavba</t>
  </si>
  <si>
    <t>Hranilniške in bančne poslovalnice</t>
  </si>
  <si>
    <t>Knjigarne, arhivi</t>
  </si>
  <si>
    <t>4. Zdravstvo in varstvo</t>
  </si>
  <si>
    <t>Gasilske in policijske postaje</t>
  </si>
  <si>
    <t>Pokopališke stavbe</t>
  </si>
  <si>
    <t>Obredne stavbe, cerkve</t>
  </si>
  <si>
    <t>Galerije, kinodvorane</t>
  </si>
  <si>
    <t xml:space="preserve">Gledališča, operne in koncertne hiše </t>
  </si>
  <si>
    <t>Vrednotenje storitev na področju arhitekturnega 
in krajinskoarhitekturnega projektiranja</t>
  </si>
  <si>
    <t>OPREDELITEV</t>
  </si>
  <si>
    <t>PRIPRAVA GRADIV ZA NAROČILO GRADNJE</t>
  </si>
  <si>
    <t>NAROČILO TEHNOLOŠKE OPREME</t>
  </si>
  <si>
    <t>DOVOLJENJE ZA UPORABO</t>
  </si>
  <si>
    <t>IZDELAVA DOKUMENTACIJE ZA DOVOLJEVANJE</t>
  </si>
  <si>
    <t>VKLJUČI V IZRAČUN</t>
  </si>
  <si>
    <t>BTO VREDNOST NU V EUR</t>
  </si>
  <si>
    <t>PROJEKTNA DOKUMENTACIJA ZA PROJEKTNE POGOJE</t>
  </si>
  <si>
    <t>PROJEKTNA DOKUMENTACIJA ZA PRIDOBIVANJE GRADBENEGA DOVOLJENJA</t>
  </si>
  <si>
    <t>OCENJENA VREDNOST EUR/m2 NTP</t>
  </si>
  <si>
    <t>Enostavne kmetijske zgradbe, na primer poljski skednji</t>
  </si>
  <si>
    <t>Mladinski centri, centri za prosti čas</t>
  </si>
  <si>
    <t>Kmetijska in obrtna gospodarska poslopja</t>
  </si>
  <si>
    <t>INFORMATIVNA MINIMALNA VREDNOST</t>
  </si>
  <si>
    <t>INFORMATIVNA MAKSIMALNA VREDNOST</t>
  </si>
  <si>
    <t>INFORMATIVNA MINIMALNA VREDNOST EUR/m2 BTP</t>
  </si>
  <si>
    <t>INFORMATIVNA MASKIMALNA VREDNOST EUR/m2 BTP</t>
  </si>
  <si>
    <t>INFORMATIVNA MINIMALNA VREDNOST EUR/m2 NTP</t>
  </si>
  <si>
    <t>INFORMATIVNA MAKSIMALNAVREDNOST EUR/m2 NTP</t>
  </si>
  <si>
    <t>INFORMATIVNA MINIMALNA VREDNOST EUR/m2</t>
  </si>
  <si>
    <t>INFORMATIVNA MAKSIMALNA VREDNOST EUR/m2</t>
  </si>
  <si>
    <t>IZVAJANJE GRADNJE</t>
  </si>
  <si>
    <t>PREDAJA OBJEKTA</t>
  </si>
  <si>
    <t>Odstopanja od minimalnega števila NU ne zagotavljajo kakovostne izvedbe storitev.</t>
  </si>
  <si>
    <t>SI 
(D.100-D.300)</t>
  </si>
  <si>
    <t>EI 
(D.400-D.500)</t>
  </si>
  <si>
    <t>TH (D.600-D.900)</t>
  </si>
  <si>
    <t>GO 
(C.100 - C.900)</t>
  </si>
  <si>
    <t>INDEKS</t>
  </si>
  <si>
    <t>Zdravstvo - večnamenske dvorane</t>
  </si>
  <si>
    <t>Izobraževanje - večnamenske dvorane</t>
  </si>
  <si>
    <t>IZHODIŠČNO ŠTEVILO NU</t>
  </si>
  <si>
    <t>VREDNOST NU</t>
  </si>
  <si>
    <r>
      <t>NU/m</t>
    </r>
    <r>
      <rPr>
        <vertAlign val="superscript"/>
        <sz val="10"/>
        <rFont val="Inter"/>
        <family val="2"/>
      </rPr>
      <t>2</t>
    </r>
  </si>
  <si>
    <r>
      <t>NU/m</t>
    </r>
    <r>
      <rPr>
        <vertAlign val="superscript"/>
        <sz val="8"/>
        <rFont val="Inter Light"/>
        <family val="2"/>
        <charset val="238"/>
      </rPr>
      <t>2</t>
    </r>
  </si>
  <si>
    <t>NU</t>
  </si>
  <si>
    <t>ALI VPIŠI ŠTEVILO NU</t>
  </si>
  <si>
    <t>IDEJNA ZASNOVA (IDZ)</t>
  </si>
  <si>
    <t>IDEJNI PROJEKT (IDP)</t>
  </si>
  <si>
    <t>PROJEKT IZVEDENIH DEL (PID)</t>
  </si>
  <si>
    <t>Cenovni razred V+</t>
  </si>
  <si>
    <t>INDEKS TIPOLOGIJE</t>
  </si>
  <si>
    <t>MINIMALNO ŠTEVILO NU/m2</t>
  </si>
  <si>
    <t>MAKSIMALNO ŠTEVILO NU/m2</t>
  </si>
  <si>
    <t>STAVBA 1 / DEL 1</t>
  </si>
  <si>
    <t>STAVBA 2 / DEL 2</t>
  </si>
  <si>
    <t>STAVBA 3 / DEL 3</t>
  </si>
  <si>
    <t>STAVBA 4 / DEL 4</t>
  </si>
  <si>
    <t>STAVBA 5 / DEL 5</t>
  </si>
  <si>
    <t>INFORMATIVNA VREDNOST STROŠKOV GRADNJE EUR/m2 BTP</t>
  </si>
  <si>
    <t>IZBRANA VREDNOST STROKOV GRADNJE EUR/m2 BEP</t>
  </si>
  <si>
    <t>OCENA STROŠKOV GRADNJE</t>
  </si>
  <si>
    <t>INFORMATIVNA OCENA STROŠKOV GRADNJE</t>
  </si>
  <si>
    <r>
      <t>EUR/m</t>
    </r>
    <r>
      <rPr>
        <i/>
        <vertAlign val="superscript"/>
        <sz val="8"/>
        <rFont val="Inter Light"/>
        <family val="2"/>
        <charset val="238"/>
      </rPr>
      <t>2</t>
    </r>
  </si>
  <si>
    <t>SKUPNO MINIMALNO ŠTEVILO NU</t>
  </si>
  <si>
    <t>SKUPNO MAKSIMALNO ŠTEVILO NU</t>
  </si>
  <si>
    <r>
      <t>m</t>
    </r>
    <r>
      <rPr>
        <vertAlign val="superscript"/>
        <sz val="10"/>
        <rFont val="Inter Light"/>
        <family val="2"/>
      </rPr>
      <t>2</t>
    </r>
  </si>
  <si>
    <t>SKUPNA OCENA STROŠKOV GRADNJE</t>
  </si>
  <si>
    <r>
      <t>EUR/m</t>
    </r>
    <r>
      <rPr>
        <i/>
        <vertAlign val="superscript"/>
        <sz val="8"/>
        <rFont val="Inter Light"/>
        <family val="2"/>
      </rPr>
      <t>2</t>
    </r>
  </si>
  <si>
    <t>IZHODIŠČNA VREDNOST V EUR</t>
  </si>
  <si>
    <t>CENOVNI RAZRED - ARHITEKTURA</t>
  </si>
  <si>
    <t>CENOVNI RAZRED - GRADBENE KONSTRUKCIJE</t>
  </si>
  <si>
    <t>CENOVNI RAZRED - ELEKTRIČNE INSTALACIJE</t>
  </si>
  <si>
    <t>CENOVNI RAZRED - STROJNE INSTALACIJE</t>
  </si>
  <si>
    <t>CENOVNI RAZRED - TEHNOLOGIJA</t>
  </si>
  <si>
    <t>CENOVNI RAZRED - POŽARNA VARNOST</t>
  </si>
  <si>
    <t>CENOVNI RAZRED - UČINKOVITA RABA ENERGIJE</t>
  </si>
  <si>
    <t>CENOVNI RAZRED - ZAŠČITA PRED HRUPOM</t>
  </si>
  <si>
    <t>CENOVNI RAZRED - PROSTORSKA AKUSTIKA</t>
  </si>
  <si>
    <t>IZHODIŠČNO ŠTEVILO NU ZA VSE FAZE</t>
  </si>
  <si>
    <t>© 2023 ZAPS, vse pravice pridržane</t>
  </si>
  <si>
    <t>% stroškov gradnje stavbe</t>
  </si>
  <si>
    <t>% s pribitki</t>
  </si>
  <si>
    <t>% stroškov električnih inštalacij</t>
  </si>
  <si>
    <t>INDEKS SI</t>
  </si>
  <si>
    <t>INDEKS EI</t>
  </si>
  <si>
    <t>INDEKS TH</t>
  </si>
  <si>
    <t>Cenovni razred VI</t>
  </si>
  <si>
    <t>IZRAČUN ŠTEVILA NU ZA POŽARNO VARNOST</t>
  </si>
  <si>
    <t>INDEKS GO</t>
  </si>
  <si>
    <t>INDEKS TIPOLOGIJA</t>
  </si>
  <si>
    <t>PROJEKTIRANJE OBJEKTOV</t>
  </si>
  <si>
    <t>PODPORNO / TEHNIČNO PROJEKTIRANJE</t>
  </si>
  <si>
    <t>PRIBITKI IN ODBITKI</t>
  </si>
  <si>
    <t>OBJEKT 1 / DEL 1</t>
  </si>
  <si>
    <t>OBJEKT 2 / DEL 2</t>
  </si>
  <si>
    <t>OBJEKT 3 / DEL 3</t>
  </si>
  <si>
    <t>OBJEKT 4 / DEL 4</t>
  </si>
  <si>
    <t>OBJEKT 5 / DEL 5</t>
  </si>
  <si>
    <t>CENOVNI RAZRED</t>
  </si>
  <si>
    <t>INFORMATIVNA VREDNOST STROŠKOV GRADNJE EUR/m2</t>
  </si>
  <si>
    <t>IZBRANA VREDNOST STROKOV GRADNJE EUR/m2</t>
  </si>
  <si>
    <t>IZRAČUN ŠTEVILA NU ZA NAČRTOVANJE ODPRTEGA PROSTORA</t>
  </si>
  <si>
    <t>STAVBA</t>
  </si>
  <si>
    <t>ARHIGRAM 6</t>
  </si>
  <si>
    <t>PORAZDELITEV NU ZA NAČRTOVANJE ODPRTEGA PROSTORA</t>
  </si>
  <si>
    <t>% stroškov gradnje odprtega prostora</t>
  </si>
  <si>
    <t>Poraba časa - stavbe</t>
  </si>
  <si>
    <t>IZRAČUN ŠTEVILA NU ZA NAČRTOVANJE GRADBENIH KONSTRUKCIJ</t>
  </si>
  <si>
    <t>% stroškov tehnologije</t>
  </si>
  <si>
    <t>IZRAČUN ŠTEVILA NU ZA ELEKTRIČNE INŠTALACIJE</t>
  </si>
  <si>
    <t>IZRAČUN ŠTEVILA NU ZA STROJNE INŠTALACIJE</t>
  </si>
  <si>
    <t>IZRAČUN ŠTEVILA NU ZA TEHNOLOGIJO</t>
  </si>
  <si>
    <t>Poraba časa za storitve na področju načrtovanja požarne varnosti</t>
  </si>
  <si>
    <t>PORAZDELITEV NU ZA STORITVE NA PODROČJU POŽARNE VARNOSTI</t>
  </si>
  <si>
    <t>IZRAČUN ŠTEVILA NU</t>
  </si>
  <si>
    <t>VRSTA IZRAČUNA</t>
  </si>
  <si>
    <t>CELOTNA BTP</t>
  </si>
  <si>
    <t>BRUTO POVRŠINA DELA</t>
  </si>
  <si>
    <t>BRUTO POVRŠINA ZA IZRAČUN</t>
  </si>
  <si>
    <t>INDEKS GK</t>
  </si>
  <si>
    <r>
      <t>NU/m</t>
    </r>
    <r>
      <rPr>
        <vertAlign val="superscript"/>
        <sz val="8"/>
        <rFont val="Inter"/>
        <family val="2"/>
      </rPr>
      <t>2</t>
    </r>
  </si>
  <si>
    <t>MED SEBOJ POVEZANE UREDITVE (PRI IZRAČUNU POTREBNIH NU SE UPOŠTEVA SEŠTEVEK POVRŠIN)</t>
  </si>
  <si>
    <t>POSAMEZNE UREDITVE (PRI IZRAČUNU POTREBNIH NU SE VSAK DEL IZRAČUNAVA POPOLNOMA LOČENO)</t>
  </si>
  <si>
    <t>ENA STAVBA Z RAZLIČNIMI DELI (PRI IZRAČUNU POTREBNIH NU SE UPOŠTEVA SEŠTEVEK POVRŠIN VSEH DELOV)</t>
  </si>
  <si>
    <t>VEČ RAZLIČNIH STAVB (PRI IZRAČUNU POTREBNIH NU SE VSAKA STAVBA IZRAČUNAVA LOČENO)</t>
  </si>
  <si>
    <t>pri URE enačba odstopa od HOAI ker s polinomsko enačbo ne gre</t>
  </si>
  <si>
    <t>enačba kopirana iz URE, obračunski stroški so za celoto</t>
  </si>
  <si>
    <t>VODENJE PROJEKTIRANJA</t>
  </si>
  <si>
    <t>POSKUSNO OBRATOVANJE</t>
  </si>
  <si>
    <t>IZVEDBA RAZPISOV ZA ODDAJO DEL</t>
  </si>
  <si>
    <t>PROJEKTANTSKI PREDRAČUN</t>
  </si>
  <si>
    <t>če je opcija izbrana, se v fazi 2.5 upošteva dodatek za izdelavo projektantskega predračuna.</t>
  </si>
  <si>
    <t>če je opcija izbrana, se v fazah 2.5, 3.1 in 3.2 upošteva dodatek za izvedbo razpisa.</t>
  </si>
  <si>
    <t>% projekta VP + ARH</t>
  </si>
  <si>
    <t>% s pribitki 
VP + ARH</t>
  </si>
  <si>
    <t>PROJEKT ZA IZVEDBO (PZI)</t>
  </si>
  <si>
    <t>VODENJE IN KOORDINACIJA</t>
  </si>
  <si>
    <t>ARHITEKTURA</t>
  </si>
  <si>
    <t>ARHITEKTURA - ODPRTI PROSTOR</t>
  </si>
  <si>
    <t>KRAJINSKA ARHITEKTURA</t>
  </si>
  <si>
    <t>ELEKTRIČNE INŠTALACIJE</t>
  </si>
  <si>
    <t>STROJNE INŠTALACIJE</t>
  </si>
  <si>
    <t>ŠTEVILO NU JE ZAJETO V ŠTEVILU NU ZA PROJEKTIRANJE OBJEKTOV IN SE POSEBEJ PRIKAZUJE V ZAVIHKU ARHIGRAM 6</t>
  </si>
  <si>
    <t>IZVLEČEK NU PO POSAMEZNIH PODROČJIH</t>
  </si>
  <si>
    <t>IZVLEČEK VREDNOSTI PO POSAMEZNIH PODROČJIH</t>
  </si>
  <si>
    <t>SKUPAJ EUR ZA PODROČJE</t>
  </si>
  <si>
    <t>% vrednosti vseh storitev</t>
  </si>
  <si>
    <t>100 % pomeni, da bo projektiranje odprtega prostora opravil arhitekt v sklopu načrta zunanje ureditve, 0 % pa da bo storitev opravil krajinski arhitekt v sklopu načrta krajinske arhitekture</t>
  </si>
  <si>
    <t xml:space="preserve">Cenovni razdredi za posamezna področja za vsak posamezen objekt ali del objekta se razberejo iz ustreznih tabel. Če določanje po seznamu ni mogoče oziroma kadar gre za posebne primere, se razred določi s točkovanjem glede na posamezna merila za ocenjevanje, ki kot rezultat določijo cenovni razred. </t>
  </si>
  <si>
    <t>TABELA 1 - OSNOVNE STORITVE</t>
  </si>
  <si>
    <t>ROKI IN POGOJI ZA IZVEDBO DEL</t>
  </si>
  <si>
    <t>STRUKTURA CENE</t>
  </si>
  <si>
    <t>CENA 
BREZ DDV</t>
  </si>
  <si>
    <t>POGOJ ZA PLAČILO</t>
  </si>
  <si>
    <t>CENA Z DDV</t>
  </si>
  <si>
    <t>xx</t>
  </si>
  <si>
    <t>delovnih dni</t>
  </si>
  <si>
    <t>PROJEKTNA DOKUMENTACIJA IDZ</t>
  </si>
  <si>
    <t>PROJEKTNA DOKUMENTACIJA IDP</t>
  </si>
  <si>
    <t>delovnih dni po prejemu vseh projektnih in drugih pogojev</t>
  </si>
  <si>
    <t>PRIPRAVA DOKUMENTACIJE ZA PRIDOBIVANJE DOVOLJENJ</t>
  </si>
  <si>
    <t xml:space="preserve">delovnih dni po pisni potrditvi predane IDZ s strani naročnika </t>
  </si>
  <si>
    <t>PROJEKTNA DOKUMENTACIJA ZA PRIDOBIVANJE MNENJ IN GRADBENEGA DOVOLJENJA (DGD)</t>
  </si>
  <si>
    <t>delovnih dni po pridobitvi vseh mnenj in soglasij</t>
  </si>
  <si>
    <t>- ločena PZI projektna dokumentacija za odstranitev objekta</t>
  </si>
  <si>
    <t>delovnih dni …</t>
  </si>
  <si>
    <t>- ločena PZI dokumentacija za pripravljalna dela</t>
  </si>
  <si>
    <t>- ločena PZI dokumentacija za načrt notranje opreme</t>
  </si>
  <si>
    <t>delovnih dni po pisni potrditvi projekta PZI s strani naročnika</t>
  </si>
  <si>
    <t>- ločen popis GO del za odstranitev objekta</t>
  </si>
  <si>
    <t>- ločen popis GO del za pripravljalna dela</t>
  </si>
  <si>
    <t>- ločen popis del za načrt notranje opreme</t>
  </si>
  <si>
    <t>NAROČANJE GRADNJE</t>
  </si>
  <si>
    <t>delovnih dni po prejemu vprašanj</t>
  </si>
  <si>
    <t>delovnih dni po sklenitvi gradbene pogodbe, prejemu zakoličbenega zapisnika in pridobitvi vseh potrebnih dokumentov in podatkov s strani naročnika (potrdilo o plačanem komunalnem prispevku, soglasja za priključitev, načrt organizacije gradbišča, …)</t>
  </si>
  <si>
    <t>PRIKAZ IZVEDENIH DEL (PID)</t>
  </si>
  <si>
    <t>delovnih dni od podpisa pogodbe</t>
  </si>
  <si>
    <t>delovnih dni od podpisa pogodbe / od plačila / zaključka predhodne faze</t>
  </si>
  <si>
    <t>delovnih dni od podpisa pogodbe / od plačila / zaključka predhodne faze / od prejema potrjene projektne naloge</t>
  </si>
  <si>
    <t>PROJEKTNA DOKUMENTACIJA ZA IZVEDBO (PZI)</t>
  </si>
  <si>
    <t>delovnih dni po pridobitvi (pravnomočnega) gradbenega dovoljenja</t>
  </si>
  <si>
    <t>PROJEKTNA DOKUMENTACIJA ZA RAZPIS (PZR)</t>
  </si>
  <si>
    <t>Sodelovanje pri uvedbi v delo in zakoličenju se izvaja skladno s terminskim načrtom graditve.</t>
  </si>
  <si>
    <t>delovnih dni po prejemu vseh potrjenih dopolnitev in sprememb iz gradbenega dnevnika v DWG formatu.</t>
  </si>
  <si>
    <t>Se izvaja v časovni odvisnosti od dejanj pristojnih organov.</t>
  </si>
  <si>
    <t>delovnih dni po izdanem pisnem naročilu za posamezno storitev s strani naročnika.</t>
  </si>
  <si>
    <t>Pisno / ustno poročilo naročniku o storitvah te podfaze po ST ZAPS 01 / Plačilo za to fazo se opravi po zaključku faze 0.2.</t>
  </si>
  <si>
    <t>Pisno / ustno poročilo naročniku o storitvah te podfaze po ST ZAPS 01</t>
  </si>
  <si>
    <t>Pisno / ustno poročilo naročniku o storitvah te podfaze po ST ZAPS 01 / Plačilo za to fazo se opravi po zaključku faze 1.3.</t>
  </si>
  <si>
    <t>Pisno / ustno poročilo naročniku – zazidalna /prostorska preveritev / in potrditev gradiv s strani naročnika / Plačilo za to fazo se opravi po zaključku faze 1.3.</t>
  </si>
  <si>
    <t>S strani naročnika potrjena projektna naloga.</t>
  </si>
  <si>
    <t>PROJEKTNA DOKUMENTACIJA ZA PROJEKTNE POGOJE (DPP)</t>
  </si>
  <si>
    <t>Predaja IDZ in potrditev s strani naročnika.</t>
  </si>
  <si>
    <t>Predaja IDP in potrditev s strani naročnika.</t>
  </si>
  <si>
    <t>Predaja DPP in potrditev s strani naročnika.</t>
  </si>
  <si>
    <t>Predaja DGD in potrditev s strani naročnika.</t>
  </si>
  <si>
    <t>Predaja PZI in potrditev s strani naročnika.</t>
  </si>
  <si>
    <t>Predaja gradiv in potrditev s strani naročnika.</t>
  </si>
  <si>
    <t>Predaja PZR in potrditev s strani naročnika.</t>
  </si>
  <si>
    <t>Poročilo o opravljenih aktivnostih.</t>
  </si>
  <si>
    <t>Mesečno, skupaj s poročilom o opravljenih aktivnostih.</t>
  </si>
  <si>
    <t>Predaja PID in potrditev s strani naročnika.</t>
  </si>
  <si>
    <t>Predaja gradiv in potrditev s strani naročnika. / Poročilo o opravljenih aktivnostih.</t>
  </si>
  <si>
    <t>TABELA 2 - POSEBNE STORITVE</t>
  </si>
  <si>
    <t>Pravnomočno gradbeno dovoljenje.</t>
  </si>
  <si>
    <t>Predaja DPP in potrditev s strani naročnika. / Potrdilo o pošiljanju DPP relevantnim mnenjedajalcem.</t>
  </si>
  <si>
    <t>RAZPISNA DOKUMENTACIJA</t>
  </si>
  <si>
    <t>IZVEDBA RAZPISA</t>
  </si>
  <si>
    <t>Potrdilo o oddani vlogi.</t>
  </si>
  <si>
    <t>ZASTOPANJE INVESTITORJA V UPRAVNIH POSTOPKIH: POPOLNA VLOGA ZA PRIJAVO GRADNJE</t>
  </si>
  <si>
    <t>ZASTOPANJE INVESTITORJA V UPRAVNIH POSTOPKIH: POPOLNA ZAHTEVA ZA PRIDOBITEV UPORABNEGA DOVOLJENJA</t>
  </si>
  <si>
    <t>ZASTOPANJE INVESTITORJA V UPRAVNIH POSTOPKIH: POPOLNA ZAHTEVA ZA PRIDOBITEV GRADBENEGA DOVOLJENJA</t>
  </si>
  <si>
    <t>Pravnomočno uporabno dovoljenje.</t>
  </si>
  <si>
    <t xml:space="preserve">Projektantski nadzor v času poskusnega obratovanja se v dogovorjenem obsegu izvaja ves čas poskusnega obratovanja. </t>
  </si>
  <si>
    <t xml:space="preserve">Projektantski nadzor v času predaje objekta se v dogovorjenem obsegu izvaja ves čas predaje objekta, do pridobitve uporabnega dovoljenja oz. primopredaje naročniku. </t>
  </si>
  <si>
    <t>delovnih dni od podpisa pogodbe. (Opomba: podfaza izvaja skupaj s podfazo 1.1. Zagon projekta.)</t>
  </si>
  <si>
    <t>delovnih dni od podpisa pogodbe. (Opomba: podfaza se izvaja skupaj s podfazo 1.2. Študija izvedljivosti.)</t>
  </si>
  <si>
    <t>Predaja gradiv in potrditev s strani naročnika. / Kot za osnovne storitve v tej podfazi. / Mesečno na podlagi poročila o opravljenih aktivnostih / izstavljenega računa (na primer za skupni podatkovni strežnik).</t>
  </si>
  <si>
    <t>ZASTOPANJE INVESTITORJA V UPRAVNIH POSTOPKIH</t>
  </si>
  <si>
    <t>če je opcija izbrana, se v fazi 2.3 upošteva dodatek za zastopanje investitorja.</t>
  </si>
  <si>
    <t>če je opcija izbrana, se v fazi 4.2 upošteva dodatek za gradbeni nadzor.</t>
  </si>
  <si>
    <t>IZDELAVA RAZPISNE DOKUMENTACIJE</t>
  </si>
  <si>
    <t>OBRAČUNSKI STROŠKI</t>
  </si>
  <si>
    <t>IZBRANA VREDNOST EUR/m2 NTP</t>
  </si>
  <si>
    <t>NETO TLORISNA POVRŠINA (NTP)</t>
  </si>
  <si>
    <t>NETO POVRŠINA DELA</t>
  </si>
  <si>
    <t>CENOVNI RAZRED - NOTRANJA OPREMA</t>
  </si>
  <si>
    <t>OBRAČUNSKI STROŠKI - SPODNJA VREDNOST</t>
  </si>
  <si>
    <t>OBRAČUNSKI STROŠKI - ZGORNJA VREDNOST</t>
  </si>
  <si>
    <t>ŠTEVILO UR - SPODNJA VREDNOST</t>
  </si>
  <si>
    <t>ŠTEVILO UR - ZGORNJA VREDNOST</t>
  </si>
  <si>
    <t>IZRAČUN MINIMALNEGA ŠTEVILA UR</t>
  </si>
  <si>
    <t>IZRAČUN MAKSIMALNEGA ŠTEVILA UR</t>
  </si>
  <si>
    <t>OBRAČUNSKI STROŠKI ZA IZRAČUN</t>
  </si>
  <si>
    <t>SKUPNA NETO POVRŠINA</t>
  </si>
  <si>
    <t>MINIMALNO ŠTEVILO UR ZA DEL</t>
  </si>
  <si>
    <t>MAKSIMALNO ŠTEVILO UR ZA DEL</t>
  </si>
  <si>
    <r>
      <t>EUR/m</t>
    </r>
    <r>
      <rPr>
        <vertAlign val="superscript"/>
        <sz val="8"/>
        <rFont val="Inter Light"/>
        <family val="2"/>
      </rPr>
      <t>2</t>
    </r>
  </si>
  <si>
    <t>ARHITEKTURA - NOTRANJA OPREMA</t>
  </si>
  <si>
    <t>ARHITEKTURA - STAVBE</t>
  </si>
  <si>
    <t>ŠTEVILO NU VP + ARH</t>
  </si>
  <si>
    <t>VREDNOST V EUR VP + ARH</t>
  </si>
  <si>
    <t>% stroškov gradnje notranja oprema</t>
  </si>
  <si>
    <t>NOTRANJA OPREMA STAVBE Z RAZLIČNIMI DELI (PRI IZRAČUNU POTREBNIH NU SE UPOŠTEVAJO CELOTNI OBRAČUNSKI STROŠKI)</t>
  </si>
  <si>
    <t>VEČ NEODVISNIH DELOV (PRI IZRAČUNU POTREBNIH NU SE VSAK DEL IZRAČUNAVA LOČENO)</t>
  </si>
  <si>
    <r>
      <t>m</t>
    </r>
    <r>
      <rPr>
        <vertAlign val="superscript"/>
        <sz val="10"/>
        <rFont val="Inter SemiBold"/>
        <family val="2"/>
      </rPr>
      <t>2</t>
    </r>
  </si>
  <si>
    <r>
      <t>EUR/m</t>
    </r>
    <r>
      <rPr>
        <vertAlign val="superscript"/>
        <sz val="10"/>
        <rFont val="Inter SemiBold"/>
        <family val="2"/>
      </rPr>
      <t>2</t>
    </r>
  </si>
  <si>
    <t xml:space="preserve">Za vsak posamezen objekt ali del objekta najprej vpišite ime objekta ali dela objekta, nato izberite tipologijo za ta objekt ali del objekta, določite cenovne razrede za vsak posamezen del ter vpišite bruto oziroma neto tlorisno površino (BTP ali NTP). </t>
  </si>
  <si>
    <t xml:space="preserve">Priporočeni cenovni razdredi za posamezna področja za vsak posamezen objekt ali del objekta se razberejo iz ustreznih tabel na zavihku CENOVNI RAZREDI (polja s cenovnimi razredi za vsa področja se prikažejo ob kliku na znak + skrajno levo). Če določanje po seznamu ni mogoče oziroma kadar gre za posebne primere, se razred določi s točkovanjem glede na posamezna merila za ocenjevanje, navedena na zavihku CENOVNI RAZREDI, ki kot rezultat določijo cenovni razred. </t>
  </si>
  <si>
    <t xml:space="preserve">Na podlagi vnešenih podatkov se bo za vsak objekt ali del objekta izračunalo priporočeno minimalno in maksimalno število NU. Če želite uporabiti srednjo vrednost, v vrsticah od 385 dalje odkljukajte okence "uporabi srednjo vrednost števila NU", v naspretnem primeru pa vpišite željeno vrednost.  </t>
  </si>
  <si>
    <t>Na podlagi izbora tipologije se bo pri stavbah in odprtem prostoru za vsak del prikazala tudi informativna minimalna in maksimalna vrednost stroškov gradnje v EUR/m2, ki pa ne vpliva na izračun potrebnih NU, temveč služi zgolj kot informacija za primerjavo izračunanih vrednosti storitev s stroški gradnje objekta. Na podlagi podanih informativnih vrednosti določite vrednost, ki bo upoštevana v informativnem izračunu, in jo vpišite v ustrezno polje. Program bo izračunal oceno stroškov ter jo porazdelil med vrednosti del za GO, EI, SI in TH dela. Razmerja med temi deli so odvisna od izbrane tipologije objekta. Vrednosti ne vsebujejo DDV.</t>
  </si>
  <si>
    <t>V primeru ponovitev se Arhigram uporabi tako, da se izračuna cena za prvi objekt, vsi nadaljnji objekti pa se računajo po naslednjem ključu: prva ponovitev + 50 % na ceno za prvi objekt, druga ponovitev + 25 %, tretja in vsaka nadaljnja ponovitev + 15 %.</t>
  </si>
  <si>
    <t>NOTRANJA OPREMA / DEL 1</t>
  </si>
  <si>
    <t>NOTRANJA OPREMA / DEL 2</t>
  </si>
  <si>
    <t>NOTRANJA OPREMA / DEL 3</t>
  </si>
  <si>
    <t>NOTRANJA OPREMA / DEL 4</t>
  </si>
  <si>
    <t>NOTRANJA OPREMA / DEL 5</t>
  </si>
  <si>
    <t>Arhigram 6 je pripravljen na osnovi Standarda storitev Zbornice za arhitekturo in prostor Slovenije (ST ZAPS). Storitve določa ST ZAPS 01, vrednotenje storitev pa ST ZAPS 02. Kadar se ponudba za storitve pripravi v skladu s ST ZAPS, morajo biti tudi storitve opravljene v skladu s tem standardom. Izpolnjujejo se samo okenca, označena z modro barvo. Vrednosti v poševni pisavi so informativne. Ob skrajnem desnem robu so oznake + in - za odpisanje in zapiranje sklopov podatkov.</t>
  </si>
  <si>
    <t>Pribitki povečujejo ali zmanjšujejo vrednosti, navedene v opombah.</t>
  </si>
  <si>
    <t>Za vsako področje, ki ga želite vključiti v izračun, je potrebno odkljukati ustrezno okence v poljih od A376 dalje. Število NU za izbrano področje se bo preneslo v zavihek ARHIGRAM 6. V zavihku ARHIGRAM 6 na enak način odkljukajte faze, ki jih želite vključiti v izračun.</t>
  </si>
  <si>
    <t>Na podlagi podanih podatkov se za vsako področje izračuna minimalno in maskimalno število NU. Za vsako področje, ki ga želite vključiti v izračun je potrebno odkljukati ustrezno okence v poljih od A376 dalje. Če želite uporabiiti srednjo vrednost števila NU, odkljukajte ustrezen kvadratek. Če želite vnesti drugačno število NU, ga vpišite v stolpec F (modro polje) in izklopite kljukico v stolpcu E (uporabi srednjo vrednost števila NU).</t>
  </si>
  <si>
    <t>ZAVIHKI</t>
  </si>
  <si>
    <t>Zavihek za vnos vseh podatkov.</t>
  </si>
  <si>
    <t>CENOVNI RAZREDI</t>
  </si>
  <si>
    <t>Zavihek s podatki o priporočenih cenovnih razredih in drugimi podatki, potrebnimi za izračun.</t>
  </si>
  <si>
    <t>STANDARD ZAPS</t>
  </si>
  <si>
    <t>PRIPOMOČEK ZA PRIPRAVO PONUDBE</t>
  </si>
  <si>
    <t>Kalkulacija stroškov za določitev vrednosti projektantske obračunske ure (2023)</t>
  </si>
  <si>
    <t>povprečni BTO OD v Sloveniji 2022</t>
  </si>
  <si>
    <t>povprečni NTO OD v Sloveniji 2022</t>
  </si>
  <si>
    <t>Število obračunskih ur / delovni dan</t>
  </si>
  <si>
    <t>Tedenski fond obračunskih ur</t>
  </si>
  <si>
    <t>Število delovnih ur / delovni dan</t>
  </si>
  <si>
    <t>obračunske ure proizvodnih delavcev</t>
  </si>
  <si>
    <t>Skupaj efektivnih delovnih dni</t>
  </si>
  <si>
    <t>Mesečni fond efektivnih delovnih dni (povprečni)</t>
  </si>
  <si>
    <t>Število efektivnih ur (billable hours)</t>
  </si>
  <si>
    <t>vse ure vseh delavcev</t>
  </si>
  <si>
    <t>Zavihek s pripomočkom za izračun povprečne vrednosti NU za posamezen arhitekturni biro. Vrednosti so informativne in se razlikujejo glede na organizacijo posameznega biroja.</t>
  </si>
  <si>
    <t>Vrednosti so informativne in se razlikujejo glede na organizacijo posameznega biroja.</t>
  </si>
  <si>
    <t>OSTALI ZAVIHKI</t>
  </si>
  <si>
    <t>Zavihki na katerih se izvajajo računske operacije za izračunavanje vrednosti za projektiranje objektov in podporno oziroma tehnično projektiranje.</t>
  </si>
  <si>
    <t>Zavihek z izračunom vrednosti po Arhigramu, razporejen po fazah in podfazah življenjskega cikla objektov ter dodatno še izvleček po posameznih področjih.</t>
  </si>
  <si>
    <t xml:space="preserve">Priloga B - Seznam osnovnih storitev k Pripomočku za pripravo ponudbe po ST ZAPS. Seznam ni avtomatiziram in se izpolni ročno. Priporočamo da kadar posamezna faza ni vključena v ponudbo, vrstic ne brišete, temveč vpišete besedilo "NI VKLJUČENO V PONUDBO". Namig: okvirno potrebno število delovnih dni lahko izračunate tako, da število NU najprej delite s številom predvidenih efektivnih ur na dan (na primer 6), nato pa še s številom delavcev, ki bodo delali na projektu. </t>
  </si>
  <si>
    <t>Priloga C - Seznam posebnih storitev k Pripomočku za pripravo ponudbe po ST ZAPS. Seznam ni avtomatiziram in se izpolni ročno. Seznam se priloži le kadar so v ponudbo vključene tudi posebne storitve.</t>
  </si>
  <si>
    <r>
      <t xml:space="preserve">delovnih dni po pisni potrditvi predane IDZ </t>
    </r>
    <r>
      <rPr>
        <sz val="8"/>
        <color rgb="FF00B0F0"/>
        <rFont val="Inter"/>
        <family val="2"/>
      </rPr>
      <t>(opcija: IDP)</t>
    </r>
    <r>
      <rPr>
        <sz val="8"/>
        <rFont val="Inter"/>
        <family val="2"/>
      </rPr>
      <t xml:space="preserve"> s strani naročnika, pridobitvi vseh potrebnih projektnih pogojev, dokumentov in dokazil s strani naročnika (npr. vezano na postopke evidentiranosti, lastništva, davke in prispevke ipd.)</t>
    </r>
  </si>
  <si>
    <r>
      <t>Projektantski</t>
    </r>
    <r>
      <rPr>
        <sz val="8"/>
        <color rgb="FF00B0F0"/>
        <rFont val="Inter"/>
        <family val="2"/>
      </rPr>
      <t xml:space="preserve"> </t>
    </r>
    <r>
      <rPr>
        <sz val="8"/>
        <rFont val="Inter"/>
        <family val="2"/>
      </rPr>
      <t>nadzor se v dogovorjenem obsegu izvaja ves čas gradnje, skladno s potekom gradbenih del, do podpisa izvajalca in nadzornika da so dela končana.</t>
    </r>
  </si>
  <si>
    <r>
      <t xml:space="preserve">Gradbeni nadzor se v dogovorjenem obsegu izvaja ves čas gradnje, skladno s potekom gradbenih del, do podpisa izvajalca in nadzornika da so dela končana. 
Gradbeni nadzor se bo izvajal v skupnem maksimalnem obsegu </t>
    </r>
    <r>
      <rPr>
        <sz val="8"/>
        <color rgb="FF00B0F0"/>
        <rFont val="Inter"/>
        <family val="2"/>
      </rPr>
      <t>x ur</t>
    </r>
    <r>
      <rPr>
        <sz val="8"/>
        <rFont val="Inter"/>
        <family val="2"/>
      </rPr>
      <t xml:space="preserve"> na teden, skupnem maksimalnem trajanju </t>
    </r>
    <r>
      <rPr>
        <sz val="8"/>
        <color rgb="FF00B0F0"/>
        <rFont val="Inter"/>
        <family val="2"/>
      </rPr>
      <t>x tednov</t>
    </r>
    <r>
      <rPr>
        <sz val="8"/>
        <rFont val="Inter"/>
        <family val="2"/>
      </rPr>
      <t xml:space="preserve"> oziroma v skupnem maksimalnem številu </t>
    </r>
    <r>
      <rPr>
        <sz val="8"/>
        <color rgb="FF00B0F0"/>
        <rFont val="Inter"/>
        <family val="2"/>
      </rPr>
      <t>x ur</t>
    </r>
    <r>
      <rPr>
        <sz val="8"/>
        <rFont val="Inter"/>
        <family val="2"/>
      </rPr>
      <t>.</t>
    </r>
  </si>
  <si>
    <r>
      <t>Gradbeni nadzor v času poskusnega obratovanja se v dogovorjenem obsegu izvaja ves čas poskusnega obratovanja. 
Projektantski</t>
    </r>
    <r>
      <rPr>
        <sz val="8"/>
        <color rgb="FF00B0F0"/>
        <rFont val="Inter"/>
        <family val="2"/>
      </rPr>
      <t xml:space="preserve"> </t>
    </r>
    <r>
      <rPr>
        <sz val="8"/>
        <rFont val="Inter"/>
        <family val="2"/>
      </rPr>
      <t xml:space="preserve">nadzor se bo izvajal v skupnem maksimalnem obsegu </t>
    </r>
    <r>
      <rPr>
        <sz val="8"/>
        <color rgb="FF00B0F0"/>
        <rFont val="Inter"/>
        <family val="2"/>
      </rPr>
      <t>x ur</t>
    </r>
    <r>
      <rPr>
        <sz val="8"/>
        <rFont val="Inter"/>
        <family val="2"/>
      </rPr>
      <t xml:space="preserve"> na teden, skupnem maksimalnem trajanju </t>
    </r>
    <r>
      <rPr>
        <sz val="8"/>
        <color rgb="FF00B0F0"/>
        <rFont val="Inter"/>
        <family val="2"/>
      </rPr>
      <t>x</t>
    </r>
    <r>
      <rPr>
        <sz val="8"/>
        <rFont val="Inter"/>
        <family val="2"/>
      </rPr>
      <t xml:space="preserve"> </t>
    </r>
    <r>
      <rPr>
        <sz val="8"/>
        <color rgb="FF00B0F0"/>
        <rFont val="Inter"/>
        <family val="2"/>
      </rPr>
      <t>tednov</t>
    </r>
    <r>
      <rPr>
        <sz val="8"/>
        <rFont val="Inter"/>
        <family val="2"/>
      </rPr>
      <t xml:space="preserve"> oziroma v skupnem maksimalnem številu </t>
    </r>
    <r>
      <rPr>
        <sz val="8"/>
        <color rgb="FF00B0F0"/>
        <rFont val="Inter"/>
        <family val="2"/>
      </rPr>
      <t>x</t>
    </r>
    <r>
      <rPr>
        <sz val="8"/>
        <rFont val="Inter"/>
        <family val="2"/>
      </rPr>
      <t xml:space="preserve"> </t>
    </r>
    <r>
      <rPr>
        <sz val="8"/>
        <color rgb="FF00B0F0"/>
        <rFont val="Inter"/>
        <family val="2"/>
      </rPr>
      <t>ur</t>
    </r>
    <r>
      <rPr>
        <sz val="8"/>
        <rFont val="Inter"/>
        <family val="2"/>
      </rPr>
      <t>.</t>
    </r>
  </si>
  <si>
    <r>
      <t xml:space="preserve">Gradbeni nadzor v času predaje objekta se v dogovorjenem obsegu izvaja ves čas predaje objekta, do pridobitve uporabnega dovoljenja oz. primopredaje naročniku. 
Projektantski nadzor se bo izvajal v skupnem maksimalnem obsegu </t>
    </r>
    <r>
      <rPr>
        <sz val="8"/>
        <color rgb="FF00B0F0"/>
        <rFont val="Inter"/>
        <family val="2"/>
      </rPr>
      <t>x ur</t>
    </r>
    <r>
      <rPr>
        <sz val="8"/>
        <rFont val="Inter"/>
        <family val="2"/>
      </rPr>
      <t xml:space="preserve"> na teden, skupnem maksimalnem trajanju </t>
    </r>
    <r>
      <rPr>
        <sz val="8"/>
        <color rgb="FF00B0F0"/>
        <rFont val="Inter"/>
        <family val="2"/>
      </rPr>
      <t>x</t>
    </r>
    <r>
      <rPr>
        <sz val="8"/>
        <rFont val="Inter"/>
        <family val="2"/>
      </rPr>
      <t xml:space="preserve"> </t>
    </r>
    <r>
      <rPr>
        <sz val="8"/>
        <color rgb="FF00B0F0"/>
        <rFont val="Inter"/>
        <family val="2"/>
      </rPr>
      <t>tednov</t>
    </r>
    <r>
      <rPr>
        <sz val="8"/>
        <rFont val="Inter"/>
        <family val="2"/>
      </rPr>
      <t xml:space="preserve"> oziroma v skupnem maksimalnem številu </t>
    </r>
    <r>
      <rPr>
        <sz val="8"/>
        <color rgb="FF00B0F0"/>
        <rFont val="Inter"/>
        <family val="2"/>
      </rPr>
      <t>x</t>
    </r>
    <r>
      <rPr>
        <sz val="8"/>
        <rFont val="Inter"/>
        <family val="2"/>
      </rPr>
      <t xml:space="preserve"> </t>
    </r>
    <r>
      <rPr>
        <sz val="8"/>
        <color rgb="FF00B0F0"/>
        <rFont val="Inter"/>
        <family val="2"/>
      </rPr>
      <t>ur</t>
    </r>
    <r>
      <rPr>
        <sz val="8"/>
        <rFont val="Inter"/>
        <family val="2"/>
      </rPr>
      <t>.</t>
    </r>
  </si>
  <si>
    <t>IZVAJANJE GRADNJE (GRADBENI NADZOR)</t>
  </si>
  <si>
    <t>PROJEKT ZA RAZPIS (PZR)</t>
  </si>
  <si>
    <t>PREDAJA OBJEKTA (GRADBENI NADZOR)</t>
  </si>
  <si>
    <t>ARHITEKTURA / KRAJINSKA ARHITEKTURA - ODPRTI PROSTOR</t>
  </si>
  <si>
    <t>PRIBITEK ZA VKLJUČEVANJE DRUGIH IZVAJALCEV V POGODBO</t>
  </si>
  <si>
    <t>upošteva se v vseh fazah, samo za storitve projektiranja</t>
  </si>
  <si>
    <t>upošteva se v vseh fazah, samo za storitve vodenja in koordinacije</t>
  </si>
  <si>
    <t>% projekta VK + ARH</t>
  </si>
  <si>
    <t>% s pribitki 
VK + ARH</t>
  </si>
  <si>
    <t>ŠTEVILO NU VK + ARH</t>
  </si>
  <si>
    <t>VREDNOST V EUR VK + ARH</t>
  </si>
  <si>
    <t>% stroškov strojnih inštalacij</t>
  </si>
  <si>
    <t>PORAZDELITEV UR ZA NAČRTE TEHNOLOGIJE</t>
  </si>
  <si>
    <t>PRIPRAVA DOKUMENTACIJE ZA DOVOLJEVANJE</t>
  </si>
  <si>
    <t>Poraba časa - notranja oprema</t>
  </si>
  <si>
    <t>IZRAČUN ŠTEVILA NU ZA NAČRTOVANJE STAVB</t>
  </si>
  <si>
    <t>IZRAČUN ŠTEVILA NU ZA NAČRTOVANJE NOTRANJE OPREME</t>
  </si>
  <si>
    <t>PORAZDELITEV NU ZA NAČRTOVANJE NOTRANJE OPREME</t>
  </si>
  <si>
    <t>PORAZDELITEV NU ZA NAČRTE GRADBENIH KONSTRUKCIJ</t>
  </si>
  <si>
    <t>GRADBENA FIZIKA</t>
  </si>
  <si>
    <t>POPIS DEL</t>
  </si>
  <si>
    <t>OPOMBE:</t>
  </si>
  <si>
    <t>SKUPAJ NU ZA PODROČJE</t>
  </si>
  <si>
    <t>% vrednosti vseh stroškov gradnje</t>
  </si>
  <si>
    <t>% vrednosti stroškov gradnje za stavbo</t>
  </si>
  <si>
    <t>Posebne storitve so navedene v sivi barvi, informativni izračuni pa v poševni pisavi. Ob skrajnem levem robu so oznake +- za odpiranje in zapiranje vrstic.</t>
  </si>
  <si>
    <t>Za več informacij glej tudi:</t>
  </si>
  <si>
    <t>POSKUSNO OBRATOVANJE (GRADBENI NADZOR)</t>
  </si>
  <si>
    <t>če je opcija izbrana, se v fazi 2.4 GK upošteva odbitek 30 %</t>
  </si>
  <si>
    <t>če je opcija izbrana, se v fazi 2.4 EI, SI, TH upošteva odbitek 4 %</t>
  </si>
  <si>
    <t>julij 2023</t>
  </si>
  <si>
    <t>V 6.12</t>
  </si>
  <si>
    <t>POPRAVKI</t>
  </si>
  <si>
    <t>6.12</t>
  </si>
  <si>
    <t>Odklenjeno polje za vnos vrednosti NU na zavihku Arhigram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</si>
</sst>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0.00\ &quot;€&quot;"/>
    <numFmt numFmtId="166" formatCode="0_ ;[Red]\-0\ "/>
    <numFmt numFmtId="167" formatCode="#,##0_ ;\-#,##0\ "/>
    <numFmt numFmtId="168" formatCode="0.0%"/>
    <numFmt numFmtId="169" formatCode="0\ &quot;NU&quot;"/>
    <numFmt numFmtId="170" formatCode="#,##0\ [$EUR];\-#,##0\ [$EUR]"/>
    <numFmt numFmtId="171" formatCode="#,##0\ &quot;NU&quot;"/>
    <numFmt numFmtId="172" formatCode="#,##0.0"/>
    <numFmt numFmtId="173" formatCode="0.0000"/>
    <numFmt numFmtId="174" formatCode="#,##0.0000_ ;\-#,##0.0000\ "/>
    <numFmt numFmtId="175" formatCode="#,##0.0000"/>
    <numFmt numFmtId="176" formatCode="0.0"/>
    <numFmt numFmtId="177" formatCode="d\.\ m\.\ yyyy;@"/>
    <numFmt numFmtId="178" formatCode="_-* #,##0\ _€_-;\-* #,##0\ _€_-;_-* &quot;-&quot;??\ _€_-;_-@_-"/>
  </numFmts>
  <fonts count="204" x14ac:knownFonts="1">
    <font>
      <sz val="10"/>
      <name val="Arial"/>
      <charset val="238"/>
    </font>
    <font>
      <sz val="11"/>
      <color theme="1"/>
      <name val="Inter"/>
      <family val="2"/>
      <charset val="238"/>
      <scheme val="minor"/>
    </font>
    <font>
      <sz val="11"/>
      <color theme="1"/>
      <name val="Inter"/>
      <family val="2"/>
      <charset val="238"/>
      <scheme val="minor"/>
    </font>
    <font>
      <sz val="11"/>
      <color theme="1"/>
      <name val="Inter"/>
      <family val="2"/>
      <charset val="238"/>
      <scheme val="minor"/>
    </font>
    <font>
      <sz val="11"/>
      <color theme="1"/>
      <name val="Inter"/>
      <family val="2"/>
      <charset val="238"/>
      <scheme val="minor"/>
    </font>
    <font>
      <sz val="11"/>
      <color theme="1"/>
      <name val="Inter"/>
      <family val="2"/>
      <charset val="238"/>
      <scheme val="minor"/>
    </font>
    <font>
      <sz val="10"/>
      <name val="Arial"/>
      <family val="2"/>
      <charset val="238"/>
    </font>
    <font>
      <sz val="10"/>
      <name val="Arial"/>
      <family val="2"/>
      <charset val="238"/>
    </font>
    <font>
      <sz val="11"/>
      <color theme="1"/>
      <name val="Calibri"/>
      <family val="2"/>
      <charset val="238"/>
    </font>
    <font>
      <sz val="11"/>
      <name val="Bahnschrift Light SemiCondensed"/>
      <family val="2"/>
      <charset val="238"/>
    </font>
    <font>
      <sz val="14"/>
      <name val="Bahnschrift SemiBold SemiConden"/>
      <family val="2"/>
      <charset val="238"/>
    </font>
    <font>
      <sz val="12"/>
      <color rgb="FF000000"/>
      <name val="Bahnschrift SemiBold SemiConden"/>
      <family val="2"/>
      <charset val="238"/>
    </font>
    <font>
      <sz val="10"/>
      <color theme="1"/>
      <name val="Bahnschrift SemiLight SemiConde"/>
      <family val="2"/>
      <charset val="238"/>
    </font>
    <font>
      <sz val="10"/>
      <name val="Barlow Semi Condensed SemiBold"/>
      <family val="3"/>
    </font>
    <font>
      <sz val="10"/>
      <name val="Barlow Semi Condensed"/>
      <family val="3"/>
    </font>
    <font>
      <sz val="10"/>
      <color rgb="FF000000"/>
      <name val="Barlow Semi Condensed"/>
      <family val="3"/>
    </font>
    <font>
      <b/>
      <sz val="10"/>
      <color rgb="FF000000"/>
      <name val="Inter"/>
      <family val="2"/>
    </font>
    <font>
      <sz val="10"/>
      <color rgb="FF000000"/>
      <name val="Inter"/>
      <family val="2"/>
    </font>
    <font>
      <sz val="10"/>
      <name val="Inter Light"/>
      <family val="2"/>
      <charset val="238"/>
    </font>
    <font>
      <sz val="14"/>
      <name val="Inter Light"/>
      <family val="2"/>
      <charset val="238"/>
    </font>
    <font>
      <sz val="12"/>
      <name val="Inter Light"/>
      <family val="2"/>
      <charset val="238"/>
    </font>
    <font>
      <b/>
      <sz val="10"/>
      <name val="Inter Light"/>
      <family val="2"/>
      <charset val="238"/>
    </font>
    <font>
      <sz val="12"/>
      <color theme="1" tint="0.499984740745262"/>
      <name val="Inter Light"/>
      <family val="2"/>
      <charset val="238"/>
    </font>
    <font>
      <b/>
      <sz val="12"/>
      <name val="Inter Light"/>
      <family val="2"/>
      <charset val="238"/>
    </font>
    <font>
      <sz val="12"/>
      <color rgb="FF808080"/>
      <name val="Inter Light"/>
      <family val="2"/>
      <charset val="238"/>
    </font>
    <font>
      <sz val="10"/>
      <name val="Inter"/>
      <family val="2"/>
    </font>
    <font>
      <b/>
      <sz val="12"/>
      <name val="Inter"/>
      <family val="2"/>
      <charset val="238"/>
    </font>
    <font>
      <b/>
      <sz val="12"/>
      <color rgb="FF00B0F0"/>
      <name val="Inter"/>
      <family val="2"/>
      <charset val="238"/>
    </font>
    <font>
      <sz val="12"/>
      <name val="Inter"/>
      <family val="2"/>
      <charset val="238"/>
    </font>
    <font>
      <sz val="12"/>
      <name val="Inter Black"/>
      <family val="2"/>
      <charset val="238"/>
    </font>
    <font>
      <sz val="10"/>
      <color rgb="FF808080"/>
      <name val="Inter Light"/>
      <family val="2"/>
      <charset val="238"/>
    </font>
    <font>
      <sz val="12"/>
      <color rgb="FF00B0F0"/>
      <name val="Inter Black"/>
      <family val="2"/>
      <charset val="238"/>
    </font>
    <font>
      <sz val="12"/>
      <color rgb="FF00B0F0"/>
      <name val="Inter ExtraBold"/>
      <family val="2"/>
      <charset val="238"/>
    </font>
    <font>
      <sz val="14"/>
      <color rgb="FF00B0F0"/>
      <name val="Inter Black"/>
      <family val="2"/>
      <charset val="238"/>
    </font>
    <font>
      <sz val="14"/>
      <color rgb="FF00B0F0"/>
      <name val="Inter Light"/>
      <family val="2"/>
      <charset val="238"/>
    </font>
    <font>
      <sz val="10"/>
      <name val="Inter"/>
      <family val="2"/>
      <charset val="238"/>
    </font>
    <font>
      <sz val="10"/>
      <color rgb="FF000000"/>
      <name val="Inter Light"/>
      <family val="2"/>
      <charset val="238"/>
    </font>
    <font>
      <sz val="10"/>
      <color theme="1"/>
      <name val="Inter Light"/>
      <family val="2"/>
      <charset val="238"/>
    </font>
    <font>
      <sz val="12"/>
      <color rgb="FF000000"/>
      <name val="Inter Light"/>
      <family val="2"/>
      <charset val="238"/>
    </font>
    <font>
      <sz val="12"/>
      <color theme="1"/>
      <name val="Inter Light"/>
      <family val="2"/>
      <charset val="238"/>
    </font>
    <font>
      <sz val="11"/>
      <color rgb="FF231F20"/>
      <name val="Barlow Semi Condensed"/>
      <family val="3"/>
    </font>
    <font>
      <b/>
      <sz val="10"/>
      <name val="Inter"/>
      <family val="2"/>
      <charset val="238"/>
    </font>
    <font>
      <sz val="10"/>
      <color theme="0"/>
      <name val="Inter Light"/>
      <family val="2"/>
      <charset val="238"/>
    </font>
    <font>
      <b/>
      <sz val="10"/>
      <color theme="1"/>
      <name val="Inter"/>
      <family val="2"/>
      <charset val="238"/>
    </font>
    <font>
      <sz val="10"/>
      <color rgb="FF222222"/>
      <name val="Inter Light"/>
      <family val="2"/>
      <charset val="238"/>
    </font>
    <font>
      <b/>
      <sz val="10"/>
      <color theme="1"/>
      <name val="Inter Light"/>
      <family val="2"/>
      <charset val="238"/>
    </font>
    <font>
      <sz val="10"/>
      <color theme="1"/>
      <name val="Inter"/>
      <family val="2"/>
      <charset val="238"/>
      <scheme val="minor"/>
    </font>
    <font>
      <b/>
      <sz val="12"/>
      <color theme="1"/>
      <name val="Inter Light"/>
      <family val="2"/>
      <charset val="238"/>
    </font>
    <font>
      <i/>
      <sz val="10"/>
      <color rgb="FFFF0000"/>
      <name val="Inter"/>
      <family val="2"/>
      <charset val="238"/>
    </font>
    <font>
      <sz val="10"/>
      <color theme="1"/>
      <name val="Inter"/>
      <family val="2"/>
      <charset val="238"/>
    </font>
    <font>
      <i/>
      <sz val="10"/>
      <name val="Inter"/>
      <family val="2"/>
      <charset val="238"/>
    </font>
    <font>
      <i/>
      <sz val="10"/>
      <name val="Inter Light"/>
      <family val="2"/>
      <charset val="238"/>
    </font>
    <font>
      <b/>
      <sz val="12"/>
      <color theme="1"/>
      <name val="Inter"/>
      <family val="2"/>
      <charset val="238"/>
    </font>
    <font>
      <b/>
      <sz val="10"/>
      <color rgb="FF00B0F0"/>
      <name val="Inter"/>
      <family val="2"/>
      <charset val="238"/>
    </font>
    <font>
      <b/>
      <sz val="12"/>
      <color rgb="FF000000"/>
      <name val="Inter"/>
      <family val="2"/>
      <charset val="238"/>
    </font>
    <font>
      <vertAlign val="superscript"/>
      <sz val="10"/>
      <name val="Inter Light"/>
      <family val="2"/>
      <charset val="238"/>
    </font>
    <font>
      <sz val="12"/>
      <color rgb="FF00B0F0"/>
      <name val="Inter Light"/>
      <family val="2"/>
      <charset val="238"/>
    </font>
    <font>
      <b/>
      <sz val="14"/>
      <name val="Inter"/>
      <family val="2"/>
      <charset val="238"/>
    </font>
    <font>
      <sz val="12"/>
      <name val="Barlow Semi Condensed"/>
      <family val="3"/>
    </font>
    <font>
      <sz val="10"/>
      <name val="Inter SemiBold"/>
      <family val="2"/>
      <charset val="238"/>
    </font>
    <font>
      <b/>
      <sz val="10"/>
      <name val="Inter"/>
      <family val="2"/>
    </font>
    <font>
      <sz val="10"/>
      <name val="Inter Light"/>
      <family val="2"/>
    </font>
    <font>
      <sz val="12"/>
      <color rgb="FF00B0F0"/>
      <name val="Inter"/>
      <family val="2"/>
      <charset val="238"/>
    </font>
    <font>
      <sz val="9"/>
      <color indexed="81"/>
      <name val="Tahoma"/>
      <family val="2"/>
    </font>
    <font>
      <sz val="10"/>
      <name val="Arial"/>
      <family val="2"/>
    </font>
    <font>
      <sz val="10"/>
      <color rgb="FF221F1F"/>
      <name val="Inter"/>
      <family val="2"/>
    </font>
    <font>
      <sz val="8"/>
      <name val="Arial"/>
      <family val="2"/>
    </font>
    <font>
      <sz val="11"/>
      <name val="Calibri"/>
      <family val="2"/>
    </font>
    <font>
      <sz val="7"/>
      <name val="Arial"/>
      <family val="2"/>
    </font>
    <font>
      <b/>
      <sz val="7"/>
      <name val="Arial"/>
      <family val="2"/>
    </font>
    <font>
      <i/>
      <sz val="7"/>
      <name val="Arial"/>
      <family val="2"/>
    </font>
    <font>
      <b/>
      <sz val="9"/>
      <color indexed="81"/>
      <name val="Tahoma"/>
      <family val="2"/>
    </font>
    <font>
      <vertAlign val="superscript"/>
      <sz val="10"/>
      <color rgb="FF000000"/>
      <name val="Inter"/>
      <family val="2"/>
    </font>
    <font>
      <sz val="10"/>
      <name val="Inter Medium"/>
      <family val="2"/>
    </font>
    <font>
      <sz val="8"/>
      <color rgb="FF000000"/>
      <name val="Segoe UI"/>
      <family val="2"/>
    </font>
    <font>
      <i/>
      <sz val="10"/>
      <name val="Inter Light"/>
      <family val="2"/>
    </font>
    <font>
      <sz val="10"/>
      <color rgb="FFFF0000"/>
      <name val="Inter"/>
      <family val="2"/>
    </font>
    <font>
      <b/>
      <sz val="12"/>
      <name val="Inter"/>
      <family val="2"/>
    </font>
    <font>
      <sz val="7.5"/>
      <color theme="1"/>
      <name val="Inter"/>
      <family val="2"/>
    </font>
    <font>
      <b/>
      <sz val="10"/>
      <color rgb="FF221F1F"/>
      <name val="Inter"/>
      <family val="2"/>
    </font>
    <font>
      <sz val="12"/>
      <color rgb="FF00B0F0"/>
      <name val="Inter Medium"/>
      <family val="2"/>
    </font>
    <font>
      <sz val="12"/>
      <name val="Inter Medium"/>
      <family val="2"/>
    </font>
    <font>
      <b/>
      <sz val="10"/>
      <color rgb="FF00B0F0"/>
      <name val="Inter Medium"/>
      <family val="2"/>
    </font>
    <font>
      <sz val="10"/>
      <color rgb="FF00B0F0"/>
      <name val="Inter"/>
      <family val="2"/>
    </font>
    <font>
      <sz val="10"/>
      <color theme="0"/>
      <name val="Inter"/>
      <family val="2"/>
    </font>
    <font>
      <sz val="10"/>
      <color theme="0"/>
      <name val="Inter Light"/>
      <family val="2"/>
    </font>
    <font>
      <sz val="8"/>
      <name val="Inter Light"/>
      <family val="2"/>
      <charset val="238"/>
    </font>
    <font>
      <sz val="9"/>
      <name val="Inter Light"/>
      <family val="2"/>
      <charset val="238"/>
    </font>
    <font>
      <b/>
      <sz val="9"/>
      <name val="Inter"/>
      <family val="2"/>
      <charset val="238"/>
    </font>
    <font>
      <sz val="9"/>
      <name val="Inter"/>
      <family val="2"/>
    </font>
    <font>
      <b/>
      <sz val="9"/>
      <name val="Inter"/>
      <family val="2"/>
    </font>
    <font>
      <sz val="9"/>
      <name val="Barlow Semi Condensed"/>
      <family val="3"/>
    </font>
    <font>
      <sz val="9"/>
      <name val="Inter"/>
      <family val="2"/>
      <charset val="238"/>
    </font>
    <font>
      <b/>
      <sz val="9"/>
      <name val="Inter Light"/>
      <family val="2"/>
      <charset val="238"/>
    </font>
    <font>
      <b/>
      <sz val="9"/>
      <color rgb="FF00B0F0"/>
      <name val="Inter"/>
      <family val="2"/>
      <charset val="238"/>
    </font>
    <font>
      <sz val="9"/>
      <color rgb="FF00B0F0"/>
      <name val="Inter"/>
      <family val="2"/>
      <charset val="238"/>
    </font>
    <font>
      <sz val="9"/>
      <color rgb="FF00B0F0"/>
      <name val="Inter Light"/>
      <family val="2"/>
      <charset val="238"/>
    </font>
    <font>
      <sz val="9"/>
      <color rgb="FF00B0F0"/>
      <name val="Inter Medium"/>
      <family val="2"/>
    </font>
    <font>
      <b/>
      <sz val="9"/>
      <color rgb="FF00B0F0"/>
      <name val="Inter"/>
      <family val="2"/>
    </font>
    <font>
      <sz val="9"/>
      <color rgb="FF00B0F0"/>
      <name val="Inter"/>
      <family val="2"/>
    </font>
    <font>
      <i/>
      <sz val="9"/>
      <name val="Inter"/>
      <family val="2"/>
    </font>
    <font>
      <i/>
      <sz val="10"/>
      <name val="Inter"/>
      <family val="2"/>
    </font>
    <font>
      <sz val="9"/>
      <name val="Inter SemiBold"/>
      <family val="2"/>
    </font>
    <font>
      <vertAlign val="superscript"/>
      <sz val="10"/>
      <name val="Inter"/>
      <family val="2"/>
    </font>
    <font>
      <sz val="8"/>
      <color rgb="FF000000"/>
      <name val="Inter Light"/>
      <family val="2"/>
      <charset val="238"/>
    </font>
    <font>
      <sz val="8"/>
      <name val="Inter"/>
      <family val="2"/>
      <charset val="238"/>
    </font>
    <font>
      <vertAlign val="superscript"/>
      <sz val="8"/>
      <name val="Inter Light"/>
      <family val="2"/>
      <charset val="238"/>
    </font>
    <font>
      <sz val="9"/>
      <color rgb="FF00B0F0"/>
      <name val="Inter SemiBold"/>
      <family val="2"/>
    </font>
    <font>
      <b/>
      <sz val="8"/>
      <name val="Inter Light"/>
      <family val="2"/>
      <charset val="238"/>
    </font>
    <font>
      <i/>
      <sz val="8"/>
      <name val="Inter Light"/>
      <family val="2"/>
      <charset val="238"/>
    </font>
    <font>
      <sz val="10"/>
      <color rgb="FF000000"/>
      <name val="Inter Light"/>
      <family val="2"/>
    </font>
    <font>
      <b/>
      <i/>
      <sz val="10"/>
      <color rgb="FF00B0F0"/>
      <name val="Inter"/>
      <family val="2"/>
      <charset val="238"/>
    </font>
    <font>
      <i/>
      <vertAlign val="superscript"/>
      <sz val="8"/>
      <name val="Inter Light"/>
      <family val="2"/>
      <charset val="238"/>
    </font>
    <font>
      <i/>
      <sz val="8"/>
      <name val="Inter"/>
      <family val="2"/>
      <charset val="238"/>
    </font>
    <font>
      <b/>
      <i/>
      <sz val="8"/>
      <name val="Inter Light"/>
      <family val="2"/>
      <charset val="238"/>
    </font>
    <font>
      <i/>
      <sz val="8"/>
      <name val="Inter Medium"/>
      <family val="2"/>
      <charset val="238"/>
    </font>
    <font>
      <sz val="12"/>
      <name val="Inter Light"/>
      <family val="2"/>
    </font>
    <font>
      <vertAlign val="superscript"/>
      <sz val="10"/>
      <name val="Inter Light"/>
      <family val="2"/>
    </font>
    <font>
      <i/>
      <sz val="8"/>
      <name val="Inter Light"/>
      <family val="2"/>
    </font>
    <font>
      <sz val="8"/>
      <name val="Inter Light"/>
      <family val="2"/>
    </font>
    <font>
      <i/>
      <vertAlign val="superscript"/>
      <sz val="8"/>
      <name val="Inter Light"/>
      <family val="2"/>
    </font>
    <font>
      <sz val="10"/>
      <color rgb="FF00B0F0"/>
      <name val="Inter Light"/>
      <family val="2"/>
      <charset val="238"/>
    </font>
    <font>
      <i/>
      <sz val="8"/>
      <color rgb="FF000000"/>
      <name val="Inter Light"/>
      <family val="2"/>
    </font>
    <font>
      <b/>
      <i/>
      <sz val="8"/>
      <name val="Inter Light"/>
      <family val="2"/>
    </font>
    <font>
      <i/>
      <sz val="8"/>
      <name val="Inter Medium"/>
      <family val="2"/>
    </font>
    <font>
      <sz val="10"/>
      <color theme="5"/>
      <name val="Inter"/>
      <family val="2"/>
    </font>
    <font>
      <sz val="8"/>
      <name val="Inter"/>
      <family val="2"/>
    </font>
    <font>
      <vertAlign val="superscript"/>
      <sz val="8"/>
      <name val="Inter"/>
      <family val="2"/>
    </font>
    <font>
      <sz val="10"/>
      <name val="Inter"/>
      <family val="2"/>
      <scheme val="minor"/>
    </font>
    <font>
      <i/>
      <sz val="9"/>
      <name val="Inter ExtraLight"/>
      <family val="2"/>
    </font>
    <font>
      <sz val="10"/>
      <color rgb="FFCCECFF"/>
      <name val="Inter"/>
      <family val="2"/>
    </font>
    <font>
      <i/>
      <sz val="10"/>
      <name val="Inter ExtraLight"/>
      <family val="2"/>
    </font>
    <font>
      <sz val="10"/>
      <color rgb="FFCCECFF"/>
      <name val="Inter ExtraLight"/>
      <family val="2"/>
    </font>
    <font>
      <sz val="9"/>
      <color theme="0"/>
      <name val="Inter SemiBold"/>
      <family val="2"/>
      <charset val="238"/>
    </font>
    <font>
      <sz val="9"/>
      <color theme="0"/>
      <name val="Inter"/>
      <family val="2"/>
      <charset val="238"/>
    </font>
    <font>
      <i/>
      <sz val="9"/>
      <color theme="0"/>
      <name val="Inter"/>
      <family val="2"/>
      <charset val="238"/>
    </font>
    <font>
      <b/>
      <sz val="11"/>
      <color theme="1"/>
      <name val="Inter"/>
      <family val="2"/>
      <charset val="238"/>
    </font>
    <font>
      <b/>
      <sz val="11"/>
      <name val="Inter"/>
      <family val="2"/>
      <charset val="238"/>
    </font>
    <font>
      <b/>
      <sz val="11"/>
      <color theme="0"/>
      <name val="Inter"/>
      <family val="2"/>
      <charset val="238"/>
    </font>
    <font>
      <b/>
      <sz val="11"/>
      <color rgb="FF00B0F0"/>
      <name val="Inter"/>
      <family val="2"/>
      <charset val="238"/>
    </font>
    <font>
      <sz val="11"/>
      <name val="Barlow Semi Condensed"/>
      <family val="3"/>
      <charset val="238"/>
    </font>
    <font>
      <sz val="9"/>
      <name val="Inter ExtraLight"/>
      <family val="2"/>
    </font>
    <font>
      <sz val="9"/>
      <name val="Inter Light"/>
      <family val="2"/>
    </font>
    <font>
      <sz val="10"/>
      <color rgb="FFCCECFF"/>
      <name val="Inter"/>
      <family val="2"/>
      <charset val="238"/>
    </font>
    <font>
      <i/>
      <sz val="10"/>
      <color rgb="FFCCECFF"/>
      <name val="Inter Light"/>
      <family val="2"/>
      <charset val="238"/>
    </font>
    <font>
      <sz val="10"/>
      <color rgb="FFCCECFF"/>
      <name val="Inter Light"/>
      <family val="2"/>
      <charset val="238"/>
    </font>
    <font>
      <b/>
      <sz val="20"/>
      <color rgb="FF00B0F0"/>
      <name val="Vectrex"/>
    </font>
    <font>
      <sz val="9"/>
      <color rgb="FFCCECFF"/>
      <name val="Inter SemiBold"/>
      <family val="2"/>
      <charset val="238"/>
    </font>
    <font>
      <sz val="9"/>
      <color rgb="FFCCECFF"/>
      <name val="Inter"/>
      <family val="2"/>
      <charset val="238"/>
    </font>
    <font>
      <sz val="10"/>
      <name val="Inter ExtraLight"/>
      <family val="2"/>
    </font>
    <font>
      <sz val="20"/>
      <color rgb="FF00B0F0"/>
      <name val="Vectrex"/>
    </font>
    <font>
      <sz val="10"/>
      <name val="Barlow Semi Condensed"/>
    </font>
    <font>
      <sz val="10"/>
      <color rgb="FF00B0F0"/>
      <name val="Inter Light"/>
      <family val="2"/>
    </font>
    <font>
      <b/>
      <sz val="8"/>
      <name val="Inter Light"/>
      <family val="2"/>
    </font>
    <font>
      <vertAlign val="superscript"/>
      <sz val="8"/>
      <name val="Inter Light"/>
      <family val="2"/>
    </font>
    <font>
      <sz val="10"/>
      <name val="Inter SemiBold"/>
      <family val="2"/>
    </font>
    <font>
      <vertAlign val="superscript"/>
      <sz val="10"/>
      <name val="Inter SemiBold"/>
      <family val="2"/>
    </font>
    <font>
      <u/>
      <sz val="10"/>
      <color theme="10"/>
      <name val="Arial"/>
      <family val="2"/>
    </font>
    <font>
      <b/>
      <sz val="10"/>
      <color rgb="FF00B0F0"/>
      <name val="Inter"/>
      <family val="2"/>
      <scheme val="minor"/>
    </font>
    <font>
      <b/>
      <sz val="8"/>
      <color theme="1"/>
      <name val="Inter"/>
      <family val="2"/>
      <charset val="238"/>
    </font>
    <font>
      <sz val="8"/>
      <name val="Inter Black"/>
      <family val="2"/>
      <charset val="238"/>
    </font>
    <font>
      <sz val="8"/>
      <name val="Inter SemiBold"/>
      <family val="2"/>
      <charset val="238"/>
    </font>
    <font>
      <sz val="8"/>
      <color theme="1"/>
      <name val="Inter Black"/>
      <family val="2"/>
      <charset val="238"/>
    </font>
    <font>
      <sz val="8"/>
      <name val="Barlow Semi Condensed"/>
      <family val="3"/>
      <charset val="238"/>
    </font>
    <font>
      <sz val="8"/>
      <color rgb="FF00B0F0"/>
      <name val="Inter"/>
      <family val="2"/>
    </font>
    <font>
      <sz val="8"/>
      <color theme="0" tint="-0.499984740745262"/>
      <name val="Inter"/>
      <family val="2"/>
      <charset val="238"/>
    </font>
    <font>
      <b/>
      <sz val="8"/>
      <name val="Inter"/>
      <family val="2"/>
      <charset val="238"/>
    </font>
    <font>
      <sz val="8"/>
      <name val="Barlow Semi Condensed"/>
    </font>
    <font>
      <sz val="8"/>
      <color rgb="FF00B0F0"/>
      <name val="Vectrex"/>
    </font>
    <font>
      <sz val="10"/>
      <color theme="0" tint="-0.499984740745262"/>
      <name val="Inter Light"/>
      <family val="2"/>
      <charset val="238"/>
    </font>
    <font>
      <sz val="10"/>
      <color theme="0" tint="-0.499984740745262"/>
      <name val="Barlow Semi Condensed"/>
      <family val="3"/>
    </font>
    <font>
      <sz val="10"/>
      <color theme="0" tint="-0.499984740745262"/>
      <name val="Inter Light"/>
      <family val="2"/>
    </font>
    <font>
      <sz val="9"/>
      <color rgb="FF00B0F0"/>
      <name val="Inter Light"/>
      <family val="2"/>
    </font>
    <font>
      <sz val="9"/>
      <name val="Inter Thin"/>
      <family val="2"/>
    </font>
    <font>
      <sz val="10"/>
      <name val="Inter Thin"/>
      <family val="2"/>
    </font>
    <font>
      <i/>
      <sz val="9"/>
      <name val="Inter Thin"/>
      <family val="2"/>
    </font>
    <font>
      <i/>
      <sz val="10"/>
      <name val="Inter Thin"/>
      <family val="2"/>
    </font>
    <font>
      <sz val="10"/>
      <color theme="8" tint="0.39997558519241921"/>
      <name val="Inter Light"/>
      <family val="2"/>
      <charset val="238"/>
    </font>
    <font>
      <sz val="10"/>
      <color theme="8" tint="0.39997558519241921"/>
      <name val="Inter Light"/>
      <family val="2"/>
    </font>
    <font>
      <sz val="10"/>
      <name val="Barlow Semi Condensed"/>
      <family val="3"/>
      <charset val="238"/>
    </font>
    <font>
      <sz val="10"/>
      <color theme="0" tint="-0.499984740745262"/>
      <name val="Barlow Semi Condensed"/>
      <family val="3"/>
      <charset val="238"/>
    </font>
    <font>
      <i/>
      <sz val="10"/>
      <color theme="0" tint="-0.499984740745262"/>
      <name val="Barlow Semi Condensed"/>
      <family val="3"/>
      <charset val="238"/>
    </font>
    <font>
      <sz val="9"/>
      <name val="Inter Medium"/>
      <family val="2"/>
      <charset val="238"/>
    </font>
    <font>
      <i/>
      <sz val="9"/>
      <name val="Inter Light"/>
      <family val="2"/>
    </font>
    <font>
      <i/>
      <sz val="9"/>
      <color theme="0"/>
      <name val="Inter Light"/>
      <family val="2"/>
    </font>
    <font>
      <i/>
      <sz val="9"/>
      <color rgb="FF00B0F0"/>
      <name val="Inter Light"/>
      <family val="2"/>
    </font>
    <font>
      <sz val="9"/>
      <color rgb="FFCCECFF"/>
      <name val="Inter Light"/>
      <family val="2"/>
    </font>
    <font>
      <sz val="9"/>
      <color theme="0" tint="-0.499984740745262"/>
      <name val="Inter Light"/>
      <family val="2"/>
    </font>
    <font>
      <sz val="9"/>
      <color rgb="FF5BD4FF"/>
      <name val="Inter Light"/>
      <family val="2"/>
    </font>
    <font>
      <sz val="9"/>
      <color theme="1" tint="0.499984740745262"/>
      <name val="Inter Light"/>
      <family val="2"/>
      <charset val="238"/>
    </font>
    <font>
      <sz val="9"/>
      <color theme="1" tint="0.499984740745262"/>
      <name val="Inter ExtraLight"/>
      <family val="2"/>
      <charset val="238"/>
    </font>
    <font>
      <i/>
      <sz val="9"/>
      <color theme="1" tint="0.499984740745262"/>
      <name val="Inter ExtraLight"/>
      <family val="2"/>
      <charset val="238"/>
    </font>
    <font>
      <sz val="9"/>
      <color theme="1" tint="0.499984740745262"/>
      <name val="Inter"/>
      <family val="2"/>
      <charset val="238"/>
    </font>
    <font>
      <sz val="9"/>
      <color theme="1" tint="0.499984740745262"/>
      <name val="Inter Light"/>
      <family val="2"/>
    </font>
    <font>
      <sz val="9"/>
      <color rgb="FF5BD4FF"/>
      <name val="Inter"/>
      <family val="2"/>
      <charset val="238"/>
    </font>
    <font>
      <i/>
      <sz val="9"/>
      <color rgb="FF5BD4FF"/>
      <name val="Inter ExtraLight"/>
      <family val="2"/>
      <charset val="238"/>
    </font>
    <font>
      <sz val="9"/>
      <color rgb="FF5BD4FF"/>
      <name val="Inter Light"/>
      <family val="2"/>
      <charset val="238"/>
    </font>
    <font>
      <sz val="9"/>
      <color theme="0"/>
      <name val="Inter Light"/>
      <family val="2"/>
    </font>
    <font>
      <sz val="9"/>
      <color theme="0"/>
      <name val="Inter ExtraLight"/>
      <family val="2"/>
    </font>
    <font>
      <i/>
      <sz val="9"/>
      <color theme="0"/>
      <name val="Inter ExtraLight"/>
      <family val="2"/>
    </font>
    <font>
      <sz val="9"/>
      <color rgb="FF5BD4FF"/>
      <name val="Inter ExtraLight"/>
      <family val="2"/>
    </font>
    <font>
      <i/>
      <sz val="9"/>
      <color rgb="FF5BD4FF"/>
      <name val="Inter ExtraLight"/>
      <family val="2"/>
    </font>
    <font>
      <i/>
      <sz val="9"/>
      <color rgb="FF00B0F0"/>
      <name val="Inter"/>
      <family val="2"/>
    </font>
    <font>
      <i/>
      <sz val="10"/>
      <color rgb="FFCCECFF"/>
      <name val="Inter Light"/>
      <family val="2"/>
    </font>
  </fonts>
  <fills count="14">
    <fill>
      <patternFill patternType="none"/>
    </fill>
    <fill>
      <patternFill patternType="gray125"/>
    </fill>
    <fill>
      <patternFill patternType="solid">
        <fgColor theme="9" tint="-0.249977111117893"/>
        <bgColor indexed="64"/>
      </patternFill>
    </fill>
    <fill>
      <patternFill patternType="solid">
        <fgColor theme="9"/>
        <bgColor indexed="64"/>
      </patternFill>
    </fill>
    <fill>
      <patternFill patternType="solid">
        <fgColor rgb="FFCC0099"/>
        <bgColor indexed="64"/>
      </patternFill>
    </fill>
    <fill>
      <patternFill patternType="solid">
        <fgColor rgb="FFFFC000"/>
        <bgColor indexed="64"/>
      </patternFill>
    </fill>
    <fill>
      <patternFill patternType="solid">
        <fgColor rgb="FFC00000"/>
        <bgColor indexed="64"/>
      </patternFill>
    </fill>
    <fill>
      <patternFill patternType="solid">
        <fgColor rgb="FF0070C0"/>
        <bgColor indexed="64"/>
      </patternFill>
    </fill>
    <fill>
      <patternFill patternType="solid">
        <fgColor rgb="FF009999"/>
        <bgColor indexed="64"/>
      </patternFill>
    </fill>
    <fill>
      <patternFill patternType="solid">
        <fgColor rgb="FF00CC00"/>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CCECFF"/>
        <bgColor indexed="64"/>
      </patternFill>
    </fill>
  </fills>
  <borders count="31">
    <border>
      <left/>
      <right/>
      <top/>
      <bottom/>
      <diagonal/>
    </border>
    <border>
      <left/>
      <right/>
      <top/>
      <bottom style="thin">
        <color indexed="64"/>
      </bottom>
      <diagonal/>
    </border>
    <border>
      <left/>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hair">
        <color indexed="64"/>
      </top>
      <bottom/>
      <diagonal/>
    </border>
    <border>
      <left/>
      <right/>
      <top/>
      <bottom style="medium">
        <color indexed="64"/>
      </bottom>
      <diagonal/>
    </border>
    <border>
      <left/>
      <right/>
      <top style="thin">
        <color indexed="64"/>
      </top>
      <bottom style="dashed">
        <color indexed="64"/>
      </bottom>
      <diagonal/>
    </border>
    <border>
      <left/>
      <right/>
      <top style="hair">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top style="thin">
        <color indexed="64"/>
      </top>
      <bottom style="medium">
        <color indexed="64"/>
      </bottom>
      <diagonal/>
    </border>
    <border>
      <left/>
      <right/>
      <top style="medium">
        <color indexed="64"/>
      </top>
      <bottom style="medium">
        <color indexed="64"/>
      </bottom>
      <diagonal/>
    </border>
    <border>
      <left/>
      <right/>
      <top style="dashed">
        <color indexed="64"/>
      </top>
      <bottom style="hair">
        <color indexed="64"/>
      </bottom>
      <diagonal/>
    </border>
    <border>
      <left/>
      <right/>
      <top/>
      <bottom style="dashed">
        <color indexed="64"/>
      </bottom>
      <diagonal/>
    </border>
    <border>
      <left/>
      <right/>
      <top style="hair">
        <color rgb="FF221F1F"/>
      </top>
      <bottom style="hair">
        <color rgb="FF221F1F"/>
      </bottom>
      <diagonal/>
    </border>
    <border>
      <left/>
      <right/>
      <top/>
      <bottom style="hair">
        <color rgb="FF221F1F"/>
      </bottom>
      <diagonal/>
    </border>
    <border>
      <left/>
      <right/>
      <top style="thin">
        <color rgb="FF221F1F"/>
      </top>
      <bottom style="hair">
        <color rgb="FF221F1F"/>
      </bottom>
      <diagonal/>
    </border>
    <border>
      <left/>
      <right/>
      <top style="dashed">
        <color indexed="64"/>
      </top>
      <bottom/>
      <diagonal/>
    </border>
    <border>
      <left/>
      <right/>
      <top style="hair">
        <color rgb="FF221F1F"/>
      </top>
      <bottom style="hair">
        <color indexed="64"/>
      </bottom>
      <diagonal/>
    </border>
    <border>
      <left/>
      <right style="thick">
        <color theme="0"/>
      </right>
      <top style="thin">
        <color indexed="64"/>
      </top>
      <bottom style="hair">
        <color indexed="64"/>
      </bottom>
      <diagonal/>
    </border>
    <border>
      <left/>
      <right style="thick">
        <color theme="0"/>
      </right>
      <top style="hair">
        <color indexed="64"/>
      </top>
      <bottom style="hair">
        <color indexed="64"/>
      </bottom>
      <diagonal/>
    </border>
    <border>
      <left/>
      <right style="thick">
        <color theme="0"/>
      </right>
      <top style="hair">
        <color indexed="64"/>
      </top>
      <bottom style="thin">
        <color indexed="64"/>
      </bottom>
      <diagonal/>
    </border>
    <border>
      <left/>
      <right/>
      <top style="dotted">
        <color indexed="64"/>
      </top>
      <bottom style="dotted">
        <color indexed="64"/>
      </bottom>
      <diagonal/>
    </border>
    <border>
      <left/>
      <right/>
      <top/>
      <bottom style="dotted">
        <color indexed="64"/>
      </bottom>
      <diagonal/>
    </border>
    <border>
      <left/>
      <right/>
      <top style="dashed">
        <color indexed="64"/>
      </top>
      <bottom style="thin">
        <color indexed="64"/>
      </bottom>
      <diagonal/>
    </border>
    <border>
      <left/>
      <right/>
      <top style="hair">
        <color indexed="64"/>
      </top>
      <bottom style="medium">
        <color indexed="64"/>
      </bottom>
      <diagonal/>
    </border>
    <border>
      <left/>
      <right/>
      <top style="medium">
        <color auto="1"/>
      </top>
      <bottom/>
      <diagonal/>
    </border>
  </borders>
  <cellStyleXfs count="27">
    <xf numFmtId="0" fontId="0" fillId="0" borderId="0"/>
    <xf numFmtId="9" fontId="6" fillId="0" borderId="0" applyFont="0" applyFill="0" applyBorder="0" applyAlignment="0" applyProtection="0"/>
    <xf numFmtId="164" fontId="7" fillId="0" borderId="0" applyFont="0" applyFill="0" applyBorder="0" applyAlignment="0" applyProtection="0"/>
    <xf numFmtId="0" fontId="5" fillId="0" borderId="0"/>
    <xf numFmtId="0" fontId="5" fillId="0" borderId="0"/>
    <xf numFmtId="0" fontId="8" fillId="0" borderId="0"/>
    <xf numFmtId="164" fontId="6" fillId="0" borderId="0" applyFont="0" applyFill="0" applyBorder="0" applyAlignment="0" applyProtection="0"/>
    <xf numFmtId="0" fontId="146" fillId="0" borderId="0" applyNumberFormat="0" applyBorder="0" applyAlignment="0">
      <alignment wrapText="1"/>
    </xf>
    <xf numFmtId="0" fontId="11" fillId="0" borderId="0">
      <alignment wrapText="1"/>
    </xf>
    <xf numFmtId="49" fontId="15" fillId="0" borderId="0" applyNumberFormat="0" applyFill="0" applyBorder="0" applyAlignment="0">
      <alignment vertical="top" wrapText="1"/>
    </xf>
    <xf numFmtId="0" fontId="10" fillId="2" borderId="0" applyBorder="0"/>
    <xf numFmtId="0" fontId="6" fillId="0" borderId="0"/>
    <xf numFmtId="0" fontId="33" fillId="0" borderId="0" applyNumberFormat="0" applyBorder="0" applyAlignment="0">
      <alignment vertical="center"/>
    </xf>
    <xf numFmtId="0" fontId="4" fillId="0" borderId="0"/>
    <xf numFmtId="9" fontId="4" fillId="0" borderId="0" applyFont="0" applyFill="0" applyBorder="0" applyAlignment="0" applyProtection="0"/>
    <xf numFmtId="0" fontId="3" fillId="0" borderId="0"/>
    <xf numFmtId="164" fontId="3" fillId="0" borderId="0" applyFont="0" applyFill="0" applyBorder="0" applyAlignment="0" applyProtection="0"/>
    <xf numFmtId="167" fontId="35" fillId="0" borderId="4">
      <alignment vertical="center"/>
    </xf>
    <xf numFmtId="167" fontId="13" fillId="0" borderId="5" applyNumberFormat="0" applyFill="0" applyBorder="0" applyAlignment="0">
      <alignment horizontal="left" vertical="center"/>
    </xf>
    <xf numFmtId="0" fontId="2" fillId="0" borderId="0"/>
    <xf numFmtId="0" fontId="2" fillId="0" borderId="0"/>
    <xf numFmtId="0" fontId="32" fillId="0" borderId="1" applyNumberFormat="0" applyFill="0" applyAlignment="0"/>
    <xf numFmtId="0" fontId="62" fillId="0" borderId="3" applyNumberFormat="0" applyFill="0" applyBorder="0" applyAlignment="0">
      <alignment vertical="center"/>
    </xf>
    <xf numFmtId="0" fontId="1" fillId="0" borderId="0"/>
    <xf numFmtId="0" fontId="64" fillId="0" borderId="0"/>
    <xf numFmtId="0" fontId="150" fillId="0" borderId="0" applyNumberFormat="0" applyBorder="0" applyAlignment="0">
      <alignment wrapText="1"/>
    </xf>
    <xf numFmtId="0" fontId="157" fillId="0" borderId="0" applyNumberFormat="0" applyFill="0" applyBorder="0" applyAlignment="0" applyProtection="0"/>
  </cellStyleXfs>
  <cellXfs count="1341">
    <xf numFmtId="0" fontId="0" fillId="0" borderId="0" xfId="0"/>
    <xf numFmtId="0" fontId="33" fillId="0" borderId="0" xfId="12" applyAlignment="1">
      <alignment vertical="center"/>
    </xf>
    <xf numFmtId="0" fontId="12" fillId="0" borderId="0" xfId="15" applyFont="1"/>
    <xf numFmtId="0" fontId="146" fillId="0" borderId="0" xfId="7" applyAlignment="1"/>
    <xf numFmtId="0" fontId="9" fillId="0" borderId="0" xfId="13" applyFont="1" applyAlignment="1">
      <alignment horizontal="left" vertical="top" wrapText="1"/>
    </xf>
    <xf numFmtId="0" fontId="146" fillId="0" borderId="0" xfId="7" applyAlignment="1">
      <alignment vertical="top"/>
    </xf>
    <xf numFmtId="0" fontId="146" fillId="0" borderId="0" xfId="7" applyAlignment="1">
      <alignment horizontal="left" vertical="top" wrapText="1"/>
    </xf>
    <xf numFmtId="0" fontId="15" fillId="0" borderId="0" xfId="9" applyNumberFormat="1" applyAlignment="1"/>
    <xf numFmtId="0" fontId="15" fillId="0" borderId="0" xfId="9" applyNumberFormat="1" applyFill="1" applyBorder="1" applyAlignment="1">
      <alignment horizontal="left" vertical="top" wrapText="1"/>
    </xf>
    <xf numFmtId="0" fontId="15" fillId="0" borderId="0" xfId="9" applyNumberFormat="1" applyBorder="1" applyAlignment="1"/>
    <xf numFmtId="0" fontId="15" fillId="0" borderId="0" xfId="9" applyNumberFormat="1" applyFill="1" applyBorder="1" applyAlignment="1">
      <alignment vertical="top"/>
    </xf>
    <xf numFmtId="0" fontId="15" fillId="0" borderId="0" xfId="9" applyNumberFormat="1" applyAlignment="1">
      <alignment horizontal="left" vertical="center" indent="3"/>
    </xf>
    <xf numFmtId="0" fontId="14" fillId="0" borderId="0" xfId="11" applyFont="1"/>
    <xf numFmtId="0" fontId="14" fillId="0" borderId="0" xfId="11" applyFont="1" applyAlignment="1">
      <alignment vertical="top"/>
    </xf>
    <xf numFmtId="0" fontId="14" fillId="0" borderId="0" xfId="11" applyFont="1" applyAlignment="1">
      <alignment horizontal="left"/>
    </xf>
    <xf numFmtId="9" fontId="14" fillId="0" borderId="0" xfId="1" applyFont="1"/>
    <xf numFmtId="0" fontId="18" fillId="0" borderId="0" xfId="0" applyFont="1"/>
    <xf numFmtId="0" fontId="19" fillId="0" borderId="0" xfId="0" applyFont="1"/>
    <xf numFmtId="0" fontId="20" fillId="0" borderId="0" xfId="0" applyFont="1"/>
    <xf numFmtId="0" fontId="20" fillId="0" borderId="0" xfId="0" applyFont="1" applyAlignment="1">
      <alignment horizontal="right" vertical="top" indent="1"/>
    </xf>
    <xf numFmtId="49" fontId="20" fillId="0" borderId="0" xfId="0" applyNumberFormat="1" applyFont="1" applyAlignment="1">
      <alignment horizontal="left" vertical="top"/>
    </xf>
    <xf numFmtId="3" fontId="18" fillId="0" borderId="0" xfId="0" applyNumberFormat="1" applyFont="1" applyAlignment="1">
      <alignment wrapText="1"/>
    </xf>
    <xf numFmtId="2" fontId="20" fillId="0" borderId="0" xfId="0" applyNumberFormat="1" applyFont="1"/>
    <xf numFmtId="3" fontId="20" fillId="0" borderId="0" xfId="0" applyNumberFormat="1" applyFont="1"/>
    <xf numFmtId="3" fontId="22" fillId="0" borderId="0" xfId="0" applyNumberFormat="1" applyFont="1"/>
    <xf numFmtId="2" fontId="22" fillId="0" borderId="0" xfId="0" applyNumberFormat="1" applyFont="1"/>
    <xf numFmtId="9" fontId="20" fillId="0" borderId="0" xfId="1" applyFont="1" applyProtection="1"/>
    <xf numFmtId="0" fontId="20" fillId="0" borderId="0" xfId="11" applyFont="1"/>
    <xf numFmtId="0" fontId="18" fillId="0" borderId="0" xfId="11" applyFont="1"/>
    <xf numFmtId="0" fontId="18" fillId="0" borderId="0" xfId="11" applyFont="1" applyAlignment="1">
      <alignment horizontal="left" vertical="top"/>
    </xf>
    <xf numFmtId="10" fontId="18" fillId="0" borderId="0" xfId="1" applyNumberFormat="1" applyFont="1" applyFill="1" applyBorder="1" applyAlignment="1" applyProtection="1">
      <alignment vertical="top"/>
    </xf>
    <xf numFmtId="0" fontId="24" fillId="0" borderId="0" xfId="11" applyFont="1" applyAlignment="1">
      <alignment horizontal="left"/>
    </xf>
    <xf numFmtId="0" fontId="18" fillId="0" borderId="0" xfId="11" applyFont="1" applyAlignment="1">
      <alignment horizontal="left"/>
    </xf>
    <xf numFmtId="9" fontId="18" fillId="0" borderId="0" xfId="1" applyFont="1"/>
    <xf numFmtId="0" fontId="18" fillId="0" borderId="0" xfId="0" applyFont="1" applyAlignment="1">
      <alignment vertical="center"/>
    </xf>
    <xf numFmtId="3" fontId="18" fillId="0" borderId="0" xfId="0" applyNumberFormat="1" applyFont="1" applyAlignment="1">
      <alignment vertical="center"/>
    </xf>
    <xf numFmtId="0" fontId="21" fillId="0" borderId="0" xfId="0" applyFont="1" applyAlignment="1">
      <alignment vertical="center"/>
    </xf>
    <xf numFmtId="3" fontId="21" fillId="0" borderId="0" xfId="0" applyNumberFormat="1" applyFont="1" applyAlignment="1">
      <alignment vertical="center"/>
    </xf>
    <xf numFmtId="0" fontId="18" fillId="0" borderId="0" xfId="0" applyFont="1" applyAlignment="1">
      <alignment horizontal="right" vertical="top" indent="1"/>
    </xf>
    <xf numFmtId="0" fontId="20" fillId="0" borderId="0" xfId="0" applyFont="1" applyAlignment="1">
      <alignment horizontal="left" vertical="center"/>
    </xf>
    <xf numFmtId="0" fontId="18" fillId="0" borderId="0" xfId="0" applyFont="1" applyAlignment="1">
      <alignment horizontal="right" vertical="center"/>
    </xf>
    <xf numFmtId="0" fontId="20" fillId="0" borderId="0" xfId="0" applyFont="1" applyAlignment="1">
      <alignment vertical="center"/>
    </xf>
    <xf numFmtId="0" fontId="20" fillId="0" borderId="3" xfId="0" applyFont="1" applyBorder="1" applyAlignment="1">
      <alignment vertical="center" wrapText="1"/>
    </xf>
    <xf numFmtId="0" fontId="20" fillId="0" borderId="0" xfId="0" applyFont="1" applyAlignment="1">
      <alignment vertical="center" wrapText="1"/>
    </xf>
    <xf numFmtId="0" fontId="20" fillId="0" borderId="4" xfId="0" applyFont="1" applyBorder="1" applyAlignment="1">
      <alignment vertical="center" wrapText="1"/>
    </xf>
    <xf numFmtId="0" fontId="20" fillId="0" borderId="4" xfId="0" applyFont="1" applyBorder="1" applyAlignment="1">
      <alignment vertical="center"/>
    </xf>
    <xf numFmtId="0" fontId="23" fillId="0" borderId="4" xfId="0" applyFont="1" applyBorder="1" applyAlignment="1">
      <alignment vertical="center"/>
    </xf>
    <xf numFmtId="0" fontId="20" fillId="0" borderId="4" xfId="0" applyFont="1" applyBorder="1" applyAlignment="1">
      <alignment horizontal="right" vertical="center"/>
    </xf>
    <xf numFmtId="3" fontId="20" fillId="0" borderId="0" xfId="0" applyNumberFormat="1" applyFont="1" applyAlignment="1">
      <alignment vertical="center"/>
    </xf>
    <xf numFmtId="0" fontId="23" fillId="0" borderId="0" xfId="0" applyFont="1" applyAlignment="1">
      <alignment vertical="center"/>
    </xf>
    <xf numFmtId="3" fontId="23" fillId="0" borderId="0" xfId="0" applyNumberFormat="1" applyFont="1" applyAlignment="1">
      <alignment vertical="center"/>
    </xf>
    <xf numFmtId="9" fontId="18" fillId="0" borderId="0" xfId="1" applyFont="1" applyFill="1" applyBorder="1" applyAlignment="1" applyProtection="1">
      <alignment vertical="center"/>
    </xf>
    <xf numFmtId="3" fontId="23" fillId="0" borderId="4" xfId="0" applyNumberFormat="1" applyFont="1" applyBorder="1" applyAlignment="1">
      <alignment vertical="center"/>
    </xf>
    <xf numFmtId="0" fontId="18" fillId="0" borderId="3" xfId="0" applyFont="1" applyBorder="1" applyAlignment="1">
      <alignment vertical="center"/>
    </xf>
    <xf numFmtId="0" fontId="18" fillId="0" borderId="4" xfId="0" applyFont="1" applyBorder="1" applyAlignment="1">
      <alignment vertical="center"/>
    </xf>
    <xf numFmtId="0" fontId="18" fillId="0" borderId="1" xfId="0" applyFont="1" applyBorder="1" applyAlignment="1">
      <alignment vertical="center"/>
    </xf>
    <xf numFmtId="9" fontId="18" fillId="0" borderId="1" xfId="1" applyFont="1" applyFill="1" applyBorder="1" applyAlignment="1" applyProtection="1">
      <alignment vertical="center"/>
    </xf>
    <xf numFmtId="3" fontId="21" fillId="0" borderId="1" xfId="0" applyNumberFormat="1" applyFont="1" applyBorder="1" applyAlignment="1">
      <alignment vertical="center"/>
    </xf>
    <xf numFmtId="0" fontId="20" fillId="0" borderId="2" xfId="0" applyFont="1" applyBorder="1" applyAlignment="1">
      <alignment vertical="center" wrapText="1"/>
    </xf>
    <xf numFmtId="3" fontId="29" fillId="0" borderId="2" xfId="0" applyNumberFormat="1" applyFont="1" applyBorder="1" applyAlignment="1">
      <alignment vertical="center" wrapText="1"/>
    </xf>
    <xf numFmtId="0" fontId="27" fillId="0" borderId="0" xfId="0" applyFont="1" applyAlignment="1">
      <alignment vertical="center"/>
    </xf>
    <xf numFmtId="3" fontId="29" fillId="0" borderId="0" xfId="0" applyNumberFormat="1" applyFont="1" applyAlignment="1">
      <alignment vertical="center" wrapText="1"/>
    </xf>
    <xf numFmtId="14" fontId="20" fillId="0" borderId="4" xfId="0" applyNumberFormat="1" applyFont="1" applyBorder="1" applyAlignment="1">
      <alignment horizontal="left" vertical="center"/>
    </xf>
    <xf numFmtId="0" fontId="31" fillId="0" borderId="0" xfId="0" applyFont="1" applyAlignment="1">
      <alignment vertical="center"/>
    </xf>
    <xf numFmtId="0" fontId="32" fillId="0" borderId="0" xfId="10" applyFont="1" applyFill="1" applyBorder="1"/>
    <xf numFmtId="0" fontId="33" fillId="0" borderId="0" xfId="0" applyFont="1" applyAlignment="1">
      <alignment vertical="center"/>
    </xf>
    <xf numFmtId="0" fontId="20" fillId="0" borderId="7" xfId="0" applyFont="1" applyBorder="1" applyAlignment="1">
      <alignment vertical="center" wrapText="1"/>
    </xf>
    <xf numFmtId="0" fontId="19" fillId="0" borderId="9" xfId="0" applyFont="1" applyBorder="1"/>
    <xf numFmtId="0" fontId="20" fillId="0" borderId="9" xfId="0" applyFont="1" applyBorder="1" applyAlignment="1">
      <alignment vertical="center"/>
    </xf>
    <xf numFmtId="9" fontId="20" fillId="0" borderId="9" xfId="1" applyFont="1" applyFill="1" applyBorder="1" applyAlignment="1" applyProtection="1">
      <alignment vertical="center"/>
    </xf>
    <xf numFmtId="3" fontId="23" fillId="0" borderId="9" xfId="0" applyNumberFormat="1" applyFont="1" applyBorder="1" applyAlignment="1">
      <alignment vertical="center"/>
    </xf>
    <xf numFmtId="0" fontId="20" fillId="0" borderId="1" xfId="0" applyFont="1" applyBorder="1" applyAlignment="1">
      <alignment vertical="center"/>
    </xf>
    <xf numFmtId="9" fontId="20" fillId="0" borderId="1" xfId="1" applyFont="1" applyFill="1" applyBorder="1" applyAlignment="1" applyProtection="1">
      <alignment vertical="center"/>
    </xf>
    <xf numFmtId="3" fontId="20" fillId="0" borderId="1" xfId="0" applyNumberFormat="1" applyFont="1" applyBorder="1" applyAlignment="1">
      <alignment vertical="center"/>
    </xf>
    <xf numFmtId="3" fontId="23" fillId="0" borderId="1" xfId="0" applyNumberFormat="1" applyFont="1" applyBorder="1" applyAlignment="1">
      <alignment vertical="center"/>
    </xf>
    <xf numFmtId="0" fontId="34" fillId="0" borderId="0" xfId="0" applyFont="1" applyAlignment="1">
      <alignment vertical="center"/>
    </xf>
    <xf numFmtId="0" fontId="6" fillId="0" borderId="0" xfId="11"/>
    <xf numFmtId="0" fontId="20" fillId="0" borderId="0" xfId="0" applyFont="1" applyAlignment="1">
      <alignment horizontal="left"/>
    </xf>
    <xf numFmtId="0" fontId="35" fillId="0" borderId="0" xfId="0" applyFont="1"/>
    <xf numFmtId="167" fontId="35" fillId="0" borderId="0" xfId="17" applyBorder="1">
      <alignment vertical="center"/>
    </xf>
    <xf numFmtId="0" fontId="36" fillId="0" borderId="0" xfId="9" applyNumberFormat="1" applyFont="1" applyAlignment="1"/>
    <xf numFmtId="0" fontId="37" fillId="0" borderId="0" xfId="15" applyFont="1"/>
    <xf numFmtId="0" fontId="38" fillId="0" borderId="0" xfId="9" applyNumberFormat="1" applyFont="1" applyAlignment="1"/>
    <xf numFmtId="0" fontId="40" fillId="0" borderId="0" xfId="0" applyFont="1" applyAlignment="1">
      <alignment vertical="center"/>
    </xf>
    <xf numFmtId="167" fontId="41" fillId="0" borderId="0" xfId="17" applyFont="1" applyBorder="1">
      <alignment vertical="center"/>
    </xf>
    <xf numFmtId="167" fontId="35" fillId="0" borderId="4" xfId="17">
      <alignment vertical="center"/>
    </xf>
    <xf numFmtId="167" fontId="18" fillId="0" borderId="4" xfId="17" applyFont="1">
      <alignment vertical="center"/>
    </xf>
    <xf numFmtId="0" fontId="18" fillId="0" borderId="4" xfId="0" applyFont="1" applyBorder="1" applyAlignment="1">
      <alignment horizontal="left" vertical="top" indent="1"/>
    </xf>
    <xf numFmtId="168" fontId="18" fillId="0" borderId="4" xfId="1" applyNumberFormat="1" applyFont="1" applyFill="1" applyBorder="1" applyAlignment="1" applyProtection="1">
      <alignment vertical="top"/>
    </xf>
    <xf numFmtId="3" fontId="18" fillId="0" borderId="4" xfId="0" applyNumberFormat="1" applyFont="1" applyBorder="1"/>
    <xf numFmtId="49" fontId="18" fillId="0" borderId="4" xfId="0" applyNumberFormat="1" applyFont="1" applyBorder="1" applyAlignment="1">
      <alignment horizontal="left" vertical="top" indent="1"/>
    </xf>
    <xf numFmtId="49" fontId="18" fillId="0" borderId="4" xfId="11" applyNumberFormat="1" applyFont="1" applyBorder="1" applyAlignment="1">
      <alignment horizontal="left" vertical="top" indent="1"/>
    </xf>
    <xf numFmtId="3" fontId="18" fillId="0" borderId="6" xfId="11" applyNumberFormat="1" applyFont="1" applyBorder="1" applyAlignment="1">
      <alignment vertical="top"/>
    </xf>
    <xf numFmtId="3" fontId="18" fillId="0" borderId="6" xfId="0" applyNumberFormat="1" applyFont="1" applyBorder="1"/>
    <xf numFmtId="0" fontId="18" fillId="0" borderId="2" xfId="11" applyFont="1" applyBorder="1" applyAlignment="1">
      <alignment horizontal="left" vertical="top"/>
    </xf>
    <xf numFmtId="0" fontId="18" fillId="0" borderId="2" xfId="11" applyFont="1" applyBorder="1" applyAlignment="1">
      <alignment vertical="top"/>
    </xf>
    <xf numFmtId="168" fontId="18" fillId="0" borderId="2" xfId="1" applyNumberFormat="1" applyFont="1" applyFill="1" applyBorder="1" applyAlignment="1" applyProtection="1">
      <alignment vertical="top"/>
    </xf>
    <xf numFmtId="3" fontId="18" fillId="0" borderId="4" xfId="11" applyNumberFormat="1" applyFont="1" applyBorder="1" applyAlignment="1">
      <alignment vertical="top"/>
    </xf>
    <xf numFmtId="0" fontId="18" fillId="0" borderId="4" xfId="0" applyFont="1" applyBorder="1" applyAlignment="1">
      <alignment vertical="top"/>
    </xf>
    <xf numFmtId="0" fontId="18" fillId="0" borderId="4" xfId="0" applyFont="1" applyBorder="1" applyAlignment="1">
      <alignment horizontal="left" vertical="top"/>
    </xf>
    <xf numFmtId="0" fontId="18" fillId="0" borderId="4" xfId="11" applyFont="1" applyBorder="1" applyAlignment="1">
      <alignment horizontal="left" vertical="top"/>
    </xf>
    <xf numFmtId="168" fontId="18" fillId="0" borderId="4" xfId="1" applyNumberFormat="1" applyFont="1" applyFill="1" applyBorder="1" applyAlignment="1" applyProtection="1">
      <alignment horizontal="right" vertical="top"/>
    </xf>
    <xf numFmtId="0" fontId="18" fillId="0" borderId="4" xfId="11" applyFont="1" applyBorder="1" applyAlignment="1">
      <alignment vertical="top"/>
    </xf>
    <xf numFmtId="49" fontId="43" fillId="5" borderId="3" xfId="0" applyNumberFormat="1" applyFont="1" applyFill="1" applyBorder="1" applyAlignment="1">
      <alignment horizontal="left" vertical="top"/>
    </xf>
    <xf numFmtId="0" fontId="43" fillId="0" borderId="3" xfId="0" applyFont="1" applyBorder="1" applyAlignment="1">
      <alignment vertical="top"/>
    </xf>
    <xf numFmtId="168" fontId="41" fillId="0" borderId="3" xfId="1" applyNumberFormat="1" applyFont="1" applyFill="1" applyBorder="1" applyAlignment="1" applyProtection="1">
      <alignment horizontal="right" vertical="top"/>
    </xf>
    <xf numFmtId="3" fontId="41" fillId="0" borderId="3" xfId="0" applyNumberFormat="1" applyFont="1" applyBorder="1"/>
    <xf numFmtId="0" fontId="18" fillId="0" borderId="1" xfId="11" applyFont="1" applyBorder="1" applyAlignment="1">
      <alignment horizontal="left"/>
    </xf>
    <xf numFmtId="0" fontId="18" fillId="0" borderId="1" xfId="11" applyFont="1" applyBorder="1"/>
    <xf numFmtId="9" fontId="18" fillId="0" borderId="1" xfId="1" applyFont="1" applyBorder="1" applyProtection="1"/>
    <xf numFmtId="0" fontId="18" fillId="0" borderId="1" xfId="11" applyFont="1" applyBorder="1" applyAlignment="1">
      <alignment wrapText="1"/>
    </xf>
    <xf numFmtId="49" fontId="43" fillId="3" borderId="3" xfId="0" applyNumberFormat="1" applyFont="1" applyFill="1" applyBorder="1" applyAlignment="1">
      <alignment horizontal="left" vertical="top"/>
    </xf>
    <xf numFmtId="0" fontId="18" fillId="0" borderId="6" xfId="0" applyFont="1" applyBorder="1" applyAlignment="1">
      <alignment horizontal="left" vertical="top" indent="1"/>
    </xf>
    <xf numFmtId="0" fontId="18" fillId="0" borderId="6" xfId="0" applyFont="1" applyBorder="1" applyAlignment="1">
      <alignment horizontal="left" vertical="top"/>
    </xf>
    <xf numFmtId="168" fontId="18" fillId="0" borderId="6" xfId="1" applyNumberFormat="1" applyFont="1" applyFill="1" applyBorder="1" applyAlignment="1" applyProtection="1">
      <alignment vertical="top"/>
    </xf>
    <xf numFmtId="0" fontId="43" fillId="6" borderId="3" xfId="0" applyFont="1" applyFill="1" applyBorder="1" applyAlignment="1">
      <alignment horizontal="left" vertical="top"/>
    </xf>
    <xf numFmtId="49" fontId="18" fillId="0" borderId="6" xfId="0" applyNumberFormat="1" applyFont="1" applyBorder="1" applyAlignment="1">
      <alignment horizontal="left" vertical="top" indent="1"/>
    </xf>
    <xf numFmtId="0" fontId="18" fillId="0" borderId="6" xfId="0" applyFont="1" applyBorder="1" applyAlignment="1">
      <alignment vertical="top"/>
    </xf>
    <xf numFmtId="49" fontId="43" fillId="4" borderId="3" xfId="0" applyNumberFormat="1" applyFont="1" applyFill="1" applyBorder="1" applyAlignment="1">
      <alignment horizontal="left" vertical="top"/>
    </xf>
    <xf numFmtId="49" fontId="18" fillId="0" borderId="6" xfId="11" applyNumberFormat="1" applyFont="1" applyBorder="1" applyAlignment="1">
      <alignment horizontal="left" vertical="top" indent="1"/>
    </xf>
    <xf numFmtId="0" fontId="18" fillId="0" borderId="6" xfId="11" applyFont="1" applyBorder="1" applyAlignment="1">
      <alignment vertical="top"/>
    </xf>
    <xf numFmtId="168" fontId="18" fillId="0" borderId="6" xfId="1" applyNumberFormat="1" applyFont="1" applyFill="1" applyBorder="1" applyAlignment="1" applyProtection="1">
      <alignment horizontal="right" vertical="top"/>
    </xf>
    <xf numFmtId="0" fontId="43" fillId="7" borderId="3" xfId="0" applyFont="1" applyFill="1" applyBorder="1" applyAlignment="1">
      <alignment horizontal="left" vertical="top"/>
    </xf>
    <xf numFmtId="0" fontId="43" fillId="8" borderId="3" xfId="0" applyFont="1" applyFill="1" applyBorder="1" applyAlignment="1">
      <alignment horizontal="left" vertical="top"/>
    </xf>
    <xf numFmtId="0" fontId="43" fillId="9" borderId="3" xfId="0" applyFont="1" applyFill="1" applyBorder="1" applyAlignment="1">
      <alignment horizontal="left" vertical="top"/>
    </xf>
    <xf numFmtId="0" fontId="18" fillId="0" borderId="6" xfId="11" applyFont="1" applyBorder="1" applyAlignment="1">
      <alignment horizontal="left" vertical="top"/>
    </xf>
    <xf numFmtId="0" fontId="18" fillId="0" borderId="0" xfId="11" applyFont="1" applyAlignment="1">
      <alignment vertical="top"/>
    </xf>
    <xf numFmtId="10" fontId="18" fillId="0" borderId="0" xfId="1" applyNumberFormat="1" applyFont="1" applyBorder="1" applyProtection="1"/>
    <xf numFmtId="0" fontId="35" fillId="0" borderId="2" xfId="11" applyFont="1" applyBorder="1" applyAlignment="1">
      <alignment horizontal="left" vertical="top"/>
    </xf>
    <xf numFmtId="0" fontId="35" fillId="0" borderId="2" xfId="11" applyFont="1" applyBorder="1" applyAlignment="1">
      <alignment vertical="top"/>
    </xf>
    <xf numFmtId="168" fontId="35" fillId="0" borderId="2" xfId="1" applyNumberFormat="1" applyFont="1" applyFill="1" applyBorder="1" applyAlignment="1" applyProtection="1">
      <alignment vertical="top"/>
    </xf>
    <xf numFmtId="170" fontId="41" fillId="0" borderId="2" xfId="2" applyNumberFormat="1" applyFont="1" applyFill="1" applyBorder="1" applyAlignment="1" applyProtection="1">
      <alignment horizontal="right" vertical="top"/>
    </xf>
    <xf numFmtId="9" fontId="18" fillId="0" borderId="0" xfId="1" applyFont="1" applyFill="1" applyAlignment="1" applyProtection="1">
      <alignment horizontal="right" vertical="top"/>
    </xf>
    <xf numFmtId="10" fontId="18" fillId="0" borderId="0" xfId="1" applyNumberFormat="1" applyFont="1" applyFill="1" applyAlignment="1">
      <alignment vertical="top"/>
    </xf>
    <xf numFmtId="0" fontId="37" fillId="0" borderId="0" xfId="3" applyFont="1" applyProtection="1">
      <protection locked="0"/>
    </xf>
    <xf numFmtId="165" fontId="45" fillId="0" borderId="0" xfId="3" applyNumberFormat="1" applyFont="1" applyAlignment="1" applyProtection="1">
      <alignment wrapText="1"/>
      <protection locked="0"/>
    </xf>
    <xf numFmtId="0" fontId="37" fillId="0" borderId="0" xfId="3" applyFont="1" applyAlignment="1" applyProtection="1">
      <alignment horizontal="right"/>
      <protection locked="0"/>
    </xf>
    <xf numFmtId="0" fontId="39" fillId="0" borderId="0" xfId="3" applyFont="1" applyProtection="1">
      <protection locked="0"/>
    </xf>
    <xf numFmtId="0" fontId="46" fillId="0" borderId="0" xfId="3" applyFont="1" applyProtection="1">
      <protection locked="0"/>
    </xf>
    <xf numFmtId="0" fontId="47" fillId="0" borderId="0" xfId="3" applyFont="1" applyProtection="1">
      <protection locked="0"/>
    </xf>
    <xf numFmtId="0" fontId="45" fillId="0" borderId="0" xfId="3" applyFont="1" applyProtection="1">
      <protection locked="0"/>
    </xf>
    <xf numFmtId="165" fontId="37" fillId="0" borderId="0" xfId="3" applyNumberFormat="1" applyFont="1" applyProtection="1">
      <protection locked="0"/>
    </xf>
    <xf numFmtId="0" fontId="37" fillId="0" borderId="1" xfId="3" applyFont="1" applyBorder="1" applyProtection="1">
      <protection locked="0"/>
    </xf>
    <xf numFmtId="0" fontId="43" fillId="0" borderId="0" xfId="3" applyFont="1" applyProtection="1">
      <protection locked="0"/>
    </xf>
    <xf numFmtId="0" fontId="18" fillId="0" borderId="0" xfId="3" applyFont="1" applyProtection="1">
      <protection locked="0"/>
    </xf>
    <xf numFmtId="165" fontId="18" fillId="0" borderId="0" xfId="3" applyNumberFormat="1" applyFont="1" applyProtection="1">
      <protection locked="0"/>
    </xf>
    <xf numFmtId="9" fontId="51" fillId="0" borderId="0" xfId="1" applyFont="1" applyBorder="1" applyProtection="1">
      <protection locked="0"/>
    </xf>
    <xf numFmtId="0" fontId="52" fillId="0" borderId="0" xfId="3" applyFont="1" applyProtection="1">
      <protection locked="0"/>
    </xf>
    <xf numFmtId="0" fontId="26" fillId="0" borderId="0" xfId="3" applyFont="1" applyProtection="1">
      <protection locked="0"/>
    </xf>
    <xf numFmtId="0" fontId="18" fillId="0" borderId="6" xfId="3" applyFont="1" applyBorder="1" applyAlignment="1" applyProtection="1">
      <alignment horizontal="right"/>
      <protection locked="0"/>
    </xf>
    <xf numFmtId="165" fontId="18" fillId="0" borderId="1" xfId="3" applyNumberFormat="1" applyFont="1" applyBorder="1" applyProtection="1">
      <protection locked="0"/>
    </xf>
    <xf numFmtId="0" fontId="43" fillId="0" borderId="2" xfId="3" applyFont="1" applyBorder="1" applyProtection="1">
      <protection locked="0"/>
    </xf>
    <xf numFmtId="168" fontId="50" fillId="0" borderId="2" xfId="1" applyNumberFormat="1" applyFont="1" applyBorder="1" applyProtection="1">
      <protection locked="0"/>
    </xf>
    <xf numFmtId="9" fontId="51" fillId="0" borderId="2" xfId="1" applyFont="1" applyBorder="1" applyProtection="1">
      <protection locked="0"/>
    </xf>
    <xf numFmtId="0" fontId="35" fillId="0" borderId="6" xfId="3" applyFont="1" applyBorder="1" applyAlignment="1" applyProtection="1">
      <alignment horizontal="right"/>
      <protection locked="0"/>
    </xf>
    <xf numFmtId="9" fontId="48" fillId="0" borderId="0" xfId="1" applyFont="1" applyBorder="1" applyProtection="1">
      <protection locked="0"/>
    </xf>
    <xf numFmtId="9" fontId="48" fillId="0" borderId="1" xfId="1" applyFont="1" applyBorder="1" applyProtection="1">
      <protection locked="0"/>
    </xf>
    <xf numFmtId="9" fontId="48" fillId="0" borderId="2" xfId="1" applyFont="1" applyBorder="1" applyProtection="1">
      <protection locked="0"/>
    </xf>
    <xf numFmtId="165" fontId="35" fillId="0" borderId="0" xfId="3" applyNumberFormat="1" applyFont="1" applyProtection="1">
      <protection locked="0"/>
    </xf>
    <xf numFmtId="165" fontId="49" fillId="0" borderId="0" xfId="3" applyNumberFormat="1" applyFont="1" applyProtection="1">
      <protection locked="0"/>
    </xf>
    <xf numFmtId="168" fontId="50" fillId="0" borderId="1" xfId="1" applyNumberFormat="1" applyFont="1" applyBorder="1" applyProtection="1">
      <protection locked="0"/>
    </xf>
    <xf numFmtId="0" fontId="37" fillId="0" borderId="2" xfId="3" applyFont="1" applyBorder="1" applyProtection="1">
      <protection locked="0"/>
    </xf>
    <xf numFmtId="0" fontId="37" fillId="0" borderId="14" xfId="3" applyFont="1" applyBorder="1" applyProtection="1">
      <protection locked="0"/>
    </xf>
    <xf numFmtId="9" fontId="51" fillId="0" borderId="14" xfId="1" applyFont="1" applyBorder="1" applyProtection="1">
      <protection locked="0"/>
    </xf>
    <xf numFmtId="9" fontId="48" fillId="0" borderId="14" xfId="1" applyFont="1" applyBorder="1" applyProtection="1">
      <protection locked="0"/>
    </xf>
    <xf numFmtId="0" fontId="37" fillId="0" borderId="15" xfId="3" applyFont="1" applyBorder="1" applyProtection="1">
      <protection locked="0"/>
    </xf>
    <xf numFmtId="168" fontId="50" fillId="0" borderId="15" xfId="1" applyNumberFormat="1" applyFont="1" applyBorder="1" applyProtection="1">
      <protection locked="0"/>
    </xf>
    <xf numFmtId="9" fontId="51" fillId="0" borderId="7" xfId="1" applyFont="1" applyBorder="1" applyProtection="1">
      <protection locked="0"/>
    </xf>
    <xf numFmtId="9" fontId="48" fillId="0" borderId="7" xfId="1" applyFont="1" applyBorder="1" applyProtection="1">
      <protection locked="0"/>
    </xf>
    <xf numFmtId="9" fontId="51" fillId="0" borderId="4" xfId="1" applyFont="1" applyBorder="1" applyProtection="1">
      <protection locked="0"/>
    </xf>
    <xf numFmtId="9" fontId="48" fillId="0" borderId="4" xfId="1" applyFont="1" applyBorder="1" applyProtection="1">
      <protection locked="0"/>
    </xf>
    <xf numFmtId="9" fontId="51" fillId="0" borderId="6" xfId="1" applyFont="1" applyBorder="1" applyProtection="1">
      <protection locked="0"/>
    </xf>
    <xf numFmtId="9" fontId="48" fillId="0" borderId="6" xfId="1" applyFont="1" applyBorder="1" applyProtection="1">
      <protection locked="0"/>
    </xf>
    <xf numFmtId="0" fontId="37" fillId="0" borderId="7" xfId="3" applyFont="1" applyBorder="1" applyProtection="1">
      <protection locked="0"/>
    </xf>
    <xf numFmtId="0" fontId="37" fillId="0" borderId="4" xfId="3" applyFont="1" applyBorder="1" applyProtection="1">
      <protection locked="0"/>
    </xf>
    <xf numFmtId="0" fontId="37" fillId="0" borderId="6" xfId="3" applyFont="1" applyBorder="1" applyProtection="1">
      <protection locked="0"/>
    </xf>
    <xf numFmtId="165" fontId="18" fillId="0" borderId="2" xfId="3" applyNumberFormat="1" applyFont="1" applyBorder="1" applyProtection="1">
      <protection locked="0"/>
    </xf>
    <xf numFmtId="0" fontId="49" fillId="0" borderId="2" xfId="3" applyFont="1" applyBorder="1" applyProtection="1">
      <protection locked="0"/>
    </xf>
    <xf numFmtId="165" fontId="21" fillId="0" borderId="2" xfId="3" applyNumberFormat="1" applyFont="1" applyBorder="1" applyProtection="1">
      <protection locked="0"/>
    </xf>
    <xf numFmtId="0" fontId="21" fillId="0" borderId="2" xfId="3" applyFont="1" applyBorder="1" applyProtection="1">
      <protection locked="0"/>
    </xf>
    <xf numFmtId="0" fontId="18" fillId="0" borderId="7" xfId="3" applyFont="1" applyBorder="1" applyProtection="1">
      <protection locked="0"/>
    </xf>
    <xf numFmtId="0" fontId="18" fillId="0" borderId="4" xfId="3" applyFont="1" applyBorder="1" applyProtection="1">
      <protection locked="0"/>
    </xf>
    <xf numFmtId="0" fontId="37" fillId="0" borderId="3" xfId="3" applyFont="1" applyBorder="1" applyProtection="1">
      <protection locked="0"/>
    </xf>
    <xf numFmtId="0" fontId="37" fillId="0" borderId="8" xfId="3" applyFont="1" applyBorder="1" applyProtection="1">
      <protection locked="0"/>
    </xf>
    <xf numFmtId="0" fontId="37" fillId="0" borderId="8" xfId="3" applyFont="1" applyBorder="1" applyAlignment="1" applyProtection="1">
      <alignment horizontal="center" vertical="top" wrapText="1"/>
      <protection locked="0"/>
    </xf>
    <xf numFmtId="0" fontId="18" fillId="0" borderId="6" xfId="3" applyFont="1" applyBorder="1" applyProtection="1">
      <protection locked="0"/>
    </xf>
    <xf numFmtId="0" fontId="18" fillId="0" borderId="1" xfId="3" applyFont="1" applyBorder="1" applyAlignment="1" applyProtection="1">
      <alignment horizontal="right"/>
      <protection locked="0"/>
    </xf>
    <xf numFmtId="0" fontId="35" fillId="0" borderId="1" xfId="3" applyFont="1" applyBorder="1" applyAlignment="1" applyProtection="1">
      <alignment horizontal="right"/>
      <protection locked="0"/>
    </xf>
    <xf numFmtId="0" fontId="54" fillId="0" borderId="0" xfId="9" applyNumberFormat="1" applyFont="1" applyAlignment="1"/>
    <xf numFmtId="0" fontId="23" fillId="0" borderId="1" xfId="0" applyFont="1" applyBorder="1" applyAlignment="1">
      <alignment vertical="center"/>
    </xf>
    <xf numFmtId="0" fontId="19" fillId="0" borderId="1" xfId="0" applyFont="1" applyBorder="1"/>
    <xf numFmtId="3" fontId="18" fillId="0" borderId="4" xfId="0" applyNumberFormat="1" applyFont="1" applyBorder="1" applyAlignment="1">
      <alignment vertical="center"/>
    </xf>
    <xf numFmtId="0" fontId="39" fillId="0" borderId="7" xfId="15" applyFont="1" applyBorder="1"/>
    <xf numFmtId="0" fontId="38" fillId="0" borderId="7" xfId="9" applyNumberFormat="1" applyFont="1" applyBorder="1" applyAlignment="1">
      <alignment horizontal="left" vertical="center"/>
    </xf>
    <xf numFmtId="0" fontId="38" fillId="0" borderId="7" xfId="9" applyNumberFormat="1" applyFont="1" applyBorder="1" applyAlignment="1"/>
    <xf numFmtId="0" fontId="39" fillId="0" borderId="4" xfId="15" applyFont="1" applyBorder="1"/>
    <xf numFmtId="0" fontId="38" fillId="0" borderId="4" xfId="9" applyNumberFormat="1" applyFont="1" applyBorder="1" applyAlignment="1">
      <alignment horizontal="left" vertical="center"/>
    </xf>
    <xf numFmtId="0" fontId="38" fillId="0" borderId="4" xfId="9" applyNumberFormat="1" applyFont="1" applyBorder="1" applyAlignment="1"/>
    <xf numFmtId="0" fontId="39" fillId="0" borderId="6" xfId="15" applyFont="1" applyBorder="1"/>
    <xf numFmtId="0" fontId="38" fillId="0" borderId="6" xfId="9" applyNumberFormat="1" applyFont="1" applyBorder="1" applyAlignment="1">
      <alignment horizontal="left" vertical="center"/>
    </xf>
    <xf numFmtId="0" fontId="38" fillId="0" borderId="6" xfId="9" applyNumberFormat="1" applyFont="1" applyBorder="1" applyAlignment="1"/>
    <xf numFmtId="167" fontId="18" fillId="0" borderId="3" xfId="17" applyFont="1" applyBorder="1">
      <alignment vertical="center"/>
    </xf>
    <xf numFmtId="167" fontId="35" fillId="0" borderId="6" xfId="17" applyBorder="1">
      <alignment vertical="center"/>
    </xf>
    <xf numFmtId="167" fontId="35" fillId="0" borderId="3" xfId="17" applyBorder="1">
      <alignment vertical="center"/>
    </xf>
    <xf numFmtId="0" fontId="36" fillId="0" borderId="7" xfId="9" applyNumberFormat="1" applyFont="1" applyBorder="1" applyAlignment="1">
      <alignment horizontal="left" vertical="center"/>
    </xf>
    <xf numFmtId="0" fontId="36" fillId="0" borderId="4" xfId="9" applyNumberFormat="1" applyFont="1" applyBorder="1" applyAlignment="1">
      <alignment horizontal="left" vertical="center"/>
    </xf>
    <xf numFmtId="0" fontId="36" fillId="0" borderId="6" xfId="9" applyNumberFormat="1" applyFont="1" applyBorder="1" applyAlignment="1">
      <alignment horizontal="left" vertical="center"/>
    </xf>
    <xf numFmtId="167" fontId="18" fillId="0" borderId="0" xfId="17" applyFont="1" applyBorder="1">
      <alignment vertical="center"/>
    </xf>
    <xf numFmtId="0" fontId="53" fillId="11" borderId="0" xfId="0" applyFont="1" applyFill="1" applyAlignment="1">
      <alignment vertical="center"/>
    </xf>
    <xf numFmtId="0" fontId="35" fillId="0" borderId="7" xfId="0" applyFont="1" applyBorder="1"/>
    <xf numFmtId="0" fontId="35" fillId="0" borderId="4" xfId="0" applyFont="1" applyBorder="1"/>
    <xf numFmtId="167" fontId="35" fillId="0" borderId="7" xfId="17" applyBorder="1">
      <alignment vertical="center"/>
    </xf>
    <xf numFmtId="0" fontId="53" fillId="0" borderId="0" xfId="0" applyFont="1" applyAlignment="1">
      <alignment vertical="center"/>
    </xf>
    <xf numFmtId="0" fontId="53" fillId="0" borderId="1" xfId="0" applyFont="1" applyBorder="1" applyAlignment="1">
      <alignment vertical="center"/>
    </xf>
    <xf numFmtId="0" fontId="53" fillId="0" borderId="13" xfId="0" applyFont="1" applyBorder="1" applyAlignment="1">
      <alignment vertical="center"/>
    </xf>
    <xf numFmtId="0" fontId="44" fillId="0" borderId="1" xfId="11" applyFont="1" applyBorder="1" applyAlignment="1">
      <alignment vertical="center"/>
    </xf>
    <xf numFmtId="9" fontId="20" fillId="0" borderId="1" xfId="1" applyFont="1" applyFill="1" applyBorder="1" applyAlignment="1" applyProtection="1">
      <alignment vertical="top"/>
    </xf>
    <xf numFmtId="0" fontId="20" fillId="0" borderId="1" xfId="11" applyFont="1" applyBorder="1" applyAlignment="1">
      <alignment vertical="top"/>
    </xf>
    <xf numFmtId="0" fontId="18" fillId="0" borderId="1" xfId="11" applyFont="1" applyBorder="1" applyAlignment="1">
      <alignment vertical="top"/>
    </xf>
    <xf numFmtId="0" fontId="14" fillId="0" borderId="0" xfId="11" applyFont="1" applyAlignment="1">
      <alignment vertical="center"/>
    </xf>
    <xf numFmtId="0" fontId="35" fillId="0" borderId="0" xfId="11" applyFont="1" applyAlignment="1">
      <alignment vertical="center"/>
    </xf>
    <xf numFmtId="0" fontId="18" fillId="0" borderId="0" xfId="11" applyFont="1" applyAlignment="1">
      <alignment wrapText="1"/>
    </xf>
    <xf numFmtId="0" fontId="30" fillId="0" borderId="13" xfId="11" applyFont="1" applyBorder="1"/>
    <xf numFmtId="9" fontId="20" fillId="0" borderId="13" xfId="1" applyFont="1" applyBorder="1" applyProtection="1"/>
    <xf numFmtId="0" fontId="18" fillId="0" borderId="13" xfId="11" applyFont="1" applyBorder="1"/>
    <xf numFmtId="0" fontId="18" fillId="0" borderId="0" xfId="0" applyFont="1" applyAlignment="1">
      <alignment horizontal="left" vertical="center"/>
    </xf>
    <xf numFmtId="3" fontId="18" fillId="0" borderId="4" xfId="0" applyNumberFormat="1" applyFont="1" applyBorder="1" applyAlignment="1">
      <alignment horizontal="right" vertical="center"/>
    </xf>
    <xf numFmtId="0" fontId="56" fillId="0" borderId="0" xfId="0" applyFont="1" applyAlignment="1">
      <alignment vertical="center"/>
    </xf>
    <xf numFmtId="0" fontId="58" fillId="0" borderId="0" xfId="11" applyFont="1"/>
    <xf numFmtId="0" fontId="18" fillId="0" borderId="0" xfId="0" applyFont="1" applyAlignment="1">
      <alignment vertical="center" wrapText="1"/>
    </xf>
    <xf numFmtId="0" fontId="146" fillId="0" borderId="0" xfId="7" applyAlignment="1">
      <alignment vertical="center"/>
    </xf>
    <xf numFmtId="0" fontId="32" fillId="0" borderId="1" xfId="21"/>
    <xf numFmtId="0" fontId="32" fillId="0" borderId="1" xfId="21" applyAlignment="1">
      <alignment vertical="center"/>
    </xf>
    <xf numFmtId="0" fontId="32" fillId="0" borderId="1" xfId="21" applyAlignment="1">
      <alignment vertical="center" wrapText="1"/>
    </xf>
    <xf numFmtId="0" fontId="62" fillId="0" borderId="3" xfId="22" applyFill="1" applyBorder="1" applyAlignment="1">
      <alignment vertical="center"/>
    </xf>
    <xf numFmtId="0" fontId="62" fillId="0" borderId="7" xfId="22" applyFill="1" applyBorder="1" applyAlignment="1">
      <alignment vertical="center"/>
    </xf>
    <xf numFmtId="0" fontId="146" fillId="0" borderId="0" xfId="7" applyAlignment="1">
      <alignment horizontal="left"/>
    </xf>
    <xf numFmtId="0" fontId="25" fillId="0" borderId="0" xfId="0" applyFont="1"/>
    <xf numFmtId="0" fontId="25" fillId="0" borderId="0" xfId="0" applyFont="1" applyAlignment="1">
      <alignment vertical="center" wrapText="1"/>
    </xf>
    <xf numFmtId="0" fontId="25" fillId="0" borderId="0" xfId="0" applyFont="1" applyAlignment="1">
      <alignment horizontal="center"/>
    </xf>
    <xf numFmtId="9" fontId="6" fillId="0" borderId="0" xfId="11" applyNumberFormat="1"/>
    <xf numFmtId="49" fontId="6" fillId="0" borderId="0" xfId="11" applyNumberFormat="1"/>
    <xf numFmtId="0" fontId="65" fillId="0" borderId="7" xfId="0" applyFont="1" applyBorder="1" applyAlignment="1">
      <alignment horizontal="left" vertical="center" wrapText="1"/>
    </xf>
    <xf numFmtId="0" fontId="65" fillId="0" borderId="4" xfId="0" applyFont="1" applyBorder="1" applyAlignment="1">
      <alignment horizontal="left" vertical="center" wrapText="1"/>
    </xf>
    <xf numFmtId="0" fontId="69" fillId="0" borderId="0" xfId="0" applyFont="1" applyAlignment="1">
      <alignment vertical="center"/>
    </xf>
    <xf numFmtId="0" fontId="68" fillId="0" borderId="0" xfId="0" applyFont="1" applyAlignment="1">
      <alignment vertical="center"/>
    </xf>
    <xf numFmtId="0" fontId="70" fillId="0" borderId="0" xfId="0" applyFont="1" applyAlignment="1">
      <alignment vertical="center"/>
    </xf>
    <xf numFmtId="3" fontId="68" fillId="0" borderId="0" xfId="0" applyNumberFormat="1" applyFont="1" applyAlignment="1">
      <alignment vertical="center"/>
    </xf>
    <xf numFmtId="3" fontId="18" fillId="0" borderId="8" xfId="0" applyNumberFormat="1" applyFont="1" applyBorder="1" applyAlignment="1">
      <alignment vertical="center"/>
    </xf>
    <xf numFmtId="0" fontId="36" fillId="0" borderId="0" xfId="9" applyNumberFormat="1" applyFont="1" applyAlignment="1">
      <alignment horizontal="right"/>
    </xf>
    <xf numFmtId="3" fontId="61" fillId="0" borderId="4" xfId="0" applyNumberFormat="1" applyFont="1" applyBorder="1" applyAlignment="1">
      <alignment horizontal="right" vertical="center"/>
    </xf>
    <xf numFmtId="0" fontId="36" fillId="0" borderId="7" xfId="9" applyNumberFormat="1" applyFont="1" applyBorder="1" applyAlignment="1">
      <alignment horizontal="right"/>
    </xf>
    <xf numFmtId="0" fontId="36" fillId="0" borderId="4" xfId="9" applyNumberFormat="1" applyFont="1" applyBorder="1" applyAlignment="1">
      <alignment horizontal="right"/>
    </xf>
    <xf numFmtId="0" fontId="36" fillId="0" borderId="6" xfId="9" applyNumberFormat="1" applyFont="1" applyBorder="1" applyAlignment="1">
      <alignment horizontal="right"/>
    </xf>
    <xf numFmtId="0" fontId="64" fillId="0" borderId="0" xfId="0" applyFont="1"/>
    <xf numFmtId="0" fontId="0" fillId="0" borderId="0" xfId="0" applyAlignment="1">
      <alignment horizontal="center"/>
    </xf>
    <xf numFmtId="0" fontId="32" fillId="0" borderId="1" xfId="21" applyAlignment="1">
      <alignment horizontal="center"/>
    </xf>
    <xf numFmtId="0" fontId="60" fillId="0" borderId="0" xfId="0" applyFont="1" applyAlignment="1">
      <alignment horizontal="center" vertical="center" wrapText="1"/>
    </xf>
    <xf numFmtId="0" fontId="25" fillId="0" borderId="4" xfId="0" applyFont="1" applyBorder="1" applyAlignment="1">
      <alignment vertical="center" wrapText="1"/>
    </xf>
    <xf numFmtId="0" fontId="25" fillId="0" borderId="4" xfId="0" applyFont="1" applyBorder="1" applyAlignment="1">
      <alignment horizontal="center" vertical="center" wrapText="1"/>
    </xf>
    <xf numFmtId="0" fontId="62" fillId="0" borderId="4" xfId="22" applyBorder="1" applyAlignment="1">
      <alignment vertical="center" wrapText="1"/>
    </xf>
    <xf numFmtId="0" fontId="62" fillId="0" borderId="4" xfId="22" applyBorder="1" applyAlignment="1">
      <alignment horizontal="center" vertical="center" wrapText="1"/>
    </xf>
    <xf numFmtId="0" fontId="62" fillId="0" borderId="3" xfId="22" applyBorder="1" applyAlignment="1">
      <alignment vertical="center" wrapText="1"/>
    </xf>
    <xf numFmtId="0" fontId="62" fillId="0" borderId="3" xfId="22" applyBorder="1" applyAlignment="1">
      <alignment horizontal="center" vertical="center" wrapText="1"/>
    </xf>
    <xf numFmtId="0" fontId="25" fillId="0" borderId="2" xfId="0" applyFont="1" applyBorder="1" applyAlignment="1">
      <alignment vertical="center" wrapText="1"/>
    </xf>
    <xf numFmtId="0" fontId="32" fillId="0" borderId="1" xfId="21" applyAlignment="1"/>
    <xf numFmtId="0" fontId="25" fillId="0" borderId="3" xfId="0" applyFont="1" applyBorder="1" applyAlignment="1">
      <alignment vertical="center" wrapText="1"/>
    </xf>
    <xf numFmtId="0" fontId="62" fillId="0" borderId="4" xfId="22" applyBorder="1" applyAlignment="1">
      <alignment vertical="center"/>
    </xf>
    <xf numFmtId="0" fontId="25" fillId="0" borderId="3" xfId="0" applyFont="1" applyBorder="1" applyAlignment="1">
      <alignment horizontal="center" vertical="center" wrapText="1"/>
    </xf>
    <xf numFmtId="0" fontId="25" fillId="0" borderId="18" xfId="0" applyFont="1" applyBorder="1" applyAlignment="1">
      <alignment vertical="center" wrapText="1"/>
    </xf>
    <xf numFmtId="0" fontId="65" fillId="0" borderId="18" xfId="0" applyFont="1" applyBorder="1" applyAlignment="1">
      <alignment horizontal="center" vertical="center" wrapText="1"/>
    </xf>
    <xf numFmtId="0" fontId="25" fillId="0" borderId="18" xfId="0" applyFont="1" applyBorder="1" applyAlignment="1">
      <alignment horizontal="center" vertical="center" wrapText="1"/>
    </xf>
    <xf numFmtId="0" fontId="65" fillId="0" borderId="18" xfId="0" applyFont="1" applyBorder="1" applyAlignment="1">
      <alignment vertical="center" wrapText="1"/>
    </xf>
    <xf numFmtId="0" fontId="62" fillId="0" borderId="19" xfId="22" applyBorder="1" applyAlignment="1">
      <alignment vertical="center" wrapText="1"/>
    </xf>
    <xf numFmtId="0" fontId="62" fillId="0" borderId="18" xfId="22" applyBorder="1" applyAlignment="1">
      <alignment vertical="center" wrapText="1"/>
    </xf>
    <xf numFmtId="0" fontId="62" fillId="0" borderId="18" xfId="22" applyBorder="1" applyAlignment="1"/>
    <xf numFmtId="0" fontId="17" fillId="0" borderId="4" xfId="0" applyFont="1" applyBorder="1" applyAlignment="1">
      <alignment vertical="center" wrapText="1"/>
    </xf>
    <xf numFmtId="0" fontId="65" fillId="0" borderId="4" xfId="0" applyFont="1" applyBorder="1" applyAlignment="1">
      <alignment horizontal="center" vertical="center" wrapText="1"/>
    </xf>
    <xf numFmtId="0" fontId="62" fillId="0" borderId="4" xfId="22" applyFill="1" applyBorder="1" applyAlignment="1">
      <alignment vertical="center" wrapText="1"/>
    </xf>
    <xf numFmtId="0" fontId="65" fillId="0" borderId="20" xfId="0" applyFont="1" applyBorder="1" applyAlignment="1">
      <alignment horizontal="left" vertical="center" wrapText="1"/>
    </xf>
    <xf numFmtId="0" fontId="65" fillId="0" borderId="18" xfId="0" applyFont="1" applyBorder="1" applyAlignment="1">
      <alignment horizontal="left" vertical="center" wrapText="1"/>
    </xf>
    <xf numFmtId="0" fontId="62" fillId="0" borderId="19" xfId="22" applyBorder="1" applyAlignment="1">
      <alignment horizontal="center" vertical="center" wrapText="1"/>
    </xf>
    <xf numFmtId="0" fontId="62" fillId="0" borderId="18" xfId="22" applyBorder="1" applyAlignment="1">
      <alignment horizontal="center" vertical="center" wrapText="1"/>
    </xf>
    <xf numFmtId="0" fontId="62" fillId="0" borderId="18" xfId="22" applyBorder="1" applyAlignment="1">
      <alignment horizontal="center"/>
    </xf>
    <xf numFmtId="0" fontId="67" fillId="0" borderId="4" xfId="0" applyFont="1" applyBorder="1" applyAlignment="1">
      <alignment horizontal="center" vertical="center" wrapText="1"/>
    </xf>
    <xf numFmtId="0" fontId="67" fillId="0" borderId="4" xfId="0" applyFont="1" applyBorder="1" applyAlignment="1">
      <alignment horizontal="center" vertical="center"/>
    </xf>
    <xf numFmtId="0" fontId="62" fillId="0" borderId="4" xfId="22" applyFill="1" applyBorder="1" applyAlignment="1">
      <alignment horizontal="center" vertical="center" wrapText="1"/>
    </xf>
    <xf numFmtId="0" fontId="65" fillId="0" borderId="7" xfId="0" applyFont="1" applyBorder="1" applyAlignment="1">
      <alignment horizontal="center" vertical="center" wrapText="1"/>
    </xf>
    <xf numFmtId="0" fontId="65" fillId="0" borderId="20" xfId="0" applyFont="1" applyBorder="1" applyAlignment="1">
      <alignment horizontal="center" vertical="center" wrapText="1"/>
    </xf>
    <xf numFmtId="0" fontId="35" fillId="0" borderId="6" xfId="0" applyFont="1" applyBorder="1"/>
    <xf numFmtId="0" fontId="18" fillId="0" borderId="4" xfId="0" applyFont="1" applyBorder="1" applyAlignment="1">
      <alignment horizontal="left" vertical="center"/>
    </xf>
    <xf numFmtId="49" fontId="18" fillId="0" borderId="1" xfId="11" applyNumberFormat="1" applyFont="1" applyBorder="1" applyAlignment="1">
      <alignment horizontal="left" vertical="top" indent="1"/>
    </xf>
    <xf numFmtId="0" fontId="18" fillId="0" borderId="1" xfId="11" applyFont="1" applyBorder="1" applyAlignment="1">
      <alignment horizontal="left" vertical="top"/>
    </xf>
    <xf numFmtId="168" fontId="18" fillId="0" borderId="1" xfId="1" applyNumberFormat="1" applyFont="1" applyFill="1" applyBorder="1" applyAlignment="1" applyProtection="1">
      <alignment vertical="top"/>
    </xf>
    <xf numFmtId="3" fontId="18" fillId="0" borderId="1" xfId="0" applyNumberFormat="1" applyFont="1" applyBorder="1"/>
    <xf numFmtId="3" fontId="60" fillId="0" borderId="13" xfId="0" applyNumberFormat="1" applyFont="1" applyBorder="1"/>
    <xf numFmtId="10" fontId="18" fillId="0" borderId="0" xfId="1" applyNumberFormat="1" applyFont="1" applyProtection="1"/>
    <xf numFmtId="0" fontId="65" fillId="0" borderId="18" xfId="0" applyFont="1" applyBorder="1" applyAlignment="1">
      <alignment horizontal="left" vertical="center" wrapText="1" indent="2"/>
    </xf>
    <xf numFmtId="0" fontId="32" fillId="0" borderId="1" xfId="21" applyAlignment="1">
      <alignment horizontal="center" vertical="center" wrapText="1"/>
    </xf>
    <xf numFmtId="0" fontId="32" fillId="0" borderId="2" xfId="21" applyBorder="1" applyAlignment="1">
      <alignment horizontal="center" vertical="center" wrapText="1"/>
    </xf>
    <xf numFmtId="167" fontId="18" fillId="0" borderId="8" xfId="17" applyFont="1" applyBorder="1">
      <alignment vertical="center"/>
    </xf>
    <xf numFmtId="0" fontId="35" fillId="0" borderId="8" xfId="0" applyFont="1" applyBorder="1"/>
    <xf numFmtId="167" fontId="35" fillId="0" borderId="8" xfId="17" applyBorder="1">
      <alignment vertical="center"/>
    </xf>
    <xf numFmtId="9" fontId="18" fillId="0" borderId="1" xfId="1" applyFont="1" applyBorder="1" applyAlignment="1" applyProtection="1">
      <alignment wrapText="1"/>
    </xf>
    <xf numFmtId="10" fontId="18" fillId="0" borderId="4" xfId="1" applyNumberFormat="1" applyFont="1" applyFill="1" applyBorder="1" applyAlignment="1" applyProtection="1">
      <alignment vertical="top"/>
    </xf>
    <xf numFmtId="3" fontId="14" fillId="0" borderId="0" xfId="11" applyNumberFormat="1" applyFont="1"/>
    <xf numFmtId="10" fontId="41" fillId="0" borderId="3" xfId="1" applyNumberFormat="1" applyFont="1" applyFill="1" applyBorder="1" applyAlignment="1" applyProtection="1">
      <alignment horizontal="right" vertical="top"/>
    </xf>
    <xf numFmtId="10" fontId="18" fillId="0" borderId="8" xfId="1" applyNumberFormat="1" applyFont="1" applyFill="1" applyBorder="1" applyAlignment="1" applyProtection="1">
      <alignment vertical="top"/>
    </xf>
    <xf numFmtId="10" fontId="41" fillId="0" borderId="7" xfId="1" applyNumberFormat="1" applyFont="1" applyFill="1" applyBorder="1" applyAlignment="1" applyProtection="1">
      <alignment horizontal="right" vertical="top"/>
    </xf>
    <xf numFmtId="168" fontId="41" fillId="0" borderId="7" xfId="1" applyNumberFormat="1" applyFont="1" applyFill="1" applyBorder="1" applyAlignment="1" applyProtection="1">
      <alignment horizontal="right" vertical="top"/>
    </xf>
    <xf numFmtId="167" fontId="18" fillId="0" borderId="13" xfId="17" applyFont="1" applyBorder="1">
      <alignment vertical="center"/>
    </xf>
    <xf numFmtId="0" fontId="35" fillId="0" borderId="13" xfId="0" applyFont="1" applyBorder="1"/>
    <xf numFmtId="167" fontId="35" fillId="0" borderId="13" xfId="17" applyBorder="1">
      <alignment vertical="center"/>
    </xf>
    <xf numFmtId="167" fontId="41" fillId="0" borderId="13" xfId="17" applyFont="1" applyBorder="1">
      <alignment vertical="center"/>
    </xf>
    <xf numFmtId="9" fontId="35" fillId="0" borderId="4" xfId="1" applyFont="1" applyFill="1" applyBorder="1" applyAlignment="1">
      <alignment vertical="center"/>
    </xf>
    <xf numFmtId="9" fontId="35" fillId="0" borderId="8" xfId="1" applyFont="1" applyFill="1" applyBorder="1" applyAlignment="1">
      <alignment vertical="center"/>
    </xf>
    <xf numFmtId="167" fontId="18" fillId="0" borderId="4" xfId="17" applyFont="1" applyAlignment="1">
      <alignment vertical="center" wrapText="1"/>
    </xf>
    <xf numFmtId="0" fontId="30" fillId="0" borderId="0" xfId="11" applyFont="1" applyAlignment="1">
      <alignment vertical="center"/>
    </xf>
    <xf numFmtId="9" fontId="20" fillId="0" borderId="0" xfId="1" applyFont="1" applyFill="1" applyProtection="1"/>
    <xf numFmtId="49" fontId="18" fillId="0" borderId="0" xfId="0" applyNumberFormat="1" applyFont="1" applyAlignment="1">
      <alignment horizontal="left" vertical="center"/>
    </xf>
    <xf numFmtId="0" fontId="18" fillId="0" borderId="0" xfId="0" applyFont="1" applyAlignment="1">
      <alignment horizontal="right"/>
    </xf>
    <xf numFmtId="14" fontId="18" fillId="0" borderId="0" xfId="0" applyNumberFormat="1" applyFont="1" applyAlignment="1">
      <alignment horizontal="right"/>
    </xf>
    <xf numFmtId="0" fontId="32" fillId="0" borderId="2" xfId="21" applyBorder="1" applyAlignment="1">
      <alignment vertical="center"/>
    </xf>
    <xf numFmtId="0" fontId="32" fillId="0" borderId="2" xfId="21" applyBorder="1" applyAlignment="1">
      <alignment vertical="center" wrapText="1"/>
    </xf>
    <xf numFmtId="0" fontId="16" fillId="0" borderId="4" xfId="0" applyFont="1" applyBorder="1" applyAlignment="1">
      <alignment vertical="center" wrapText="1"/>
    </xf>
    <xf numFmtId="0" fontId="16" fillId="0" borderId="3" xfId="0" applyFont="1" applyBorder="1" applyAlignment="1">
      <alignment vertical="center" wrapText="1"/>
    </xf>
    <xf numFmtId="0" fontId="62" fillId="0" borderId="7" xfId="22" applyNumberFormat="1" applyFill="1" applyBorder="1" applyAlignment="1">
      <alignment vertical="center" wrapText="1"/>
    </xf>
    <xf numFmtId="0" fontId="25" fillId="0" borderId="0" xfId="0" applyFont="1" applyAlignment="1">
      <alignment wrapText="1"/>
    </xf>
    <xf numFmtId="0" fontId="79" fillId="0" borderId="0" xfId="0" applyFont="1" applyAlignment="1">
      <alignment vertical="center" wrapText="1"/>
    </xf>
    <xf numFmtId="0" fontId="65" fillId="0" borderId="0" xfId="0" applyFont="1" applyAlignment="1">
      <alignment vertical="center" wrapText="1"/>
    </xf>
    <xf numFmtId="0" fontId="65" fillId="0" borderId="0" xfId="0" applyFont="1" applyAlignment="1">
      <alignment horizontal="justify" vertical="center" wrapText="1"/>
    </xf>
    <xf numFmtId="0" fontId="65" fillId="0" borderId="7" xfId="0" applyFont="1" applyBorder="1" applyAlignment="1">
      <alignment vertical="center" wrapText="1"/>
    </xf>
    <xf numFmtId="0" fontId="25" fillId="0" borderId="7" xfId="0" applyFont="1" applyBorder="1"/>
    <xf numFmtId="0" fontId="65" fillId="0" borderId="4" xfId="0" applyFont="1" applyBorder="1" applyAlignment="1">
      <alignment vertical="center" wrapText="1"/>
    </xf>
    <xf numFmtId="0" fontId="25" fillId="0" borderId="4" xfId="0" applyFont="1" applyBorder="1"/>
    <xf numFmtId="0" fontId="25" fillId="0" borderId="4" xfId="0" applyFont="1" applyBorder="1" applyAlignment="1">
      <alignment vertical="top" wrapText="1"/>
    </xf>
    <xf numFmtId="0" fontId="79" fillId="0" borderId="4" xfId="0" applyFont="1" applyBorder="1" applyAlignment="1">
      <alignment vertical="center" wrapText="1"/>
    </xf>
    <xf numFmtId="0" fontId="65" fillId="0" borderId="4" xfId="0" applyFont="1" applyBorder="1" applyAlignment="1">
      <alignment horizontal="justify" vertical="center" wrapText="1"/>
    </xf>
    <xf numFmtId="0" fontId="25" fillId="0" borderId="4" xfId="0" applyFont="1" applyBorder="1" applyAlignment="1">
      <alignment wrapText="1"/>
    </xf>
    <xf numFmtId="0" fontId="19" fillId="0" borderId="0" xfId="0" applyFont="1" applyAlignment="1">
      <alignment wrapText="1"/>
    </xf>
    <xf numFmtId="0" fontId="146" fillId="0" borderId="0" xfId="7" applyAlignment="1">
      <alignment vertical="center" wrapText="1"/>
    </xf>
    <xf numFmtId="0" fontId="31" fillId="0" borderId="0" xfId="0" applyFont="1" applyAlignment="1">
      <alignment vertical="center" wrapText="1"/>
    </xf>
    <xf numFmtId="0" fontId="19" fillId="0" borderId="9" xfId="0" applyFont="1" applyBorder="1" applyAlignment="1">
      <alignment wrapText="1"/>
    </xf>
    <xf numFmtId="0" fontId="32" fillId="0" borderId="1" xfId="21" applyAlignment="1">
      <alignment wrapText="1"/>
    </xf>
    <xf numFmtId="0" fontId="32" fillId="0" borderId="0" xfId="10" applyFont="1" applyFill="1" applyBorder="1" applyAlignment="1">
      <alignment wrapText="1"/>
    </xf>
    <xf numFmtId="3" fontId="18" fillId="0" borderId="4" xfId="0" applyNumberFormat="1" applyFont="1" applyBorder="1" applyAlignment="1">
      <alignment horizontal="right" vertical="center" wrapText="1"/>
    </xf>
    <xf numFmtId="3" fontId="18" fillId="0" borderId="0" xfId="0" applyNumberFormat="1" applyFont="1" applyAlignment="1">
      <alignment vertical="center" wrapText="1"/>
    </xf>
    <xf numFmtId="3" fontId="18" fillId="0" borderId="1" xfId="0" applyNumberFormat="1" applyFont="1" applyBorder="1" applyAlignment="1">
      <alignment vertical="center" wrapText="1"/>
    </xf>
    <xf numFmtId="3" fontId="20" fillId="0" borderId="9" xfId="0" applyNumberFormat="1" applyFont="1" applyBorder="1" applyAlignment="1">
      <alignment vertical="center" wrapText="1"/>
    </xf>
    <xf numFmtId="3" fontId="28" fillId="0" borderId="1" xfId="0" applyNumberFormat="1" applyFont="1" applyBorder="1" applyAlignment="1">
      <alignment vertical="center" wrapText="1"/>
    </xf>
    <xf numFmtId="0" fontId="19" fillId="0" borderId="1" xfId="0" applyFont="1" applyBorder="1" applyAlignment="1">
      <alignment wrapText="1"/>
    </xf>
    <xf numFmtId="3" fontId="26" fillId="0" borderId="4" xfId="0" applyNumberFormat="1" applyFont="1" applyBorder="1" applyAlignment="1">
      <alignment vertical="center" wrapText="1"/>
    </xf>
    <xf numFmtId="3" fontId="20" fillId="0" borderId="1" xfId="0" applyNumberFormat="1" applyFont="1" applyBorder="1" applyAlignment="1">
      <alignment vertical="center" wrapText="1"/>
    </xf>
    <xf numFmtId="3" fontId="26" fillId="0" borderId="1" xfId="0" applyNumberFormat="1" applyFont="1" applyBorder="1" applyAlignment="1">
      <alignment vertical="center" wrapText="1"/>
    </xf>
    <xf numFmtId="0" fontId="20" fillId="0" borderId="0" xfId="11" applyFont="1" applyAlignment="1">
      <alignment wrapText="1"/>
    </xf>
    <xf numFmtId="0" fontId="20" fillId="0" borderId="13" xfId="11" applyFont="1" applyBorder="1" applyAlignment="1">
      <alignment wrapText="1"/>
    </xf>
    <xf numFmtId="1" fontId="25" fillId="0" borderId="4" xfId="0" applyNumberFormat="1" applyFont="1" applyBorder="1" applyAlignment="1">
      <alignment vertical="center" wrapText="1"/>
    </xf>
    <xf numFmtId="0" fontId="25" fillId="0" borderId="6" xfId="0" applyFont="1" applyBorder="1" applyAlignment="1">
      <alignment vertical="center" wrapText="1"/>
    </xf>
    <xf numFmtId="0" fontId="25" fillId="0" borderId="6" xfId="0" applyFont="1" applyBorder="1" applyAlignment="1">
      <alignment horizontal="center" vertical="center" wrapText="1"/>
    </xf>
    <xf numFmtId="0" fontId="0" fillId="0" borderId="1" xfId="0" applyBorder="1"/>
    <xf numFmtId="0" fontId="0" fillId="0" borderId="13" xfId="0" applyBorder="1"/>
    <xf numFmtId="0" fontId="17" fillId="0" borderId="6" xfId="0" applyFont="1" applyBorder="1" applyAlignment="1">
      <alignment vertical="center" wrapText="1"/>
    </xf>
    <xf numFmtId="0" fontId="67" fillId="0" borderId="6" xfId="0" applyFont="1" applyBorder="1" applyAlignment="1">
      <alignment horizontal="center" vertical="center" wrapText="1"/>
    </xf>
    <xf numFmtId="0" fontId="65" fillId="0" borderId="6" xfId="0" applyFont="1" applyBorder="1" applyAlignment="1">
      <alignment horizontal="center" vertical="center" wrapText="1"/>
    </xf>
    <xf numFmtId="0" fontId="17" fillId="0" borderId="8" xfId="0" applyFont="1" applyBorder="1" applyAlignment="1">
      <alignment vertical="center" wrapText="1"/>
    </xf>
    <xf numFmtId="0" fontId="67" fillId="0" borderId="8" xfId="0" applyFont="1" applyBorder="1" applyAlignment="1">
      <alignment horizontal="center" vertical="center" wrapText="1"/>
    </xf>
    <xf numFmtId="0" fontId="65" fillId="0" borderId="8" xfId="0" applyFont="1" applyBorder="1" applyAlignment="1">
      <alignment horizontal="center" vertical="center" wrapText="1"/>
    </xf>
    <xf numFmtId="0" fontId="76" fillId="0" borderId="13" xfId="0" applyFont="1" applyBorder="1"/>
    <xf numFmtId="0" fontId="25" fillId="0" borderId="13" xfId="0" applyFont="1" applyBorder="1" applyAlignment="1">
      <alignment horizontal="center"/>
    </xf>
    <xf numFmtId="0" fontId="25" fillId="0" borderId="1" xfId="0" applyFont="1" applyBorder="1" applyAlignment="1">
      <alignment vertical="center" wrapText="1"/>
    </xf>
    <xf numFmtId="0" fontId="73" fillId="0" borderId="0" xfId="0" applyFont="1"/>
    <xf numFmtId="0" fontId="80" fillId="0" borderId="1" xfId="21" applyFont="1"/>
    <xf numFmtId="0" fontId="81" fillId="0" borderId="0" xfId="0" applyFont="1"/>
    <xf numFmtId="0" fontId="82" fillId="0" borderId="0" xfId="0" applyFont="1" applyAlignment="1">
      <alignment vertical="center"/>
    </xf>
    <xf numFmtId="0" fontId="25" fillId="0" borderId="4" xfId="0" applyFont="1" applyBorder="1" applyAlignment="1">
      <alignment horizontal="center" vertical="center"/>
    </xf>
    <xf numFmtId="0" fontId="79" fillId="0" borderId="4" xfId="0" applyFont="1" applyBorder="1" applyAlignment="1">
      <alignment horizontal="center" vertical="center" wrapText="1"/>
    </xf>
    <xf numFmtId="168" fontId="25" fillId="0" borderId="4" xfId="1" applyNumberFormat="1" applyFont="1" applyBorder="1" applyAlignment="1">
      <alignment vertical="center"/>
    </xf>
    <xf numFmtId="168" fontId="25" fillId="0" borderId="4" xfId="0" applyNumberFormat="1" applyFont="1" applyBorder="1" applyAlignment="1">
      <alignment vertical="center"/>
    </xf>
    <xf numFmtId="10" fontId="25" fillId="0" borderId="4" xfId="1" applyNumberFormat="1" applyFont="1" applyBorder="1" applyAlignment="1">
      <alignment vertical="center"/>
    </xf>
    <xf numFmtId="1" fontId="83" fillId="0" borderId="4" xfId="0" applyNumberFormat="1" applyFont="1" applyBorder="1" applyAlignment="1">
      <alignment vertical="center" wrapText="1"/>
    </xf>
    <xf numFmtId="168" fontId="83" fillId="0" borderId="4" xfId="1" applyNumberFormat="1" applyFont="1" applyBorder="1" applyAlignment="1">
      <alignment vertical="center" wrapText="1"/>
    </xf>
    <xf numFmtId="168" fontId="83" fillId="0" borderId="4" xfId="0" applyNumberFormat="1" applyFont="1" applyBorder="1" applyAlignment="1">
      <alignment vertical="center"/>
    </xf>
    <xf numFmtId="2" fontId="25" fillId="0" borderId="0" xfId="0" applyNumberFormat="1" applyFont="1"/>
    <xf numFmtId="0" fontId="84" fillId="0" borderId="0" xfId="0" applyFont="1"/>
    <xf numFmtId="0" fontId="75" fillId="0" borderId="4" xfId="0" applyFont="1" applyBorder="1" applyAlignment="1">
      <alignment vertical="center"/>
    </xf>
    <xf numFmtId="0" fontId="75" fillId="0" borderId="4" xfId="0" applyFont="1" applyBorder="1" applyAlignment="1">
      <alignment horizontal="left" vertical="center"/>
    </xf>
    <xf numFmtId="0" fontId="25" fillId="0" borderId="0" xfId="11" applyFont="1"/>
    <xf numFmtId="9" fontId="25" fillId="0" borderId="0" xfId="1" applyFont="1"/>
    <xf numFmtId="0" fontId="25" fillId="0" borderId="0" xfId="11" applyFont="1" applyAlignment="1">
      <alignment wrapText="1"/>
    </xf>
    <xf numFmtId="0" fontId="25" fillId="0" borderId="7" xfId="0" applyFont="1" applyBorder="1" applyAlignment="1">
      <alignment horizontal="left" vertical="center"/>
    </xf>
    <xf numFmtId="0" fontId="25" fillId="0" borderId="7" xfId="0" applyFont="1" applyBorder="1" applyAlignment="1">
      <alignment vertical="center"/>
    </xf>
    <xf numFmtId="0" fontId="25" fillId="0" borderId="7" xfId="0" applyFont="1" applyBorder="1" applyAlignment="1">
      <alignment vertical="center" wrapText="1"/>
    </xf>
    <xf numFmtId="0" fontId="25" fillId="0" borderId="3" xfId="0" applyFont="1" applyBorder="1" applyAlignment="1">
      <alignment horizontal="left" vertical="center"/>
    </xf>
    <xf numFmtId="0" fontId="25" fillId="0" borderId="3" xfId="0" applyFont="1" applyBorder="1" applyAlignment="1">
      <alignment vertical="center"/>
    </xf>
    <xf numFmtId="0" fontId="25" fillId="0" borderId="4" xfId="0" applyFont="1" applyBorder="1" applyAlignment="1">
      <alignment vertical="center"/>
    </xf>
    <xf numFmtId="2" fontId="25" fillId="0" borderId="0" xfId="0" applyNumberFormat="1" applyFont="1" applyAlignment="1">
      <alignment wrapText="1"/>
    </xf>
    <xf numFmtId="3" fontId="25" fillId="0" borderId="7" xfId="0" applyNumberFormat="1" applyFont="1" applyBorder="1" applyAlignment="1">
      <alignment vertical="center"/>
    </xf>
    <xf numFmtId="3" fontId="25" fillId="0" borderId="4" xfId="0" applyNumberFormat="1" applyFont="1" applyBorder="1" applyAlignment="1">
      <alignment vertical="center"/>
    </xf>
    <xf numFmtId="0" fontId="51" fillId="0" borderId="3" xfId="0" applyFont="1" applyBorder="1" applyAlignment="1">
      <alignment vertical="center"/>
    </xf>
    <xf numFmtId="3" fontId="25" fillId="0" borderId="2" xfId="0" applyNumberFormat="1" applyFont="1" applyBorder="1"/>
    <xf numFmtId="3" fontId="84" fillId="0" borderId="2" xfId="11" applyNumberFormat="1" applyFont="1" applyBorder="1" applyAlignment="1">
      <alignment vertical="top"/>
    </xf>
    <xf numFmtId="0" fontId="18" fillId="0" borderId="3" xfId="0" applyFont="1" applyBorder="1" applyAlignment="1">
      <alignment horizontal="left" vertical="center" wrapText="1"/>
    </xf>
    <xf numFmtId="0" fontId="75" fillId="0" borderId="3" xfId="0" applyFont="1" applyBorder="1" applyAlignment="1">
      <alignment horizontal="left" vertical="center" wrapText="1"/>
    </xf>
    <xf numFmtId="0" fontId="75" fillId="0" borderId="3" xfId="0" applyFont="1" applyBorder="1" applyAlignment="1">
      <alignment vertical="center"/>
    </xf>
    <xf numFmtId="0" fontId="18" fillId="0" borderId="2" xfId="0" applyFont="1" applyBorder="1" applyAlignment="1">
      <alignment horizontal="left" vertical="center"/>
    </xf>
    <xf numFmtId="0" fontId="18" fillId="0" borderId="2" xfId="0" applyFont="1" applyBorder="1" applyAlignment="1">
      <alignment vertical="center"/>
    </xf>
    <xf numFmtId="0" fontId="42" fillId="0" borderId="2" xfId="11" applyFont="1" applyBorder="1" applyAlignment="1">
      <alignment wrapText="1"/>
    </xf>
    <xf numFmtId="0" fontId="18" fillId="0" borderId="2" xfId="0" applyFont="1" applyBorder="1" applyAlignment="1">
      <alignment horizontal="left" vertical="center" wrapText="1"/>
    </xf>
    <xf numFmtId="0" fontId="86" fillId="0" borderId="0" xfId="0" applyFont="1" applyAlignment="1">
      <alignment horizontal="right"/>
    </xf>
    <xf numFmtId="14" fontId="86" fillId="0" borderId="0" xfId="0" applyNumberFormat="1" applyFont="1" applyAlignment="1">
      <alignment horizontal="right"/>
    </xf>
    <xf numFmtId="0" fontId="87" fillId="0" borderId="0" xfId="0" applyFont="1" applyAlignment="1">
      <alignment horizontal="left"/>
    </xf>
    <xf numFmtId="0" fontId="87" fillId="0" borderId="1" xfId="11" applyFont="1" applyBorder="1" applyAlignment="1">
      <alignment horizontal="left"/>
    </xf>
    <xf numFmtId="0" fontId="87" fillId="0" borderId="1" xfId="11" applyFont="1" applyBorder="1"/>
    <xf numFmtId="0" fontId="87" fillId="0" borderId="1" xfId="11" applyFont="1" applyBorder="1" applyAlignment="1">
      <alignment wrapText="1"/>
    </xf>
    <xf numFmtId="0" fontId="87" fillId="0" borderId="0" xfId="11" applyFont="1" applyAlignment="1">
      <alignment horizontal="left" vertical="top"/>
    </xf>
    <xf numFmtId="0" fontId="87" fillId="0" borderId="0" xfId="11" applyFont="1" applyAlignment="1">
      <alignment vertical="top"/>
    </xf>
    <xf numFmtId="3" fontId="87" fillId="0" borderId="1" xfId="0" applyNumberFormat="1" applyFont="1" applyBorder="1"/>
    <xf numFmtId="0" fontId="87" fillId="0" borderId="2" xfId="11" applyFont="1" applyBorder="1" applyAlignment="1">
      <alignment horizontal="left" vertical="top"/>
    </xf>
    <xf numFmtId="0" fontId="87" fillId="0" borderId="2" xfId="11" applyFont="1" applyBorder="1" applyAlignment="1">
      <alignment vertical="top"/>
    </xf>
    <xf numFmtId="170" fontId="88" fillId="0" borderId="2" xfId="2" applyNumberFormat="1" applyFont="1" applyFill="1" applyBorder="1" applyAlignment="1" applyProtection="1">
      <alignment horizontal="right" vertical="top"/>
    </xf>
    <xf numFmtId="10" fontId="87" fillId="0" borderId="0" xfId="1" applyNumberFormat="1" applyFont="1" applyFill="1" applyAlignment="1">
      <alignment vertical="top"/>
    </xf>
    <xf numFmtId="0" fontId="18" fillId="0" borderId="0" xfId="11" applyFont="1" applyAlignment="1">
      <alignment vertical="top" wrapText="1"/>
    </xf>
    <xf numFmtId="0" fontId="91" fillId="0" borderId="1" xfId="11" applyFont="1" applyBorder="1"/>
    <xf numFmtId="168" fontId="93" fillId="0" borderId="0" xfId="1" applyNumberFormat="1" applyFont="1" applyFill="1" applyBorder="1" applyAlignment="1" applyProtection="1">
      <alignment vertical="top"/>
    </xf>
    <xf numFmtId="3" fontId="87" fillId="0" borderId="1" xfId="11" applyNumberFormat="1" applyFont="1" applyBorder="1" applyAlignment="1">
      <alignment vertical="top"/>
    </xf>
    <xf numFmtId="168" fontId="87" fillId="0" borderId="2" xfId="1" applyNumberFormat="1" applyFont="1" applyFill="1" applyBorder="1" applyAlignment="1" applyProtection="1">
      <alignment vertical="top"/>
    </xf>
    <xf numFmtId="1" fontId="87" fillId="0" borderId="2" xfId="1" applyNumberFormat="1" applyFont="1" applyFill="1" applyBorder="1" applyAlignment="1" applyProtection="1">
      <alignment vertical="top"/>
    </xf>
    <xf numFmtId="169" fontId="87" fillId="0" borderId="2" xfId="1" applyNumberFormat="1" applyFont="1" applyFill="1" applyBorder="1" applyAlignment="1" applyProtection="1">
      <alignment vertical="top"/>
    </xf>
    <xf numFmtId="0" fontId="91" fillId="0" borderId="0" xfId="11" applyFont="1" applyAlignment="1">
      <alignment vertical="top"/>
    </xf>
    <xf numFmtId="9" fontId="87" fillId="0" borderId="0" xfId="1" applyFont="1" applyFill="1" applyAlignment="1" applyProtection="1">
      <alignment horizontal="right" vertical="top"/>
    </xf>
    <xf numFmtId="10" fontId="87" fillId="0" borderId="0" xfId="1" applyNumberFormat="1" applyFont="1" applyFill="1" applyBorder="1" applyAlignment="1" applyProtection="1">
      <alignment vertical="top"/>
    </xf>
    <xf numFmtId="0" fontId="88" fillId="0" borderId="2" xfId="0" applyFont="1" applyBorder="1" applyAlignment="1">
      <alignment vertical="center"/>
    </xf>
    <xf numFmtId="0" fontId="87" fillId="0" borderId="2" xfId="0" applyFont="1" applyBorder="1" applyAlignment="1">
      <alignment vertical="center"/>
    </xf>
    <xf numFmtId="49" fontId="92" fillId="0" borderId="16" xfId="0" applyNumberFormat="1" applyFont="1" applyBorder="1" applyAlignment="1">
      <alignment horizontal="left" vertical="center"/>
    </xf>
    <xf numFmtId="0" fontId="92" fillId="0" borderId="16" xfId="0" applyFont="1" applyBorder="1" applyAlignment="1">
      <alignment vertical="center"/>
    </xf>
    <xf numFmtId="10" fontId="87" fillId="0" borderId="0" xfId="1" applyNumberFormat="1" applyFont="1" applyProtection="1"/>
    <xf numFmtId="49" fontId="92" fillId="0" borderId="16" xfId="11" applyNumberFormat="1" applyFont="1" applyBorder="1" applyAlignment="1">
      <alignment horizontal="left" vertical="center"/>
    </xf>
    <xf numFmtId="0" fontId="92" fillId="0" borderId="16" xfId="11" applyFont="1" applyBorder="1" applyAlignment="1">
      <alignment vertical="center"/>
    </xf>
    <xf numFmtId="49" fontId="92" fillId="0" borderId="12" xfId="11" applyNumberFormat="1" applyFont="1" applyBorder="1" applyAlignment="1">
      <alignment horizontal="left" vertical="center"/>
    </xf>
    <xf numFmtId="0" fontId="92" fillId="0" borderId="12" xfId="11" applyFont="1" applyBorder="1" applyAlignment="1">
      <alignment vertical="center"/>
    </xf>
    <xf numFmtId="3" fontId="92" fillId="0" borderId="16" xfId="11" applyNumberFormat="1" applyFont="1" applyBorder="1" applyAlignment="1">
      <alignment vertical="center"/>
    </xf>
    <xf numFmtId="49" fontId="92" fillId="0" borderId="17" xfId="11" applyNumberFormat="1" applyFont="1" applyBorder="1" applyAlignment="1">
      <alignment horizontal="left" vertical="center"/>
    </xf>
    <xf numFmtId="0" fontId="87" fillId="0" borderId="0" xfId="0" applyFont="1"/>
    <xf numFmtId="10" fontId="87" fillId="0" borderId="0" xfId="1" applyNumberFormat="1" applyFont="1" applyAlignment="1" applyProtection="1">
      <alignment horizontal="right" vertical="center"/>
    </xf>
    <xf numFmtId="10" fontId="87" fillId="0" borderId="0" xfId="0" applyNumberFormat="1" applyFont="1" applyAlignment="1">
      <alignment horizontal="right" vertical="center"/>
    </xf>
    <xf numFmtId="0" fontId="87" fillId="0" borderId="0" xfId="0" applyFont="1" applyAlignment="1">
      <alignment horizontal="right" vertical="center"/>
    </xf>
    <xf numFmtId="3" fontId="96" fillId="0" borderId="1" xfId="11" applyNumberFormat="1" applyFont="1" applyBorder="1" applyAlignment="1">
      <alignment vertical="top"/>
    </xf>
    <xf numFmtId="171" fontId="94" fillId="0" borderId="2" xfId="1" applyNumberFormat="1" applyFont="1" applyFill="1" applyBorder="1" applyAlignment="1" applyProtection="1">
      <alignment vertical="top"/>
    </xf>
    <xf numFmtId="0" fontId="25" fillId="0" borderId="18" xfId="0" applyFont="1" applyBorder="1" applyAlignment="1">
      <alignment horizontal="right" vertical="center" wrapText="1"/>
    </xf>
    <xf numFmtId="0" fontId="25" fillId="0" borderId="8" xfId="0" applyFont="1" applyBorder="1" applyAlignment="1">
      <alignment horizontal="center" vertical="center" wrapText="1"/>
    </xf>
    <xf numFmtId="167" fontId="61" fillId="0" borderId="3" xfId="17" applyFont="1" applyBorder="1">
      <alignment vertical="center"/>
    </xf>
    <xf numFmtId="0" fontId="25" fillId="0" borderId="0" xfId="0" applyFont="1" applyAlignment="1">
      <alignment horizontal="right" vertical="center" wrapText="1"/>
    </xf>
    <xf numFmtId="0" fontId="25" fillId="0" borderId="22" xfId="0" applyFont="1" applyBorder="1" applyAlignment="1">
      <alignment vertical="center" wrapText="1"/>
    </xf>
    <xf numFmtId="0" fontId="25" fillId="0" borderId="22" xfId="0" applyFont="1" applyBorder="1" applyAlignment="1">
      <alignment horizontal="center" vertical="center" wrapText="1"/>
    </xf>
    <xf numFmtId="0" fontId="65" fillId="0" borderId="22" xfId="0" applyFont="1" applyBorder="1" applyAlignment="1">
      <alignment horizontal="center" vertical="center" wrapText="1"/>
    </xf>
    <xf numFmtId="49" fontId="89" fillId="0" borderId="0" xfId="11" applyNumberFormat="1" applyFont="1" applyAlignment="1">
      <alignment horizontal="left" vertical="center"/>
    </xf>
    <xf numFmtId="2" fontId="89" fillId="0" borderId="3" xfId="11" applyNumberFormat="1" applyFont="1" applyBorder="1" applyAlignment="1">
      <alignment horizontal="left" vertical="center"/>
    </xf>
    <xf numFmtId="0" fontId="89" fillId="0" borderId="3" xfId="11" applyFont="1" applyBorder="1" applyAlignment="1">
      <alignment horizontal="left" vertical="center"/>
    </xf>
    <xf numFmtId="168" fontId="89" fillId="0" borderId="3" xfId="1" applyNumberFormat="1" applyFont="1" applyFill="1" applyBorder="1" applyAlignment="1" applyProtection="1">
      <alignment vertical="center"/>
    </xf>
    <xf numFmtId="3" fontId="89" fillId="0" borderId="3" xfId="0" applyNumberFormat="1" applyFont="1" applyBorder="1" applyAlignment="1">
      <alignment vertical="center"/>
    </xf>
    <xf numFmtId="3" fontId="89" fillId="0" borderId="3" xfId="11" applyNumberFormat="1" applyFont="1" applyBorder="1" applyAlignment="1">
      <alignment vertical="center"/>
    </xf>
    <xf numFmtId="0" fontId="25" fillId="0" borderId="0" xfId="11" applyFont="1" applyAlignment="1">
      <alignment vertical="center"/>
    </xf>
    <xf numFmtId="0" fontId="89" fillId="0" borderId="4" xfId="11" applyFont="1" applyBorder="1" applyAlignment="1">
      <alignment horizontal="left" vertical="center"/>
    </xf>
    <xf numFmtId="168" fontId="89" fillId="0" borderId="4" xfId="1" applyNumberFormat="1" applyFont="1" applyFill="1" applyBorder="1" applyAlignment="1" applyProtection="1">
      <alignment vertical="center"/>
    </xf>
    <xf numFmtId="3" fontId="89" fillId="0" borderId="4" xfId="0" applyNumberFormat="1" applyFont="1" applyBorder="1" applyAlignment="1">
      <alignment vertical="center"/>
    </xf>
    <xf numFmtId="3" fontId="89" fillId="0" borderId="4" xfId="11" applyNumberFormat="1" applyFont="1" applyBorder="1" applyAlignment="1">
      <alignment vertical="center"/>
    </xf>
    <xf numFmtId="0" fontId="89" fillId="0" borderId="1" xfId="11" applyFont="1" applyBorder="1" applyAlignment="1">
      <alignment wrapText="1"/>
    </xf>
    <xf numFmtId="0" fontId="99" fillId="0" borderId="1" xfId="11" applyFont="1" applyBorder="1"/>
    <xf numFmtId="0" fontId="25" fillId="0" borderId="0" xfId="0" applyFont="1" applyAlignment="1">
      <alignment horizontal="right" vertical="center"/>
    </xf>
    <xf numFmtId="49" fontId="100" fillId="0" borderId="0" xfId="11" applyNumberFormat="1" applyFont="1" applyAlignment="1">
      <alignment horizontal="left" vertical="center"/>
    </xf>
    <xf numFmtId="0" fontId="100" fillId="0" borderId="4" xfId="11" applyFont="1" applyBorder="1" applyAlignment="1">
      <alignment horizontal="left" vertical="center"/>
    </xf>
    <xf numFmtId="168" fontId="100" fillId="0" borderId="4" xfId="1" applyNumberFormat="1" applyFont="1" applyFill="1" applyBorder="1" applyAlignment="1" applyProtection="1">
      <alignment vertical="center"/>
    </xf>
    <xf numFmtId="3" fontId="100" fillId="0" borderId="4" xfId="0" applyNumberFormat="1" applyFont="1" applyBorder="1" applyAlignment="1">
      <alignment vertical="center"/>
    </xf>
    <xf numFmtId="0" fontId="101" fillId="0" borderId="0" xfId="11" applyFont="1" applyAlignment="1">
      <alignment vertical="center"/>
    </xf>
    <xf numFmtId="49" fontId="89" fillId="0" borderId="21" xfId="11" applyNumberFormat="1" applyFont="1" applyBorder="1" applyAlignment="1">
      <alignment horizontal="left" vertical="center"/>
    </xf>
    <xf numFmtId="49" fontId="89" fillId="0" borderId="3" xfId="11" applyNumberFormat="1" applyFont="1" applyBorder="1" applyAlignment="1">
      <alignment horizontal="left" vertical="center"/>
    </xf>
    <xf numFmtId="0" fontId="100" fillId="0" borderId="11" xfId="11" applyFont="1" applyBorder="1" applyAlignment="1">
      <alignment horizontal="left" vertical="center"/>
    </xf>
    <xf numFmtId="168" fontId="100" fillId="0" borderId="11" xfId="1" applyNumberFormat="1" applyFont="1" applyFill="1" applyBorder="1" applyAlignment="1" applyProtection="1">
      <alignment vertical="center"/>
    </xf>
    <xf numFmtId="3" fontId="100" fillId="0" borderId="11" xfId="0" applyNumberFormat="1" applyFont="1" applyBorder="1" applyAlignment="1">
      <alignment vertical="center"/>
    </xf>
    <xf numFmtId="0" fontId="89" fillId="0" borderId="1" xfId="11" applyFont="1" applyBorder="1" applyAlignment="1">
      <alignment horizontal="left"/>
    </xf>
    <xf numFmtId="0" fontId="89" fillId="0" borderId="1" xfId="11" applyFont="1" applyBorder="1"/>
    <xf numFmtId="2" fontId="89" fillId="0" borderId="1" xfId="11" applyNumberFormat="1" applyFont="1" applyBorder="1" applyAlignment="1">
      <alignment horizontal="right" textRotation="90" wrapText="1"/>
    </xf>
    <xf numFmtId="3" fontId="89" fillId="0" borderId="1" xfId="11" applyNumberFormat="1" applyFont="1" applyBorder="1" applyAlignment="1">
      <alignment horizontal="right" textRotation="90" wrapText="1"/>
    </xf>
    <xf numFmtId="0" fontId="89" fillId="0" borderId="0" xfId="11" applyFont="1"/>
    <xf numFmtId="0" fontId="73" fillId="0" borderId="0" xfId="11" applyFont="1" applyAlignment="1">
      <alignment vertical="center"/>
    </xf>
    <xf numFmtId="3" fontId="102" fillId="0" borderId="12" xfId="11" applyNumberFormat="1" applyFont="1" applyBorder="1" applyAlignment="1">
      <alignment vertical="center"/>
    </xf>
    <xf numFmtId="49" fontId="102" fillId="0" borderId="12" xfId="0" applyNumberFormat="1" applyFont="1" applyBorder="1" applyAlignment="1">
      <alignment horizontal="left" vertical="center"/>
    </xf>
    <xf numFmtId="49" fontId="102" fillId="0" borderId="12" xfId="11" applyNumberFormat="1" applyFont="1" applyBorder="1" applyAlignment="1">
      <alignment horizontal="left" vertical="center"/>
    </xf>
    <xf numFmtId="0" fontId="18" fillId="0" borderId="0" xfId="0" applyFont="1" applyAlignment="1">
      <alignment horizontal="right" vertical="center" wrapText="1"/>
    </xf>
    <xf numFmtId="0" fontId="61" fillId="0" borderId="0" xfId="0" applyFont="1"/>
    <xf numFmtId="10" fontId="18" fillId="0" borderId="6" xfId="1" applyNumberFormat="1" applyFont="1" applyFill="1" applyBorder="1" applyAlignment="1" applyProtection="1">
      <alignment vertical="top"/>
    </xf>
    <xf numFmtId="10" fontId="18" fillId="0" borderId="4" xfId="1" applyNumberFormat="1" applyFont="1" applyFill="1" applyBorder="1" applyAlignment="1" applyProtection="1">
      <alignment horizontal="right" vertical="top"/>
    </xf>
    <xf numFmtId="10" fontId="18" fillId="0" borderId="6" xfId="1" applyNumberFormat="1" applyFont="1" applyFill="1" applyBorder="1" applyAlignment="1" applyProtection="1">
      <alignment horizontal="right" vertical="top"/>
    </xf>
    <xf numFmtId="2" fontId="35" fillId="0" borderId="4" xfId="1" applyNumberFormat="1" applyFont="1" applyFill="1" applyBorder="1" applyAlignment="1">
      <alignment vertical="center"/>
    </xf>
    <xf numFmtId="0" fontId="20" fillId="13" borderId="4" xfId="0" applyFont="1" applyFill="1" applyBorder="1" applyAlignment="1" applyProtection="1">
      <alignment wrapText="1"/>
      <protection locked="0"/>
    </xf>
    <xf numFmtId="49" fontId="20" fillId="13" borderId="4" xfId="0" applyNumberFormat="1" applyFont="1" applyFill="1" applyBorder="1" applyAlignment="1" applyProtection="1">
      <alignment wrapText="1"/>
      <protection locked="0"/>
    </xf>
    <xf numFmtId="0" fontId="77" fillId="13" borderId="4" xfId="0" applyFont="1" applyFill="1" applyBorder="1" applyAlignment="1" applyProtection="1">
      <alignment wrapText="1"/>
      <protection locked="0"/>
    </xf>
    <xf numFmtId="0" fontId="20" fillId="13" borderId="4" xfId="0" applyFont="1" applyFill="1" applyBorder="1" applyProtection="1">
      <protection locked="0"/>
    </xf>
    <xf numFmtId="49" fontId="20" fillId="13" borderId="4" xfId="0" applyNumberFormat="1" applyFont="1" applyFill="1" applyBorder="1" applyProtection="1">
      <protection locked="0"/>
    </xf>
    <xf numFmtId="14" fontId="20" fillId="13" borderId="4" xfId="0" applyNumberFormat="1" applyFont="1" applyFill="1" applyBorder="1" applyAlignment="1" applyProtection="1">
      <alignment horizontal="left"/>
      <protection locked="0"/>
    </xf>
    <xf numFmtId="3" fontId="59" fillId="13" borderId="4" xfId="0" applyNumberFormat="1" applyFont="1" applyFill="1" applyBorder="1" applyAlignment="1" applyProtection="1">
      <alignment vertical="center" wrapText="1"/>
      <protection locked="0"/>
    </xf>
    <xf numFmtId="0" fontId="104" fillId="0" borderId="4" xfId="9" applyNumberFormat="1" applyFont="1" applyBorder="1" applyAlignment="1">
      <alignment horizontal="left" vertical="center"/>
    </xf>
    <xf numFmtId="3" fontId="105" fillId="0" borderId="4" xfId="0" applyNumberFormat="1" applyFont="1" applyBorder="1" applyAlignment="1">
      <alignment horizontal="right" wrapText="1"/>
    </xf>
    <xf numFmtId="175" fontId="105" fillId="0" borderId="4" xfId="0" applyNumberFormat="1" applyFont="1" applyBorder="1" applyAlignment="1">
      <alignment horizontal="right" wrapText="1"/>
    </xf>
    <xf numFmtId="0" fontId="105" fillId="0" borderId="0" xfId="0" applyFont="1"/>
    <xf numFmtId="0" fontId="86" fillId="0" borderId="4" xfId="0" applyFont="1" applyBorder="1" applyAlignment="1">
      <alignment vertical="center"/>
    </xf>
    <xf numFmtId="0" fontId="86" fillId="0" borderId="3" xfId="0" applyFont="1" applyBorder="1" applyAlignment="1">
      <alignment vertical="center"/>
    </xf>
    <xf numFmtId="3" fontId="35" fillId="0" borderId="0" xfId="0" applyNumberFormat="1" applyFont="1"/>
    <xf numFmtId="0" fontId="86" fillId="0" borderId="0" xfId="0" applyFont="1" applyAlignment="1">
      <alignment vertical="center"/>
    </xf>
    <xf numFmtId="0" fontId="53" fillId="0" borderId="4" xfId="0" applyFont="1" applyBorder="1" applyAlignment="1">
      <alignment vertical="center"/>
    </xf>
    <xf numFmtId="0" fontId="105" fillId="0" borderId="4" xfId="0" applyFont="1" applyBorder="1"/>
    <xf numFmtId="172" fontId="99" fillId="0" borderId="3" xfId="11" applyNumberFormat="1" applyFont="1" applyBorder="1" applyAlignment="1">
      <alignment vertical="center"/>
    </xf>
    <xf numFmtId="172" fontId="99" fillId="0" borderId="4" xfId="11" applyNumberFormat="1" applyFont="1" applyBorder="1" applyAlignment="1">
      <alignment vertical="center"/>
    </xf>
    <xf numFmtId="0" fontId="102" fillId="0" borderId="12" xfId="0" applyFont="1" applyBorder="1" applyAlignment="1">
      <alignment vertical="center"/>
    </xf>
    <xf numFmtId="168" fontId="102" fillId="0" borderId="12" xfId="1" applyNumberFormat="1" applyFont="1" applyFill="1" applyBorder="1" applyAlignment="1" applyProtection="1">
      <alignment horizontal="right" vertical="center"/>
    </xf>
    <xf numFmtId="0" fontId="102" fillId="0" borderId="12" xfId="11" applyFont="1" applyBorder="1" applyAlignment="1">
      <alignment vertical="center"/>
    </xf>
    <xf numFmtId="172" fontId="107" fillId="0" borderId="12" xfId="1" applyNumberFormat="1" applyFont="1" applyFill="1" applyBorder="1" applyAlignment="1" applyProtection="1">
      <alignment horizontal="right" vertical="center"/>
    </xf>
    <xf numFmtId="168" fontId="102" fillId="0" borderId="12" xfId="1" applyNumberFormat="1" applyFont="1" applyFill="1" applyBorder="1" applyAlignment="1" applyProtection="1">
      <alignment vertical="center"/>
    </xf>
    <xf numFmtId="3" fontId="102" fillId="0" borderId="12" xfId="0" applyNumberFormat="1" applyFont="1" applyBorder="1" applyAlignment="1">
      <alignment vertical="center"/>
    </xf>
    <xf numFmtId="172" fontId="107" fillId="0" borderId="12" xfId="11" applyNumberFormat="1" applyFont="1" applyBorder="1" applyAlignment="1">
      <alignment vertical="center"/>
    </xf>
    <xf numFmtId="3" fontId="102" fillId="0" borderId="1" xfId="11" applyNumberFormat="1" applyFont="1" applyBorder="1" applyAlignment="1">
      <alignment vertical="center"/>
    </xf>
    <xf numFmtId="168" fontId="102" fillId="0" borderId="1" xfId="1" applyNumberFormat="1" applyFont="1" applyFill="1" applyBorder="1" applyAlignment="1" applyProtection="1">
      <alignment vertical="center"/>
    </xf>
    <xf numFmtId="3" fontId="102" fillId="0" borderId="1" xfId="0" applyNumberFormat="1" applyFont="1" applyBorder="1" applyAlignment="1">
      <alignment vertical="center"/>
    </xf>
    <xf numFmtId="172" fontId="107" fillId="0" borderId="1" xfId="11" applyNumberFormat="1" applyFont="1" applyBorder="1" applyAlignment="1">
      <alignment vertical="center"/>
    </xf>
    <xf numFmtId="0" fontId="102" fillId="0" borderId="12" xfId="11" applyFont="1" applyBorder="1" applyAlignment="1">
      <alignment horizontal="left" vertical="center"/>
    </xf>
    <xf numFmtId="174" fontId="61" fillId="0" borderId="4" xfId="17" applyNumberFormat="1" applyFont="1">
      <alignment vertical="center"/>
    </xf>
    <xf numFmtId="49" fontId="146" fillId="0" borderId="0" xfId="7" applyNumberFormat="1" applyAlignment="1"/>
    <xf numFmtId="174" fontId="25" fillId="0" borderId="4" xfId="17" applyNumberFormat="1" applyFont="1" applyAlignment="1">
      <alignment horizontal="right" vertical="center"/>
    </xf>
    <xf numFmtId="3" fontId="86" fillId="0" borderId="0" xfId="0" applyNumberFormat="1" applyFont="1" applyAlignment="1">
      <alignment vertical="center" wrapText="1"/>
    </xf>
    <xf numFmtId="3" fontId="86" fillId="0" borderId="0" xfId="0" applyNumberFormat="1" applyFont="1" applyAlignment="1">
      <alignment vertical="center"/>
    </xf>
    <xf numFmtId="10" fontId="86" fillId="0" borderId="0" xfId="1" applyNumberFormat="1" applyFont="1" applyFill="1" applyBorder="1" applyAlignment="1" applyProtection="1">
      <alignment vertical="center"/>
    </xf>
    <xf numFmtId="0" fontId="86" fillId="0" borderId="0" xfId="0" applyFont="1" applyAlignment="1">
      <alignment horizontal="left" vertical="center" indent="2"/>
    </xf>
    <xf numFmtId="0" fontId="83" fillId="0" borderId="3" xfId="0" applyFont="1" applyBorder="1" applyAlignment="1">
      <alignment vertical="center"/>
    </xf>
    <xf numFmtId="2" fontId="109" fillId="0" borderId="3" xfId="0" applyNumberFormat="1" applyFont="1" applyBorder="1"/>
    <xf numFmtId="2" fontId="109" fillId="0" borderId="4" xfId="0" applyNumberFormat="1" applyFont="1" applyBorder="1"/>
    <xf numFmtId="3" fontId="109" fillId="0" borderId="4" xfId="0" applyNumberFormat="1" applyFont="1" applyBorder="1" applyAlignment="1">
      <alignment wrapText="1"/>
    </xf>
    <xf numFmtId="2" fontId="109" fillId="0" borderId="0" xfId="0" applyNumberFormat="1" applyFont="1"/>
    <xf numFmtId="2" fontId="109" fillId="0" borderId="8" xfId="0" applyNumberFormat="1" applyFont="1" applyBorder="1"/>
    <xf numFmtId="0" fontId="86" fillId="0" borderId="0" xfId="0" applyFont="1" applyAlignment="1">
      <alignment vertical="center" wrapText="1"/>
    </xf>
    <xf numFmtId="173" fontId="86" fillId="0" borderId="0" xfId="0" applyNumberFormat="1" applyFont="1" applyAlignment="1">
      <alignment vertical="center"/>
    </xf>
    <xf numFmtId="0" fontId="108" fillId="0" borderId="0" xfId="0" applyFont="1" applyAlignment="1">
      <alignment vertical="center"/>
    </xf>
    <xf numFmtId="3" fontId="108" fillId="0" borderId="0" xfId="0" applyNumberFormat="1" applyFont="1" applyAlignment="1">
      <alignment vertical="center"/>
    </xf>
    <xf numFmtId="0" fontId="104" fillId="0" borderId="8" xfId="9" applyNumberFormat="1" applyFont="1" applyBorder="1" applyAlignment="1">
      <alignment horizontal="left" vertical="center" indent="2"/>
    </xf>
    <xf numFmtId="175" fontId="105" fillId="0" borderId="8" xfId="0" applyNumberFormat="1" applyFont="1" applyBorder="1" applyAlignment="1">
      <alignment horizontal="right" wrapText="1"/>
    </xf>
    <xf numFmtId="0" fontId="86" fillId="0" borderId="8" xfId="0" applyFont="1" applyBorder="1" applyAlignment="1">
      <alignment vertical="center"/>
    </xf>
    <xf numFmtId="0" fontId="104" fillId="0" borderId="0" xfId="9" applyNumberFormat="1" applyFont="1" applyBorder="1" applyAlignment="1">
      <alignment horizontal="left" vertical="center" indent="2"/>
    </xf>
    <xf numFmtId="175" fontId="105" fillId="0" borderId="0" xfId="0" applyNumberFormat="1" applyFont="1" applyAlignment="1">
      <alignment horizontal="right" wrapText="1"/>
    </xf>
    <xf numFmtId="0" fontId="104" fillId="0" borderId="3" xfId="9" applyNumberFormat="1" applyFont="1" applyBorder="1" applyAlignment="1">
      <alignment horizontal="left" vertical="center" indent="2"/>
    </xf>
    <xf numFmtId="175" fontId="105" fillId="0" borderId="3" xfId="0" applyNumberFormat="1" applyFont="1" applyBorder="1" applyAlignment="1">
      <alignment horizontal="right" wrapText="1"/>
    </xf>
    <xf numFmtId="173" fontId="61" fillId="0" borderId="0" xfId="0" applyNumberFormat="1" applyFont="1"/>
    <xf numFmtId="0" fontId="110" fillId="0" borderId="4" xfId="9" applyNumberFormat="1" applyFont="1" applyBorder="1" applyAlignment="1">
      <alignment horizontal="left" vertical="center"/>
    </xf>
    <xf numFmtId="167" fontId="25" fillId="0" borderId="4" xfId="17" applyFont="1" applyAlignment="1">
      <alignment horizontal="right" vertical="center"/>
    </xf>
    <xf numFmtId="3" fontId="35" fillId="0" borderId="4" xfId="0" applyNumberFormat="1" applyFont="1" applyBorder="1" applyAlignment="1">
      <alignment horizontal="right" wrapText="1"/>
    </xf>
    <xf numFmtId="0" fontId="16" fillId="0" borderId="3" xfId="9" applyNumberFormat="1" applyFont="1" applyBorder="1" applyAlignment="1">
      <alignment horizontal="left" vertical="center"/>
    </xf>
    <xf numFmtId="0" fontId="111" fillId="0" borderId="3" xfId="0" applyFont="1" applyBorder="1" applyAlignment="1">
      <alignment vertical="center"/>
    </xf>
    <xf numFmtId="0" fontId="109" fillId="0" borderId="3" xfId="0" applyFont="1" applyBorder="1" applyAlignment="1">
      <alignment vertical="center"/>
    </xf>
    <xf numFmtId="0" fontId="109" fillId="0" borderId="4" xfId="0" applyFont="1" applyBorder="1" applyAlignment="1">
      <alignment vertical="center" wrapText="1"/>
    </xf>
    <xf numFmtId="3" fontId="109" fillId="0" borderId="4" xfId="0" applyNumberFormat="1" applyFont="1" applyBorder="1" applyAlignment="1">
      <alignment horizontal="right" vertical="center" wrapText="1"/>
    </xf>
    <xf numFmtId="0" fontId="109" fillId="0" borderId="4" xfId="0" applyFont="1" applyBorder="1" applyAlignment="1">
      <alignment vertical="center"/>
    </xf>
    <xf numFmtId="0" fontId="114" fillId="0" borderId="4" xfId="0" applyFont="1" applyBorder="1" applyAlignment="1">
      <alignment vertical="center"/>
    </xf>
    <xf numFmtId="3" fontId="115" fillId="0" borderId="4" xfId="0" applyNumberFormat="1" applyFont="1" applyBorder="1" applyAlignment="1">
      <alignment vertical="center" wrapText="1"/>
    </xf>
    <xf numFmtId="3" fontId="109" fillId="0" borderId="4" xfId="0" applyNumberFormat="1" applyFont="1" applyBorder="1" applyAlignment="1">
      <alignment vertical="center"/>
    </xf>
    <xf numFmtId="0" fontId="109" fillId="0" borderId="0" xfId="0" applyFont="1" applyAlignment="1">
      <alignment horizontal="left" vertical="center" indent="2"/>
    </xf>
    <xf numFmtId="10" fontId="109" fillId="0" borderId="0" xfId="1" applyNumberFormat="1" applyFont="1" applyFill="1" applyBorder="1" applyAlignment="1" applyProtection="1">
      <alignment vertical="center"/>
    </xf>
    <xf numFmtId="3" fontId="109" fillId="0" borderId="0" xfId="0" applyNumberFormat="1" applyFont="1" applyAlignment="1">
      <alignment vertical="center" wrapText="1"/>
    </xf>
    <xf numFmtId="3" fontId="109" fillId="0" borderId="0" xfId="0" applyNumberFormat="1" applyFont="1" applyAlignment="1">
      <alignment vertical="center"/>
    </xf>
    <xf numFmtId="0" fontId="109" fillId="0" borderId="3" xfId="0" applyFont="1" applyBorder="1" applyAlignment="1">
      <alignment horizontal="left" vertical="center" indent="2"/>
    </xf>
    <xf numFmtId="10" fontId="109" fillId="0" borderId="3" xfId="1" applyNumberFormat="1" applyFont="1" applyFill="1" applyBorder="1" applyAlignment="1" applyProtection="1">
      <alignment vertical="center"/>
    </xf>
    <xf numFmtId="3" fontId="109" fillId="0" borderId="3" xfId="0" applyNumberFormat="1" applyFont="1" applyBorder="1" applyAlignment="1">
      <alignment vertical="center" wrapText="1"/>
    </xf>
    <xf numFmtId="3" fontId="109" fillId="0" borderId="3" xfId="0" applyNumberFormat="1" applyFont="1" applyBorder="1" applyAlignment="1">
      <alignment vertical="center"/>
    </xf>
    <xf numFmtId="0" fontId="61" fillId="0" borderId="4" xfId="0" applyFont="1" applyBorder="1" applyAlignment="1">
      <alignment vertical="center"/>
    </xf>
    <xf numFmtId="0" fontId="116" fillId="0" borderId="4" xfId="0" applyFont="1" applyBorder="1" applyAlignment="1">
      <alignment horizontal="right" vertical="center"/>
    </xf>
    <xf numFmtId="3" fontId="61" fillId="0" borderId="7" xfId="0" applyNumberFormat="1" applyFont="1" applyBorder="1" applyAlignment="1">
      <alignment vertical="center" wrapText="1"/>
    </xf>
    <xf numFmtId="0" fontId="118" fillId="0" borderId="4" xfId="0" applyFont="1" applyBorder="1" applyAlignment="1">
      <alignment vertical="center"/>
    </xf>
    <xf numFmtId="0" fontId="118" fillId="0" borderId="0" xfId="0" applyFont="1" applyAlignment="1">
      <alignment horizontal="left" vertical="center" indent="2"/>
    </xf>
    <xf numFmtId="10" fontId="118" fillId="0" borderId="0" xfId="1" applyNumberFormat="1" applyFont="1" applyFill="1" applyBorder="1" applyAlignment="1" applyProtection="1">
      <alignment vertical="center"/>
    </xf>
    <xf numFmtId="3" fontId="118" fillId="0" borderId="0" xfId="0" applyNumberFormat="1" applyFont="1" applyAlignment="1">
      <alignment vertical="center" wrapText="1"/>
    </xf>
    <xf numFmtId="3" fontId="118" fillId="0" borderId="0" xfId="0" applyNumberFormat="1" applyFont="1" applyAlignment="1">
      <alignment vertical="center"/>
    </xf>
    <xf numFmtId="0" fontId="118" fillId="0" borderId="3" xfId="0" applyFont="1" applyBorder="1" applyAlignment="1">
      <alignment horizontal="left" vertical="center" indent="2"/>
    </xf>
    <xf numFmtId="3" fontId="118" fillId="0" borderId="3" xfId="0" applyNumberFormat="1" applyFont="1" applyBorder="1" applyAlignment="1">
      <alignment vertical="center"/>
    </xf>
    <xf numFmtId="3" fontId="61" fillId="0" borderId="3" xfId="2" applyNumberFormat="1" applyFont="1" applyBorder="1" applyAlignment="1">
      <alignment vertical="center" wrapText="1"/>
    </xf>
    <xf numFmtId="167" fontId="119" fillId="0" borderId="4" xfId="17" applyFont="1">
      <alignment vertical="center"/>
    </xf>
    <xf numFmtId="3" fontId="118" fillId="0" borderId="4" xfId="0" applyNumberFormat="1" applyFont="1" applyBorder="1" applyAlignment="1">
      <alignment vertical="center" wrapText="1"/>
    </xf>
    <xf numFmtId="3" fontId="118" fillId="0" borderId="4" xfId="0" applyNumberFormat="1" applyFont="1" applyBorder="1" applyAlignment="1">
      <alignment vertical="center"/>
    </xf>
    <xf numFmtId="175" fontId="118" fillId="0" borderId="4" xfId="0" applyNumberFormat="1" applyFont="1" applyBorder="1" applyAlignment="1">
      <alignment vertical="center" wrapText="1"/>
    </xf>
    <xf numFmtId="2" fontId="25" fillId="0" borderId="3" xfId="0" applyNumberFormat="1" applyFont="1" applyBorder="1" applyAlignment="1">
      <alignment vertical="center"/>
    </xf>
    <xf numFmtId="3" fontId="25" fillId="0" borderId="7" xfId="11" applyNumberFormat="1" applyFont="1" applyBorder="1" applyAlignment="1">
      <alignment vertical="center"/>
    </xf>
    <xf numFmtId="2" fontId="25" fillId="0" borderId="4" xfId="0" applyNumberFormat="1" applyFont="1" applyBorder="1" applyAlignment="1">
      <alignment vertical="center"/>
    </xf>
    <xf numFmtId="3" fontId="25" fillId="0" borderId="4" xfId="11" applyNumberFormat="1" applyFont="1" applyBorder="1" applyAlignment="1">
      <alignment vertical="center"/>
    </xf>
    <xf numFmtId="0" fontId="121" fillId="0" borderId="0" xfId="0" applyFont="1" applyAlignment="1">
      <alignment vertical="center"/>
    </xf>
    <xf numFmtId="3" fontId="25" fillId="0" borderId="2" xfId="0" applyNumberFormat="1" applyFont="1" applyBorder="1" applyAlignment="1">
      <alignment horizontal="right"/>
    </xf>
    <xf numFmtId="175" fontId="35" fillId="0" borderId="8" xfId="0" applyNumberFormat="1" applyFont="1" applyBorder="1" applyAlignment="1">
      <alignment horizontal="right" wrapText="1"/>
    </xf>
    <xf numFmtId="0" fontId="122" fillId="0" borderId="4" xfId="9" applyNumberFormat="1" applyFont="1" applyBorder="1" applyAlignment="1">
      <alignment horizontal="left" vertical="center"/>
    </xf>
    <xf numFmtId="3" fontId="113" fillId="13" borderId="8" xfId="0" applyNumberFormat="1" applyFont="1" applyFill="1" applyBorder="1" applyAlignment="1" applyProtection="1">
      <alignment horizontal="right" vertical="center" wrapText="1"/>
      <protection locked="0"/>
    </xf>
    <xf numFmtId="3" fontId="35" fillId="13" borderId="3" xfId="0" applyNumberFormat="1" applyFont="1" applyFill="1" applyBorder="1" applyAlignment="1" applyProtection="1">
      <alignment vertical="center" wrapText="1"/>
      <protection locked="0"/>
    </xf>
    <xf numFmtId="0" fontId="118" fillId="0" borderId="0" xfId="0" applyFont="1" applyAlignment="1">
      <alignment vertical="center"/>
    </xf>
    <xf numFmtId="3" fontId="123" fillId="0" borderId="0" xfId="0" applyNumberFormat="1" applyFont="1" applyAlignment="1">
      <alignment vertical="center"/>
    </xf>
    <xf numFmtId="0" fontId="123" fillId="0" borderId="0" xfId="0" applyFont="1" applyAlignment="1">
      <alignment vertical="center"/>
    </xf>
    <xf numFmtId="0" fontId="109" fillId="0" borderId="3" xfId="0" applyFont="1" applyBorder="1" applyAlignment="1">
      <alignment vertical="center" wrapText="1"/>
    </xf>
    <xf numFmtId="0" fontId="109" fillId="0" borderId="0" xfId="0" applyFont="1" applyAlignment="1">
      <alignment vertical="center"/>
    </xf>
    <xf numFmtId="0" fontId="109" fillId="0" borderId="0" xfId="0" applyFont="1" applyAlignment="1">
      <alignment vertical="center" wrapText="1"/>
    </xf>
    <xf numFmtId="3" fontId="113" fillId="13" borderId="4" xfId="0" applyNumberFormat="1" applyFont="1" applyFill="1" applyBorder="1" applyAlignment="1" applyProtection="1">
      <alignment vertical="center" wrapText="1"/>
      <protection locked="0"/>
    </xf>
    <xf numFmtId="0" fontId="114" fillId="0" borderId="0" xfId="0" applyFont="1" applyAlignment="1">
      <alignment vertical="center"/>
    </xf>
    <xf numFmtId="3" fontId="114" fillId="0" borderId="0" xfId="0" applyNumberFormat="1" applyFont="1" applyAlignment="1">
      <alignment vertical="center"/>
    </xf>
    <xf numFmtId="3" fontId="124" fillId="0" borderId="4" xfId="0" applyNumberFormat="1" applyFont="1" applyBorder="1" applyAlignment="1">
      <alignment vertical="center" wrapText="1"/>
    </xf>
    <xf numFmtId="3" fontId="113" fillId="0" borderId="4" xfId="0" applyNumberFormat="1" applyFont="1" applyBorder="1" applyAlignment="1">
      <alignment vertical="center" wrapText="1"/>
    </xf>
    <xf numFmtId="0" fontId="113" fillId="0" borderId="0" xfId="0" applyFont="1"/>
    <xf numFmtId="0" fontId="118" fillId="0" borderId="3" xfId="0" applyFont="1" applyBorder="1" applyAlignment="1">
      <alignment vertical="center"/>
    </xf>
    <xf numFmtId="3" fontId="118" fillId="0" borderId="3" xfId="0" applyNumberFormat="1" applyFont="1" applyBorder="1" applyAlignment="1">
      <alignment vertical="center" wrapText="1"/>
    </xf>
    <xf numFmtId="3" fontId="118" fillId="0" borderId="8" xfId="0" applyNumberFormat="1" applyFont="1" applyBorder="1" applyAlignment="1">
      <alignment vertical="center" wrapText="1"/>
    </xf>
    <xf numFmtId="3" fontId="18" fillId="13" borderId="0" xfId="0" applyNumberFormat="1" applyFont="1" applyFill="1" applyAlignment="1">
      <alignment vertical="center" wrapText="1"/>
    </xf>
    <xf numFmtId="3" fontId="83" fillId="0" borderId="1" xfId="0" applyNumberFormat="1" applyFont="1" applyBorder="1" applyAlignment="1">
      <alignment wrapText="1"/>
    </xf>
    <xf numFmtId="2" fontId="83" fillId="0" borderId="2" xfId="0" applyNumberFormat="1" applyFont="1" applyBorder="1"/>
    <xf numFmtId="177" fontId="20" fillId="13" borderId="4" xfId="0" applyNumberFormat="1" applyFont="1" applyFill="1" applyBorder="1" applyAlignment="1" applyProtection="1">
      <alignment horizontal="left" wrapText="1"/>
      <protection locked="0"/>
    </xf>
    <xf numFmtId="0" fontId="32" fillId="0" borderId="0" xfId="21" applyFill="1" applyBorder="1" applyAlignment="1">
      <alignment horizontal="center" vertical="center" wrapText="1"/>
    </xf>
    <xf numFmtId="49" fontId="18" fillId="0" borderId="0" xfId="0" applyNumberFormat="1" applyFont="1"/>
    <xf numFmtId="49" fontId="18" fillId="0" borderId="4" xfId="0" applyNumberFormat="1" applyFont="1" applyBorder="1"/>
    <xf numFmtId="0" fontId="61" fillId="0" borderId="0" xfId="11" applyFont="1"/>
    <xf numFmtId="170" fontId="41" fillId="0" borderId="2" xfId="6" applyNumberFormat="1" applyFont="1" applyFill="1" applyBorder="1" applyAlignment="1" applyProtection="1">
      <alignment horizontal="right" vertical="top"/>
    </xf>
    <xf numFmtId="177" fontId="18" fillId="0" borderId="4" xfId="0" applyNumberFormat="1" applyFont="1" applyBorder="1" applyAlignment="1">
      <alignment horizontal="left"/>
    </xf>
    <xf numFmtId="0" fontId="121" fillId="0" borderId="1" xfId="11" applyFont="1" applyBorder="1"/>
    <xf numFmtId="3" fontId="53" fillId="0" borderId="3" xfId="11" applyNumberFormat="1" applyFont="1" applyBorder="1" applyAlignment="1">
      <alignment horizontal="right" vertical="top"/>
    </xf>
    <xf numFmtId="3" fontId="121" fillId="0" borderId="4" xfId="11" applyNumberFormat="1" applyFont="1" applyBorder="1" applyAlignment="1">
      <alignment vertical="top"/>
    </xf>
    <xf numFmtId="3" fontId="121" fillId="0" borderId="6" xfId="11" applyNumberFormat="1" applyFont="1" applyBorder="1" applyAlignment="1">
      <alignment vertical="top"/>
    </xf>
    <xf numFmtId="3" fontId="121" fillId="0" borderId="2" xfId="11" applyNumberFormat="1" applyFont="1" applyBorder="1" applyAlignment="1">
      <alignment vertical="top"/>
    </xf>
    <xf numFmtId="171" fontId="53" fillId="0" borderId="2" xfId="1" applyNumberFormat="1" applyFont="1" applyFill="1" applyBorder="1" applyAlignment="1" applyProtection="1">
      <alignment vertical="top"/>
    </xf>
    <xf numFmtId="3" fontId="121" fillId="0" borderId="1" xfId="11" applyNumberFormat="1" applyFont="1" applyBorder="1" applyAlignment="1">
      <alignment vertical="top"/>
    </xf>
    <xf numFmtId="172" fontId="53" fillId="0" borderId="3" xfId="11" applyNumberFormat="1" applyFont="1" applyBorder="1" applyAlignment="1">
      <alignment horizontal="right" vertical="top"/>
    </xf>
    <xf numFmtId="172" fontId="121" fillId="0" borderId="4" xfId="11" applyNumberFormat="1" applyFont="1" applyBorder="1" applyAlignment="1">
      <alignment vertical="top"/>
    </xf>
    <xf numFmtId="172" fontId="121" fillId="0" borderId="6" xfId="11" applyNumberFormat="1" applyFont="1" applyBorder="1" applyAlignment="1">
      <alignment vertical="top"/>
    </xf>
    <xf numFmtId="172" fontId="53" fillId="0" borderId="3" xfId="11" applyNumberFormat="1" applyFont="1" applyBorder="1" applyAlignment="1">
      <alignment vertical="top"/>
    </xf>
    <xf numFmtId="9" fontId="35" fillId="0" borderId="0" xfId="1" applyFont="1" applyFill="1" applyBorder="1" applyAlignment="1">
      <alignment vertical="center"/>
    </xf>
    <xf numFmtId="1" fontId="61" fillId="0" borderId="4" xfId="0" applyNumberFormat="1" applyFont="1" applyBorder="1"/>
    <xf numFmtId="0" fontId="25" fillId="0" borderId="0" xfId="11" applyFont="1" applyAlignment="1">
      <alignment horizontal="left" vertical="top" wrapText="1"/>
    </xf>
    <xf numFmtId="0" fontId="64" fillId="0" borderId="0" xfId="0" applyFont="1" applyAlignment="1">
      <alignment vertical="center" wrapText="1"/>
    </xf>
    <xf numFmtId="173" fontId="83" fillId="0" borderId="4" xfId="1" applyNumberFormat="1" applyFont="1" applyBorder="1" applyAlignment="1">
      <alignment vertical="center" wrapText="1"/>
    </xf>
    <xf numFmtId="173" fontId="25" fillId="0" borderId="4" xfId="1" applyNumberFormat="1" applyFont="1" applyBorder="1" applyAlignment="1">
      <alignment vertical="center"/>
    </xf>
    <xf numFmtId="0" fontId="122" fillId="0" borderId="3" xfId="9" applyNumberFormat="1" applyFont="1" applyBorder="1" applyAlignment="1">
      <alignment horizontal="left" vertical="center"/>
    </xf>
    <xf numFmtId="0" fontId="36" fillId="0" borderId="3" xfId="9" applyNumberFormat="1" applyFont="1" applyBorder="1" applyAlignment="1">
      <alignment horizontal="left" vertical="center"/>
    </xf>
    <xf numFmtId="3" fontId="35" fillId="0" borderId="3" xfId="0" applyNumberFormat="1" applyFont="1" applyBorder="1" applyAlignment="1">
      <alignment horizontal="right" wrapText="1"/>
    </xf>
    <xf numFmtId="0" fontId="35" fillId="0" borderId="3" xfId="0" applyFont="1" applyBorder="1"/>
    <xf numFmtId="173" fontId="125" fillId="0" borderId="4" xfId="1" applyNumberFormat="1" applyFont="1" applyBorder="1" applyAlignment="1">
      <alignment vertical="center"/>
    </xf>
    <xf numFmtId="2" fontId="25" fillId="0" borderId="4" xfId="1" applyNumberFormat="1" applyFont="1" applyBorder="1" applyAlignment="1">
      <alignment vertical="center"/>
    </xf>
    <xf numFmtId="2" fontId="83" fillId="0" borderId="4" xfId="1" applyNumberFormat="1" applyFont="1" applyBorder="1" applyAlignment="1">
      <alignment vertical="center" wrapText="1"/>
    </xf>
    <xf numFmtId="175" fontId="126" fillId="0" borderId="8" xfId="0" applyNumberFormat="1" applyFont="1" applyBorder="1" applyAlignment="1">
      <alignment horizontal="right" wrapText="1"/>
    </xf>
    <xf numFmtId="0" fontId="126" fillId="0" borderId="8" xfId="0" applyFont="1" applyBorder="1" applyAlignment="1">
      <alignment vertical="center"/>
    </xf>
    <xf numFmtId="175" fontId="126" fillId="0" borderId="0" xfId="0" applyNumberFormat="1" applyFont="1" applyAlignment="1">
      <alignment horizontal="right" wrapText="1"/>
    </xf>
    <xf numFmtId="0" fontId="126" fillId="0" borderId="0" xfId="0" applyFont="1" applyAlignment="1">
      <alignment vertical="center"/>
    </xf>
    <xf numFmtId="175" fontId="126" fillId="0" borderId="3" xfId="0" applyNumberFormat="1" applyFont="1" applyBorder="1" applyAlignment="1">
      <alignment horizontal="right" wrapText="1"/>
    </xf>
    <xf numFmtId="0" fontId="126" fillId="0" borderId="3" xfId="0" applyFont="1" applyBorder="1" applyAlignment="1">
      <alignment vertical="center"/>
    </xf>
    <xf numFmtId="178" fontId="35" fillId="0" borderId="0" xfId="2" applyNumberFormat="1" applyFont="1"/>
    <xf numFmtId="10" fontId="126" fillId="0" borderId="3" xfId="1" applyNumberFormat="1" applyFont="1" applyBorder="1" applyAlignment="1">
      <alignment horizontal="right" wrapText="1"/>
    </xf>
    <xf numFmtId="10" fontId="35" fillId="0" borderId="0" xfId="0" applyNumberFormat="1" applyFont="1"/>
    <xf numFmtId="178" fontId="104" fillId="0" borderId="0" xfId="2" applyNumberFormat="1" applyFont="1" applyBorder="1" applyAlignment="1">
      <alignment horizontal="left" vertical="center" indent="2"/>
    </xf>
    <xf numFmtId="3" fontId="126" fillId="0" borderId="0" xfId="0" applyNumberFormat="1" applyFont="1" applyAlignment="1">
      <alignment horizontal="right" wrapText="1"/>
    </xf>
    <xf numFmtId="10" fontId="18" fillId="0" borderId="4" xfId="1" applyNumberFormat="1" applyFont="1" applyBorder="1" applyAlignment="1">
      <alignment vertical="center"/>
    </xf>
    <xf numFmtId="9" fontId="53" fillId="0" borderId="4" xfId="1" applyFont="1" applyBorder="1" applyAlignment="1">
      <alignment vertical="center"/>
    </xf>
    <xf numFmtId="1" fontId="85" fillId="0" borderId="4" xfId="0" applyNumberFormat="1" applyFont="1" applyBorder="1"/>
    <xf numFmtId="2" fontId="64" fillId="0" borderId="0" xfId="0" applyNumberFormat="1" applyFont="1"/>
    <xf numFmtId="172" fontId="105" fillId="0" borderId="4" xfId="0" applyNumberFormat="1" applyFont="1" applyBorder="1" applyAlignment="1">
      <alignment horizontal="right" wrapText="1"/>
    </xf>
    <xf numFmtId="176" fontId="61" fillId="0" borderId="0" xfId="0" applyNumberFormat="1" applyFont="1"/>
    <xf numFmtId="0" fontId="60" fillId="0" borderId="0" xfId="0" applyFont="1"/>
    <xf numFmtId="10" fontId="35" fillId="0" borderId="4" xfId="1" applyNumberFormat="1" applyFont="1" applyFill="1" applyBorder="1" applyAlignment="1">
      <alignment vertical="center"/>
    </xf>
    <xf numFmtId="10" fontId="0" fillId="0" borderId="0" xfId="0" applyNumberFormat="1"/>
    <xf numFmtId="10" fontId="35" fillId="0" borderId="4" xfId="1" applyNumberFormat="1" applyFont="1" applyBorder="1"/>
    <xf numFmtId="0" fontId="25" fillId="0" borderId="4" xfId="0" applyFont="1" applyBorder="1" applyAlignment="1">
      <alignment horizontal="left" vertical="center"/>
    </xf>
    <xf numFmtId="0" fontId="84" fillId="0" borderId="4" xfId="11" applyFont="1" applyBorder="1" applyAlignment="1">
      <alignment wrapText="1"/>
    </xf>
    <xf numFmtId="2" fontId="0" fillId="0" borderId="0" xfId="0" applyNumberFormat="1"/>
    <xf numFmtId="49" fontId="102" fillId="0" borderId="0" xfId="0" applyNumberFormat="1" applyFont="1" applyAlignment="1">
      <alignment horizontal="left" vertical="center"/>
    </xf>
    <xf numFmtId="0" fontId="128" fillId="0" borderId="0" xfId="11" applyFont="1" applyAlignment="1">
      <alignment horizontal="left"/>
    </xf>
    <xf numFmtId="0" fontId="128" fillId="0" borderId="0" xfId="11" applyFont="1"/>
    <xf numFmtId="9" fontId="128" fillId="0" borderId="0" xfId="1" applyFont="1"/>
    <xf numFmtId="49" fontId="102" fillId="0" borderId="0" xfId="11" applyNumberFormat="1" applyFont="1" applyAlignment="1">
      <alignment horizontal="left" vertical="center"/>
    </xf>
    <xf numFmtId="0" fontId="129" fillId="0" borderId="4" xfId="11" applyFont="1" applyBorder="1" applyAlignment="1">
      <alignment horizontal="left" vertical="center"/>
    </xf>
    <xf numFmtId="3" fontId="25" fillId="0" borderId="3" xfId="0" applyNumberFormat="1" applyFont="1" applyBorder="1" applyAlignment="1">
      <alignment vertical="center"/>
    </xf>
    <xf numFmtId="3" fontId="83" fillId="0" borderId="2" xfId="0" applyNumberFormat="1" applyFont="1" applyBorder="1" applyAlignment="1">
      <alignment wrapText="1"/>
    </xf>
    <xf numFmtId="2" fontId="25" fillId="0" borderId="2" xfId="0" applyNumberFormat="1" applyFont="1" applyBorder="1" applyAlignment="1">
      <alignment wrapText="1"/>
    </xf>
    <xf numFmtId="0" fontId="25" fillId="0" borderId="2" xfId="11" applyFont="1" applyBorder="1" applyAlignment="1">
      <alignment wrapText="1"/>
    </xf>
    <xf numFmtId="0" fontId="25" fillId="0" borderId="2" xfId="11" applyFont="1" applyBorder="1" applyAlignment="1">
      <alignment horizontal="left" vertical="top" wrapText="1"/>
    </xf>
    <xf numFmtId="2" fontId="75" fillId="0" borderId="2" xfId="0" applyNumberFormat="1" applyFont="1" applyBorder="1"/>
    <xf numFmtId="2" fontId="131" fillId="0" borderId="3" xfId="0" applyNumberFormat="1" applyFont="1" applyBorder="1"/>
    <xf numFmtId="3" fontId="131" fillId="0" borderId="3" xfId="0" applyNumberFormat="1" applyFont="1" applyBorder="1" applyAlignment="1">
      <alignment horizontal="right"/>
    </xf>
    <xf numFmtId="3" fontId="131" fillId="0" borderId="7" xfId="11" applyNumberFormat="1" applyFont="1" applyBorder="1" applyAlignment="1">
      <alignment vertical="top"/>
    </xf>
    <xf numFmtId="3" fontId="131" fillId="0" borderId="7" xfId="0" applyNumberFormat="1" applyFont="1" applyBorder="1"/>
    <xf numFmtId="3" fontId="131" fillId="0" borderId="3" xfId="0" applyNumberFormat="1" applyFont="1" applyBorder="1"/>
    <xf numFmtId="2" fontId="131" fillId="0" borderId="4" xfId="0" applyNumberFormat="1" applyFont="1" applyBorder="1"/>
    <xf numFmtId="3" fontId="131" fillId="0" borderId="4" xfId="0" applyNumberFormat="1" applyFont="1" applyBorder="1" applyAlignment="1">
      <alignment horizontal="right"/>
    </xf>
    <xf numFmtId="3" fontId="131" fillId="0" borderId="4" xfId="11" applyNumberFormat="1" applyFont="1" applyBorder="1" applyAlignment="1">
      <alignment vertical="top"/>
    </xf>
    <xf numFmtId="3" fontId="131" fillId="0" borderId="4" xfId="0" applyNumberFormat="1" applyFont="1" applyBorder="1"/>
    <xf numFmtId="2" fontId="131" fillId="0" borderId="0" xfId="0" applyNumberFormat="1" applyFont="1"/>
    <xf numFmtId="3" fontId="131" fillId="0" borderId="0" xfId="0" applyNumberFormat="1" applyFont="1" applyAlignment="1">
      <alignment horizontal="right"/>
    </xf>
    <xf numFmtId="2" fontId="131" fillId="0" borderId="8" xfId="0" applyNumberFormat="1" applyFont="1" applyBorder="1"/>
    <xf numFmtId="3" fontId="131" fillId="0" borderId="8" xfId="0" applyNumberFormat="1" applyFont="1" applyBorder="1" applyAlignment="1">
      <alignment horizontal="right"/>
    </xf>
    <xf numFmtId="2" fontId="131" fillId="0" borderId="6" xfId="0" applyNumberFormat="1" applyFont="1" applyBorder="1"/>
    <xf numFmtId="3" fontId="131" fillId="0" borderId="6" xfId="0" applyNumberFormat="1" applyFont="1" applyBorder="1" applyAlignment="1">
      <alignment horizontal="right"/>
    </xf>
    <xf numFmtId="3" fontId="131" fillId="0" borderId="6" xfId="11" applyNumberFormat="1" applyFont="1" applyBorder="1" applyAlignment="1">
      <alignment vertical="top"/>
    </xf>
    <xf numFmtId="3" fontId="131" fillId="0" borderId="6" xfId="0" applyNumberFormat="1" applyFont="1" applyBorder="1"/>
    <xf numFmtId="3" fontId="134" fillId="0" borderId="3" xfId="11" applyNumberFormat="1" applyFont="1" applyBorder="1" applyAlignment="1">
      <alignment vertical="center"/>
    </xf>
    <xf numFmtId="3" fontId="134" fillId="0" borderId="4" xfId="11" applyNumberFormat="1" applyFont="1" applyBorder="1" applyAlignment="1">
      <alignment vertical="center"/>
    </xf>
    <xf numFmtId="0" fontId="136" fillId="8" borderId="17" xfId="0" applyFont="1" applyFill="1" applyBorder="1" applyAlignment="1">
      <alignment horizontal="left" vertical="center"/>
    </xf>
    <xf numFmtId="0" fontId="136" fillId="0" borderId="17" xfId="0" applyFont="1" applyBorder="1" applyAlignment="1">
      <alignment vertical="center"/>
    </xf>
    <xf numFmtId="168" fontId="137" fillId="0" borderId="17" xfId="1" applyNumberFormat="1" applyFont="1" applyFill="1" applyBorder="1" applyAlignment="1" applyProtection="1">
      <alignment horizontal="right" vertical="center"/>
    </xf>
    <xf numFmtId="3" fontId="137" fillId="0" borderId="17" xfId="0" applyNumberFormat="1" applyFont="1" applyBorder="1" applyAlignment="1">
      <alignment vertical="center"/>
    </xf>
    <xf numFmtId="172" fontId="139" fillId="0" borderId="17" xfId="11" applyNumberFormat="1" applyFont="1" applyBorder="1" applyAlignment="1">
      <alignment horizontal="right" vertical="center"/>
    </xf>
    <xf numFmtId="3" fontId="137" fillId="0" borderId="17" xfId="11" applyNumberFormat="1" applyFont="1" applyBorder="1" applyAlignment="1">
      <alignment horizontal="right" vertical="center"/>
    </xf>
    <xf numFmtId="0" fontId="140" fillId="0" borderId="0" xfId="11" applyFont="1" applyAlignment="1">
      <alignment vertical="center"/>
    </xf>
    <xf numFmtId="0" fontId="136" fillId="7" borderId="10" xfId="0" applyFont="1" applyFill="1" applyBorder="1" applyAlignment="1">
      <alignment horizontal="left" vertical="center"/>
    </xf>
    <xf numFmtId="0" fontId="136" fillId="0" borderId="10" xfId="0" applyFont="1" applyBorder="1" applyAlignment="1">
      <alignment vertical="center"/>
    </xf>
    <xf numFmtId="168" fontId="137" fillId="0" borderId="10" xfId="1" applyNumberFormat="1" applyFont="1" applyFill="1" applyBorder="1" applyAlignment="1" applyProtection="1">
      <alignment horizontal="right" vertical="center"/>
    </xf>
    <xf numFmtId="3" fontId="137" fillId="0" borderId="10" xfId="0" applyNumberFormat="1" applyFont="1" applyBorder="1" applyAlignment="1">
      <alignment vertical="center"/>
    </xf>
    <xf numFmtId="172" fontId="139" fillId="0" borderId="10" xfId="11" applyNumberFormat="1" applyFont="1" applyBorder="1" applyAlignment="1">
      <alignment horizontal="right" vertical="center"/>
    </xf>
    <xf numFmtId="3" fontId="137" fillId="0" borderId="10" xfId="11" applyNumberFormat="1" applyFont="1" applyBorder="1" applyAlignment="1">
      <alignment horizontal="right" vertical="center"/>
    </xf>
    <xf numFmtId="49" fontId="136" fillId="4" borderId="10" xfId="0" applyNumberFormat="1" applyFont="1" applyFill="1" applyBorder="1" applyAlignment="1">
      <alignment horizontal="left" vertical="center"/>
    </xf>
    <xf numFmtId="0" fontId="136" fillId="6" borderId="10" xfId="0" applyFont="1" applyFill="1" applyBorder="1" applyAlignment="1">
      <alignment horizontal="left" vertical="center"/>
    </xf>
    <xf numFmtId="172" fontId="139" fillId="0" borderId="10" xfId="11" applyNumberFormat="1" applyFont="1" applyBorder="1" applyAlignment="1">
      <alignment vertical="center"/>
    </xf>
    <xf numFmtId="3" fontId="137" fillId="0" borderId="10" xfId="11" applyNumberFormat="1" applyFont="1" applyBorder="1" applyAlignment="1">
      <alignment vertical="center"/>
    </xf>
    <xf numFmtId="49" fontId="136" fillId="3" borderId="10" xfId="0" applyNumberFormat="1" applyFont="1" applyFill="1" applyBorder="1" applyAlignment="1">
      <alignment horizontal="left" vertical="center"/>
    </xf>
    <xf numFmtId="0" fontId="102" fillId="0" borderId="1" xfId="0" applyFont="1" applyBorder="1" applyAlignment="1">
      <alignment vertical="center"/>
    </xf>
    <xf numFmtId="49" fontId="102" fillId="0" borderId="1" xfId="0" applyNumberFormat="1" applyFont="1" applyBorder="1" applyAlignment="1">
      <alignment horizontal="left" vertical="center"/>
    </xf>
    <xf numFmtId="172" fontId="107" fillId="0" borderId="17" xfId="1" applyNumberFormat="1" applyFont="1" applyFill="1" applyBorder="1" applyAlignment="1" applyProtection="1">
      <alignment horizontal="right" vertical="center"/>
    </xf>
    <xf numFmtId="49" fontId="102" fillId="0" borderId="17" xfId="11" applyNumberFormat="1" applyFont="1" applyBorder="1" applyAlignment="1">
      <alignment horizontal="left" vertical="center"/>
    </xf>
    <xf numFmtId="172" fontId="95" fillId="0" borderId="12" xfId="11" applyNumberFormat="1" applyFont="1" applyBorder="1" applyAlignment="1">
      <alignment vertical="center"/>
    </xf>
    <xf numFmtId="172" fontId="97" fillId="0" borderId="12" xfId="11" applyNumberFormat="1" applyFont="1" applyBorder="1" applyAlignment="1">
      <alignment vertical="center"/>
    </xf>
    <xf numFmtId="172" fontId="95" fillId="12" borderId="12" xfId="11" applyNumberFormat="1" applyFont="1" applyFill="1" applyBorder="1" applyAlignment="1">
      <alignment vertical="center"/>
    </xf>
    <xf numFmtId="172" fontId="97" fillId="0" borderId="17" xfId="11" applyNumberFormat="1" applyFont="1" applyBorder="1" applyAlignment="1">
      <alignment vertical="center"/>
    </xf>
    <xf numFmtId="172" fontId="98" fillId="0" borderId="17" xfId="11" applyNumberFormat="1" applyFont="1" applyBorder="1" applyAlignment="1">
      <alignment vertical="center"/>
    </xf>
    <xf numFmtId="49" fontId="92" fillId="0" borderId="21" xfId="11" applyNumberFormat="1" applyFont="1" applyBorder="1" applyAlignment="1">
      <alignment horizontal="left" vertical="center"/>
    </xf>
    <xf numFmtId="0" fontId="92" fillId="0" borderId="21" xfId="11" applyFont="1" applyBorder="1" applyAlignment="1">
      <alignment vertical="center"/>
    </xf>
    <xf numFmtId="172" fontId="99" fillId="0" borderId="11" xfId="11" applyNumberFormat="1" applyFont="1" applyBorder="1" applyAlignment="1">
      <alignment vertical="center"/>
    </xf>
    <xf numFmtId="3" fontId="89" fillId="0" borderId="12" xfId="11" applyNumberFormat="1" applyFont="1" applyBorder="1" applyAlignment="1">
      <alignment vertical="center"/>
    </xf>
    <xf numFmtId="2" fontId="141" fillId="0" borderId="21" xfId="11" applyNumberFormat="1" applyFont="1" applyBorder="1" applyAlignment="1">
      <alignment horizontal="right" wrapText="1"/>
    </xf>
    <xf numFmtId="2" fontId="141" fillId="0" borderId="0" xfId="11" applyNumberFormat="1" applyFont="1" applyAlignment="1">
      <alignment horizontal="right" textRotation="90" wrapText="1"/>
    </xf>
    <xf numFmtId="2" fontId="141" fillId="0" borderId="0" xfId="11" applyNumberFormat="1" applyFont="1" applyAlignment="1">
      <alignment horizontal="right" wrapText="1"/>
    </xf>
    <xf numFmtId="3" fontId="28" fillId="0" borderId="7" xfId="0" applyNumberFormat="1" applyFont="1" applyBorder="1" applyAlignment="1">
      <alignment vertical="center" wrapText="1"/>
    </xf>
    <xf numFmtId="9" fontId="145" fillId="0" borderId="2" xfId="1" applyFont="1" applyFill="1" applyBorder="1" applyAlignment="1"/>
    <xf numFmtId="10" fontId="149" fillId="0" borderId="26" xfId="0" applyNumberFormat="1" applyFont="1" applyBorder="1" applyAlignment="1">
      <alignment horizontal="right" vertical="center" wrapText="1"/>
    </xf>
    <xf numFmtId="10" fontId="149" fillId="0" borderId="27" xfId="0" applyNumberFormat="1" applyFont="1" applyBorder="1" applyAlignment="1">
      <alignment horizontal="right" vertical="center" wrapText="1"/>
    </xf>
    <xf numFmtId="9" fontId="149" fillId="0" borderId="27" xfId="0" applyNumberFormat="1" applyFont="1" applyBorder="1" applyAlignment="1">
      <alignment horizontal="right" vertical="center" wrapText="1"/>
    </xf>
    <xf numFmtId="9" fontId="131" fillId="0" borderId="27" xfId="0" applyNumberFormat="1" applyFont="1" applyBorder="1" applyAlignment="1">
      <alignment horizontal="right" vertical="center" wrapText="1"/>
    </xf>
    <xf numFmtId="10" fontId="131" fillId="0" borderId="27" xfId="0" applyNumberFormat="1" applyFont="1" applyBorder="1" applyAlignment="1">
      <alignment horizontal="right" vertical="center" wrapText="1"/>
    </xf>
    <xf numFmtId="10" fontId="6" fillId="0" borderId="0" xfId="11" applyNumberFormat="1"/>
    <xf numFmtId="9" fontId="149" fillId="0" borderId="26" xfId="0" applyNumberFormat="1" applyFont="1" applyBorder="1" applyAlignment="1">
      <alignment horizontal="right" vertical="center" wrapText="1"/>
    </xf>
    <xf numFmtId="168" fontId="149" fillId="0" borderId="27" xfId="0" applyNumberFormat="1" applyFont="1" applyBorder="1" applyAlignment="1">
      <alignment horizontal="right" vertical="center" wrapText="1"/>
    </xf>
    <xf numFmtId="168" fontId="131" fillId="0" borderId="27" xfId="0" applyNumberFormat="1" applyFont="1" applyBorder="1" applyAlignment="1">
      <alignment horizontal="right" vertical="center" wrapText="1"/>
    </xf>
    <xf numFmtId="3" fontId="75" fillId="0" borderId="4" xfId="0" applyNumberFormat="1" applyFont="1" applyBorder="1"/>
    <xf numFmtId="3" fontId="61" fillId="0" borderId="0" xfId="2" applyNumberFormat="1" applyFont="1" applyAlignment="1"/>
    <xf numFmtId="0" fontId="150" fillId="0" borderId="0" xfId="25" applyAlignment="1">
      <alignment vertical="top"/>
    </xf>
    <xf numFmtId="0" fontId="150" fillId="0" borderId="0" xfId="25" applyBorder="1" applyAlignment="1">
      <alignment horizontal="left" vertical="top" wrapText="1"/>
    </xf>
    <xf numFmtId="0" fontId="150" fillId="0" borderId="0" xfId="25" applyBorder="1" applyAlignment="1"/>
    <xf numFmtId="0" fontId="36" fillId="0" borderId="0" xfId="9" applyNumberFormat="1" applyFont="1" applyAlignment="1">
      <alignment horizontal="left" vertical="center" indent="3"/>
    </xf>
    <xf numFmtId="0" fontId="36" fillId="0" borderId="0" xfId="9" quotePrefix="1" applyNumberFormat="1" applyFont="1" applyAlignment="1">
      <alignment horizontal="left" vertical="center" indent="3"/>
    </xf>
    <xf numFmtId="1" fontId="61" fillId="0" borderId="3" xfId="0" applyNumberFormat="1" applyFont="1" applyBorder="1"/>
    <xf numFmtId="0" fontId="53" fillId="0" borderId="3" xfId="0" applyFont="1" applyBorder="1" applyAlignment="1">
      <alignment vertical="center"/>
    </xf>
    <xf numFmtId="0" fontId="110" fillId="0" borderId="0" xfId="9" applyNumberFormat="1" applyFont="1" applyBorder="1" applyAlignment="1">
      <alignment horizontal="left" vertical="center"/>
    </xf>
    <xf numFmtId="167" fontId="18" fillId="0" borderId="1" xfId="17" applyFont="1" applyBorder="1">
      <alignment vertical="center"/>
    </xf>
    <xf numFmtId="0" fontId="110" fillId="0" borderId="6" xfId="9" applyNumberFormat="1" applyFont="1" applyBorder="1" applyAlignment="1">
      <alignment horizontal="left" vertical="center"/>
    </xf>
    <xf numFmtId="0" fontId="16" fillId="0" borderId="1" xfId="9" applyNumberFormat="1" applyFont="1" applyBorder="1" applyAlignment="1">
      <alignment horizontal="left" vertical="center"/>
    </xf>
    <xf numFmtId="0" fontId="35" fillId="0" borderId="6" xfId="0" applyFont="1" applyBorder="1" applyAlignment="1">
      <alignment wrapText="1"/>
    </xf>
    <xf numFmtId="0" fontId="53" fillId="0" borderId="8" xfId="0" applyFont="1" applyBorder="1" applyAlignment="1">
      <alignment vertical="center"/>
    </xf>
    <xf numFmtId="0" fontId="35" fillId="0" borderId="3" xfId="0" applyFont="1" applyBorder="1" applyAlignment="1">
      <alignment wrapText="1"/>
    </xf>
    <xf numFmtId="167" fontId="18" fillId="0" borderId="6" xfId="17" applyFont="1" applyBorder="1" applyAlignment="1">
      <alignment horizontal="right" vertical="center"/>
    </xf>
    <xf numFmtId="167" fontId="119" fillId="0" borderId="3" xfId="17" applyFont="1" applyBorder="1">
      <alignment vertical="center"/>
    </xf>
    <xf numFmtId="167" fontId="35" fillId="0" borderId="1" xfId="17" applyBorder="1">
      <alignment vertical="center"/>
    </xf>
    <xf numFmtId="0" fontId="35" fillId="0" borderId="0" xfId="0" applyFont="1" applyAlignment="1">
      <alignment wrapText="1"/>
    </xf>
    <xf numFmtId="3" fontId="61" fillId="0" borderId="4" xfId="0" applyNumberFormat="1" applyFont="1" applyBorder="1"/>
    <xf numFmtId="0" fontId="119" fillId="0" borderId="4" xfId="0" applyFont="1" applyBorder="1" applyAlignment="1">
      <alignment vertical="center"/>
    </xf>
    <xf numFmtId="0" fontId="153" fillId="0" borderId="4" xfId="0" applyFont="1" applyBorder="1" applyAlignment="1">
      <alignment vertical="center"/>
    </xf>
    <xf numFmtId="3" fontId="119" fillId="0" borderId="4" xfId="0" applyNumberFormat="1" applyFont="1" applyBorder="1" applyAlignment="1">
      <alignment vertical="center" wrapText="1"/>
    </xf>
    <xf numFmtId="3" fontId="119" fillId="0" borderId="4" xfId="0" applyNumberFormat="1" applyFont="1" applyBorder="1" applyAlignment="1">
      <alignment vertical="center"/>
    </xf>
    <xf numFmtId="0" fontId="121" fillId="0" borderId="1" xfId="11" applyFont="1" applyBorder="1" applyAlignment="1">
      <alignment wrapText="1"/>
    </xf>
    <xf numFmtId="0" fontId="155" fillId="0" borderId="4" xfId="0" applyFont="1" applyBorder="1" applyAlignment="1">
      <alignment vertical="center"/>
    </xf>
    <xf numFmtId="3" fontId="155" fillId="13" borderId="4" xfId="0" applyNumberFormat="1" applyFont="1" applyFill="1" applyBorder="1" applyAlignment="1" applyProtection="1">
      <alignment vertical="center" wrapText="1"/>
      <protection locked="0"/>
    </xf>
    <xf numFmtId="3" fontId="155" fillId="0" borderId="4" xfId="0" applyNumberFormat="1" applyFont="1" applyBorder="1" applyAlignment="1">
      <alignment vertical="center" wrapText="1"/>
    </xf>
    <xf numFmtId="3" fontId="155" fillId="0" borderId="4" xfId="0" applyNumberFormat="1" applyFont="1" applyBorder="1" applyAlignment="1">
      <alignment vertical="center"/>
    </xf>
    <xf numFmtId="2" fontId="155" fillId="0" borderId="0" xfId="0" applyNumberFormat="1" applyFont="1" applyAlignment="1">
      <alignment wrapText="1"/>
    </xf>
    <xf numFmtId="0" fontId="155" fillId="0" borderId="0" xfId="11" applyFont="1" applyAlignment="1">
      <alignment wrapText="1"/>
    </xf>
    <xf numFmtId="0" fontId="32" fillId="0" borderId="1" xfId="10" applyFont="1" applyFill="1" applyBorder="1"/>
    <xf numFmtId="0" fontId="32" fillId="0" borderId="1" xfId="10" applyFont="1" applyFill="1" applyBorder="1" applyAlignment="1">
      <alignment wrapText="1"/>
    </xf>
    <xf numFmtId="0" fontId="32" fillId="0" borderId="7" xfId="21" applyBorder="1"/>
    <xf numFmtId="0" fontId="32" fillId="0" borderId="7" xfId="21" applyBorder="1" applyAlignment="1">
      <alignment wrapText="1"/>
    </xf>
    <xf numFmtId="0" fontId="32" fillId="0" borderId="0" xfId="21" applyBorder="1"/>
    <xf numFmtId="0" fontId="19" fillId="0" borderId="14" xfId="0" applyFont="1" applyBorder="1"/>
    <xf numFmtId="0" fontId="19" fillId="0" borderId="14" xfId="0" applyFont="1" applyBorder="1" applyAlignment="1">
      <alignment wrapText="1"/>
    </xf>
    <xf numFmtId="0" fontId="18" fillId="0" borderId="29" xfId="0" applyFont="1" applyBorder="1" applyAlignment="1">
      <alignment vertical="center"/>
    </xf>
    <xf numFmtId="0" fontId="23" fillId="0" borderId="29" xfId="0" applyFont="1" applyBorder="1" applyAlignment="1">
      <alignment vertical="center"/>
    </xf>
    <xf numFmtId="3" fontId="26" fillId="0" borderId="29" xfId="0" applyNumberFormat="1" applyFont="1" applyBorder="1" applyAlignment="1">
      <alignment vertical="center" wrapText="1"/>
    </xf>
    <xf numFmtId="3" fontId="20" fillId="0" borderId="29" xfId="0" applyNumberFormat="1" applyFont="1" applyBorder="1" applyAlignment="1">
      <alignment vertical="center"/>
    </xf>
    <xf numFmtId="0" fontId="61" fillId="0" borderId="7" xfId="0" applyFont="1" applyBorder="1" applyAlignment="1">
      <alignment horizontal="left" vertical="center"/>
    </xf>
    <xf numFmtId="0" fontId="61" fillId="0" borderId="8" xfId="0" applyFont="1" applyBorder="1" applyAlignment="1">
      <alignment horizontal="left" vertical="center"/>
    </xf>
    <xf numFmtId="49" fontId="18" fillId="0" borderId="0" xfId="0" applyNumberFormat="1" applyFont="1" applyAlignment="1">
      <alignment vertical="center" wrapText="1"/>
    </xf>
    <xf numFmtId="49" fontId="18" fillId="0" borderId="1" xfId="0" applyNumberFormat="1" applyFont="1" applyBorder="1" applyAlignment="1">
      <alignment vertical="center" wrapText="1"/>
    </xf>
    <xf numFmtId="49" fontId="158" fillId="0" borderId="0" xfId="26" applyNumberFormat="1" applyFont="1" applyBorder="1" applyAlignment="1">
      <alignment vertical="center" wrapText="1"/>
    </xf>
    <xf numFmtId="0" fontId="18" fillId="0" borderId="8" xfId="3" applyFont="1" applyBorder="1" applyProtection="1">
      <protection locked="0"/>
    </xf>
    <xf numFmtId="9" fontId="35" fillId="0" borderId="7" xfId="1" applyFont="1" applyBorder="1" applyProtection="1">
      <protection locked="0"/>
    </xf>
    <xf numFmtId="10" fontId="169" fillId="0" borderId="4" xfId="1" applyNumberFormat="1" applyFont="1" applyFill="1" applyBorder="1" applyAlignment="1" applyProtection="1">
      <alignment horizontal="right" vertical="top"/>
    </xf>
    <xf numFmtId="49" fontId="169" fillId="0" borderId="4" xfId="11" applyNumberFormat="1" applyFont="1" applyBorder="1" applyAlignment="1">
      <alignment horizontal="left" vertical="top" indent="1"/>
    </xf>
    <xf numFmtId="0" fontId="169" fillId="0" borderId="4" xfId="11" applyFont="1" applyBorder="1" applyAlignment="1">
      <alignment vertical="top"/>
    </xf>
    <xf numFmtId="10" fontId="169" fillId="0" borderId="4" xfId="1" applyNumberFormat="1" applyFont="1" applyFill="1" applyBorder="1" applyAlignment="1" applyProtection="1">
      <alignment vertical="top"/>
    </xf>
    <xf numFmtId="172" fontId="169" fillId="0" borderId="4" xfId="11" applyNumberFormat="1" applyFont="1" applyBorder="1" applyAlignment="1">
      <alignment vertical="top"/>
    </xf>
    <xf numFmtId="3" fontId="169" fillId="0" borderId="4" xfId="0" applyNumberFormat="1" applyFont="1" applyBorder="1"/>
    <xf numFmtId="0" fontId="170" fillId="0" borderId="0" xfId="11" applyFont="1" applyAlignment="1">
      <alignment vertical="top"/>
    </xf>
    <xf numFmtId="10" fontId="171" fillId="0" borderId="4" xfId="1" applyNumberFormat="1" applyFont="1" applyFill="1" applyBorder="1" applyAlignment="1" applyProtection="1">
      <alignment vertical="top"/>
    </xf>
    <xf numFmtId="172" fontId="171" fillId="0" borderId="4" xfId="11" applyNumberFormat="1" applyFont="1" applyBorder="1" applyAlignment="1">
      <alignment vertical="top"/>
    </xf>
    <xf numFmtId="3" fontId="171" fillId="0" borderId="4" xfId="0" applyNumberFormat="1" applyFont="1" applyBorder="1"/>
    <xf numFmtId="49" fontId="169" fillId="0" borderId="3" xfId="11" applyNumberFormat="1" applyFont="1" applyBorder="1" applyAlignment="1">
      <alignment horizontal="left" vertical="top" indent="1"/>
    </xf>
    <xf numFmtId="0" fontId="169" fillId="0" borderId="3" xfId="11" applyFont="1" applyBorder="1" applyAlignment="1">
      <alignment vertical="top"/>
    </xf>
    <xf numFmtId="10" fontId="169" fillId="0" borderId="3" xfId="1" applyNumberFormat="1" applyFont="1" applyFill="1" applyBorder="1" applyAlignment="1" applyProtection="1">
      <alignment horizontal="right" vertical="top"/>
    </xf>
    <xf numFmtId="10" fontId="171" fillId="0" borderId="3" xfId="1" applyNumberFormat="1" applyFont="1" applyFill="1" applyBorder="1" applyAlignment="1" applyProtection="1">
      <alignment vertical="top"/>
    </xf>
    <xf numFmtId="10" fontId="169" fillId="0" borderId="3" xfId="1" applyNumberFormat="1" applyFont="1" applyFill="1" applyBorder="1" applyAlignment="1" applyProtection="1">
      <alignment vertical="top"/>
    </xf>
    <xf numFmtId="172" fontId="169" fillId="0" borderId="3" xfId="11" applyNumberFormat="1" applyFont="1" applyBorder="1" applyAlignment="1">
      <alignment vertical="top"/>
    </xf>
    <xf numFmtId="3" fontId="169" fillId="0" borderId="3" xfId="0" applyNumberFormat="1" applyFont="1" applyBorder="1"/>
    <xf numFmtId="49" fontId="169" fillId="0" borderId="6" xfId="11" applyNumberFormat="1" applyFont="1" applyBorder="1" applyAlignment="1">
      <alignment horizontal="left" vertical="top" indent="1"/>
    </xf>
    <xf numFmtId="0" fontId="169" fillId="0" borderId="6" xfId="11" applyFont="1" applyBorder="1" applyAlignment="1">
      <alignment vertical="top"/>
    </xf>
    <xf numFmtId="10" fontId="169" fillId="0" borderId="6" xfId="1" applyNumberFormat="1" applyFont="1" applyFill="1" applyBorder="1" applyAlignment="1" applyProtection="1">
      <alignment horizontal="right" vertical="top"/>
    </xf>
    <xf numFmtId="10" fontId="169" fillId="0" borderId="6" xfId="1" applyNumberFormat="1" applyFont="1" applyFill="1" applyBorder="1" applyAlignment="1" applyProtection="1">
      <alignment vertical="top"/>
    </xf>
    <xf numFmtId="172" fontId="169" fillId="0" borderId="6" xfId="11" applyNumberFormat="1" applyFont="1" applyBorder="1" applyAlignment="1">
      <alignment vertical="top"/>
    </xf>
    <xf numFmtId="3" fontId="169" fillId="0" borderId="6" xfId="0" applyNumberFormat="1" applyFont="1" applyBorder="1"/>
    <xf numFmtId="10" fontId="171" fillId="0" borderId="6" xfId="1" applyNumberFormat="1" applyFont="1" applyFill="1" applyBorder="1" applyAlignment="1" applyProtection="1">
      <alignment vertical="top"/>
    </xf>
    <xf numFmtId="10" fontId="14" fillId="0" borderId="0" xfId="11" applyNumberFormat="1" applyFont="1" applyAlignment="1">
      <alignment vertical="top"/>
    </xf>
    <xf numFmtId="0" fontId="89" fillId="0" borderId="0" xfId="11" applyFont="1" applyAlignment="1">
      <alignment horizontal="left" vertical="center"/>
    </xf>
    <xf numFmtId="168" fontId="89" fillId="0" borderId="0" xfId="1" applyNumberFormat="1" applyFont="1" applyFill="1" applyBorder="1" applyAlignment="1" applyProtection="1">
      <alignment vertical="center"/>
    </xf>
    <xf numFmtId="3" fontId="89" fillId="0" borderId="0" xfId="0" applyNumberFormat="1" applyFont="1" applyAlignment="1">
      <alignment vertical="center"/>
    </xf>
    <xf numFmtId="49" fontId="173" fillId="0" borderId="0" xfId="0" applyNumberFormat="1" applyFont="1" applyAlignment="1">
      <alignment horizontal="left" vertical="center"/>
    </xf>
    <xf numFmtId="0" fontId="174" fillId="0" borderId="0" xfId="11" applyFont="1" applyAlignment="1">
      <alignment vertical="center"/>
    </xf>
    <xf numFmtId="49" fontId="173" fillId="0" borderId="0" xfId="11" applyNumberFormat="1" applyFont="1" applyAlignment="1">
      <alignment horizontal="left" vertical="center"/>
    </xf>
    <xf numFmtId="49" fontId="175" fillId="0" borderId="0" xfId="11" applyNumberFormat="1" applyFont="1" applyAlignment="1">
      <alignment horizontal="left" vertical="center"/>
    </xf>
    <xf numFmtId="0" fontId="176" fillId="0" borderId="0" xfId="11" applyFont="1" applyAlignment="1">
      <alignment vertical="center"/>
    </xf>
    <xf numFmtId="49" fontId="175" fillId="0" borderId="17" xfId="11" applyNumberFormat="1" applyFont="1" applyBorder="1" applyAlignment="1">
      <alignment horizontal="left" vertical="center"/>
    </xf>
    <xf numFmtId="172" fontId="121" fillId="0" borderId="3" xfId="11" applyNumberFormat="1" applyFont="1" applyBorder="1" applyAlignment="1">
      <alignment vertical="top"/>
    </xf>
    <xf numFmtId="0" fontId="35" fillId="0" borderId="30" xfId="0" applyFont="1" applyBorder="1"/>
    <xf numFmtId="0" fontId="53" fillId="0" borderId="30" xfId="0" applyFont="1" applyBorder="1" applyAlignment="1">
      <alignment vertical="center"/>
    </xf>
    <xf numFmtId="0" fontId="33" fillId="0" borderId="30" xfId="12" applyBorder="1" applyAlignment="1">
      <alignment vertical="center"/>
    </xf>
    <xf numFmtId="0" fontId="33" fillId="0" borderId="30" xfId="12" applyBorder="1" applyAlignment="1"/>
    <xf numFmtId="0" fontId="25" fillId="0" borderId="3" xfId="11" applyFont="1" applyBorder="1" applyAlignment="1">
      <alignment vertical="center" wrapText="1"/>
    </xf>
    <xf numFmtId="0" fontId="25" fillId="0" borderId="4" xfId="11" applyFont="1" applyBorder="1" applyAlignment="1">
      <alignment wrapText="1"/>
    </xf>
    <xf numFmtId="0" fontId="61" fillId="0" borderId="4" xfId="0" applyFont="1" applyBorder="1" applyAlignment="1">
      <alignment horizontal="left" vertical="center"/>
    </xf>
    <xf numFmtId="3" fontId="142" fillId="0" borderId="3" xfId="11" applyNumberFormat="1" applyFont="1" applyBorder="1" applyAlignment="1">
      <alignment vertical="center"/>
    </xf>
    <xf numFmtId="0" fontId="141" fillId="0" borderId="4" xfId="11" applyFont="1" applyBorder="1" applyAlignment="1">
      <alignment horizontal="left" vertical="center"/>
    </xf>
    <xf numFmtId="0" fontId="89" fillId="0" borderId="16" xfId="11" applyFont="1" applyBorder="1" applyAlignment="1">
      <alignment horizontal="left" vertical="center"/>
    </xf>
    <xf numFmtId="168" fontId="89" fillId="0" borderId="16" xfId="1" applyNumberFormat="1" applyFont="1" applyFill="1" applyBorder="1" applyAlignment="1" applyProtection="1">
      <alignment vertical="center"/>
    </xf>
    <xf numFmtId="3" fontId="89" fillId="0" borderId="16" xfId="0" applyNumberFormat="1" applyFont="1" applyBorder="1" applyAlignment="1">
      <alignment vertical="center"/>
    </xf>
    <xf numFmtId="172" fontId="172" fillId="0" borderId="16" xfId="11" applyNumberFormat="1" applyFont="1" applyBorder="1" applyAlignment="1">
      <alignment vertical="center"/>
    </xf>
    <xf numFmtId="3" fontId="142" fillId="0" borderId="16" xfId="11" applyNumberFormat="1" applyFont="1" applyBorder="1" applyAlignment="1">
      <alignment vertical="center"/>
    </xf>
    <xf numFmtId="49" fontId="89" fillId="0" borderId="17" xfId="11" applyNumberFormat="1" applyFont="1" applyBorder="1" applyAlignment="1">
      <alignment horizontal="left" vertical="center"/>
    </xf>
    <xf numFmtId="3" fontId="171" fillId="0" borderId="6" xfId="0" applyNumberFormat="1" applyFont="1" applyBorder="1"/>
    <xf numFmtId="172" fontId="152" fillId="0" borderId="4" xfId="11" applyNumberFormat="1" applyFont="1" applyBorder="1" applyAlignment="1">
      <alignment vertical="top"/>
    </xf>
    <xf numFmtId="172" fontId="177" fillId="0" borderId="4" xfId="11" applyNumberFormat="1" applyFont="1" applyBorder="1" applyAlignment="1">
      <alignment vertical="top"/>
    </xf>
    <xf numFmtId="172" fontId="177" fillId="0" borderId="6" xfId="11" applyNumberFormat="1" applyFont="1" applyBorder="1" applyAlignment="1">
      <alignment vertical="top"/>
    </xf>
    <xf numFmtId="172" fontId="178" fillId="0" borderId="4" xfId="11" applyNumberFormat="1" applyFont="1" applyBorder="1" applyAlignment="1">
      <alignment vertical="top"/>
    </xf>
    <xf numFmtId="172" fontId="178" fillId="0" borderId="3" xfId="11" applyNumberFormat="1" applyFont="1" applyBorder="1" applyAlignment="1">
      <alignment vertical="top"/>
    </xf>
    <xf numFmtId="172" fontId="178" fillId="0" borderId="6" xfId="11" applyNumberFormat="1" applyFont="1" applyBorder="1" applyAlignment="1">
      <alignment vertical="top"/>
    </xf>
    <xf numFmtId="0" fontId="14" fillId="0" borderId="1" xfId="11" applyFont="1" applyBorder="1" applyAlignment="1">
      <alignment vertical="top"/>
    </xf>
    <xf numFmtId="49" fontId="169" fillId="0" borderId="1" xfId="11" applyNumberFormat="1" applyFont="1" applyBorder="1" applyAlignment="1">
      <alignment horizontal="left" vertical="top" indent="1"/>
    </xf>
    <xf numFmtId="0" fontId="169" fillId="0" borderId="1" xfId="11" applyFont="1" applyBorder="1" applyAlignment="1">
      <alignment vertical="top"/>
    </xf>
    <xf numFmtId="10" fontId="169" fillId="0" borderId="1" xfId="1" applyNumberFormat="1" applyFont="1" applyFill="1" applyBorder="1" applyAlignment="1" applyProtection="1">
      <alignment horizontal="right" vertical="top"/>
    </xf>
    <xf numFmtId="10" fontId="18" fillId="0" borderId="1" xfId="1" applyNumberFormat="1" applyFont="1" applyFill="1" applyBorder="1" applyAlignment="1" applyProtection="1">
      <alignment vertical="top"/>
    </xf>
    <xf numFmtId="172" fontId="121" fillId="0" borderId="1" xfId="11" applyNumberFormat="1" applyFont="1" applyBorder="1" applyAlignment="1">
      <alignment vertical="top"/>
    </xf>
    <xf numFmtId="3" fontId="171" fillId="0" borderId="1" xfId="0" applyNumberFormat="1" applyFont="1" applyBorder="1"/>
    <xf numFmtId="3" fontId="171" fillId="0" borderId="3" xfId="0" applyNumberFormat="1" applyFont="1" applyBorder="1"/>
    <xf numFmtId="0" fontId="14" fillId="0" borderId="7" xfId="11" applyFont="1" applyBorder="1" applyAlignment="1">
      <alignment vertical="top"/>
    </xf>
    <xf numFmtId="0" fontId="14" fillId="0" borderId="4" xfId="11" applyFont="1" applyBorder="1" applyAlignment="1">
      <alignment vertical="top"/>
    </xf>
    <xf numFmtId="3" fontId="179" fillId="0" borderId="0" xfId="11" applyNumberFormat="1" applyFont="1"/>
    <xf numFmtId="0" fontId="179" fillId="0" borderId="0" xfId="11" applyFont="1"/>
    <xf numFmtId="0" fontId="179" fillId="0" borderId="0" xfId="11" applyFont="1" applyAlignment="1">
      <alignment vertical="top"/>
    </xf>
    <xf numFmtId="0" fontId="179" fillId="0" borderId="7" xfId="11" applyFont="1" applyBorder="1" applyAlignment="1">
      <alignment vertical="top"/>
    </xf>
    <xf numFmtId="0" fontId="179" fillId="0" borderId="4" xfId="11" applyFont="1" applyBorder="1" applyAlignment="1">
      <alignment vertical="top"/>
    </xf>
    <xf numFmtId="0" fontId="179" fillId="0" borderId="1" xfId="11" applyFont="1" applyBorder="1" applyAlignment="1">
      <alignment vertical="top"/>
    </xf>
    <xf numFmtId="0" fontId="180" fillId="0" borderId="0" xfId="11" applyFont="1" applyAlignment="1">
      <alignment vertical="top"/>
    </xf>
    <xf numFmtId="0" fontId="181" fillId="0" borderId="0" xfId="11" applyFont="1" applyAlignment="1">
      <alignment vertical="top"/>
    </xf>
    <xf numFmtId="172" fontId="177" fillId="0" borderId="3" xfId="11" applyNumberFormat="1" applyFont="1" applyBorder="1" applyAlignment="1">
      <alignment vertical="top"/>
    </xf>
    <xf numFmtId="0" fontId="75" fillId="0" borderId="3" xfId="0" applyFont="1" applyBorder="1" applyAlignment="1">
      <alignment horizontal="left" vertical="center"/>
    </xf>
    <xf numFmtId="10" fontId="35" fillId="0" borderId="0" xfId="1" applyNumberFormat="1" applyFont="1" applyFill="1" applyBorder="1" applyAlignment="1">
      <alignment vertical="center"/>
    </xf>
    <xf numFmtId="10" fontId="35" fillId="0" borderId="0" xfId="1" applyNumberFormat="1" applyFont="1" applyBorder="1"/>
    <xf numFmtId="10" fontId="171" fillId="0" borderId="1" xfId="1" applyNumberFormat="1" applyFont="1" applyFill="1" applyBorder="1" applyAlignment="1" applyProtection="1">
      <alignment vertical="top"/>
    </xf>
    <xf numFmtId="172" fontId="177" fillId="0" borderId="1" xfId="11" applyNumberFormat="1" applyFont="1" applyBorder="1" applyAlignment="1">
      <alignment vertical="top"/>
    </xf>
    <xf numFmtId="0" fontId="6" fillId="0" borderId="4" xfId="11" applyBorder="1"/>
    <xf numFmtId="3" fontId="126" fillId="0" borderId="4" xfId="0" applyNumberFormat="1" applyFont="1" applyBorder="1" applyAlignment="1">
      <alignment horizontal="right" wrapText="1"/>
    </xf>
    <xf numFmtId="0" fontId="104" fillId="0" borderId="7" xfId="9" applyNumberFormat="1" applyFont="1" applyBorder="1" applyAlignment="1">
      <alignment horizontal="left" vertical="center" indent="2"/>
    </xf>
    <xf numFmtId="0" fontId="104" fillId="0" borderId="4" xfId="9" applyNumberFormat="1" applyFont="1" applyBorder="1" applyAlignment="1">
      <alignment horizontal="left" vertical="center" indent="2"/>
    </xf>
    <xf numFmtId="0" fontId="104" fillId="0" borderId="6" xfId="9" applyNumberFormat="1" applyFont="1" applyBorder="1" applyAlignment="1">
      <alignment horizontal="left" vertical="center" indent="2"/>
    </xf>
    <xf numFmtId="0" fontId="110" fillId="0" borderId="3" xfId="9" applyNumberFormat="1" applyFont="1" applyBorder="1" applyAlignment="1">
      <alignment horizontal="left" vertical="center"/>
    </xf>
    <xf numFmtId="3" fontId="61" fillId="0" borderId="3" xfId="0" applyNumberFormat="1" applyFont="1" applyBorder="1"/>
    <xf numFmtId="0" fontId="33" fillId="0" borderId="0" xfId="12" applyBorder="1" applyAlignment="1">
      <alignment vertical="center"/>
    </xf>
    <xf numFmtId="9" fontId="14" fillId="0" borderId="0" xfId="11" applyNumberFormat="1" applyFont="1" applyAlignment="1">
      <alignment vertical="top"/>
    </xf>
    <xf numFmtId="0" fontId="119" fillId="0" borderId="0" xfId="11" applyFont="1" applyAlignment="1">
      <alignment horizontal="left"/>
    </xf>
    <xf numFmtId="0" fontId="119" fillId="0" borderId="0" xfId="11" applyFont="1"/>
    <xf numFmtId="9" fontId="119" fillId="0" borderId="0" xfId="1" applyFont="1"/>
    <xf numFmtId="0" fontId="142" fillId="0" borderId="0" xfId="11" applyFont="1" applyAlignment="1">
      <alignment horizontal="left"/>
    </xf>
    <xf numFmtId="0" fontId="142" fillId="0" borderId="0" xfId="11" applyFont="1"/>
    <xf numFmtId="9" fontId="142" fillId="0" borderId="0" xfId="1" applyFont="1"/>
    <xf numFmtId="0" fontId="98" fillId="0" borderId="0" xfId="11" applyFont="1" applyAlignment="1">
      <alignment horizontal="left"/>
    </xf>
    <xf numFmtId="49" fontId="100" fillId="0" borderId="17" xfId="11" applyNumberFormat="1" applyFont="1" applyBorder="1" applyAlignment="1">
      <alignment horizontal="left" vertical="center"/>
    </xf>
    <xf numFmtId="0" fontId="141" fillId="0" borderId="3" xfId="11" applyFont="1" applyBorder="1" applyAlignment="1">
      <alignment horizontal="left" vertical="center"/>
    </xf>
    <xf numFmtId="172" fontId="172" fillId="0" borderId="3" xfId="11" applyNumberFormat="1" applyFont="1" applyBorder="1" applyAlignment="1">
      <alignment vertical="center"/>
    </xf>
    <xf numFmtId="3" fontId="182" fillId="0" borderId="17" xfId="11" applyNumberFormat="1" applyFont="1" applyBorder="1" applyAlignment="1">
      <alignment vertical="center"/>
    </xf>
    <xf numFmtId="3" fontId="88" fillId="0" borderId="17" xfId="11" applyNumberFormat="1" applyFont="1" applyBorder="1" applyAlignment="1">
      <alignment vertical="center"/>
    </xf>
    <xf numFmtId="0" fontId="90" fillId="0" borderId="17" xfId="11" applyFont="1" applyBorder="1" applyAlignment="1">
      <alignment horizontal="right" vertical="center"/>
    </xf>
    <xf numFmtId="0" fontId="98" fillId="0" borderId="17" xfId="11" applyFont="1" applyBorder="1" applyAlignment="1">
      <alignment horizontal="right" vertical="center"/>
    </xf>
    <xf numFmtId="3" fontId="99" fillId="0" borderId="1" xfId="11" applyNumberFormat="1" applyFont="1" applyBorder="1" applyAlignment="1">
      <alignment horizontal="right" textRotation="90" wrapText="1"/>
    </xf>
    <xf numFmtId="10" fontId="87" fillId="0" borderId="0" xfId="1" applyNumberFormat="1" applyFont="1" applyBorder="1" applyAlignment="1" applyProtection="1">
      <alignment horizontal="right" vertical="center"/>
    </xf>
    <xf numFmtId="2" fontId="183" fillId="0" borderId="3" xfId="11" applyNumberFormat="1" applyFont="1" applyBorder="1" applyAlignment="1">
      <alignment horizontal="left" vertical="center"/>
    </xf>
    <xf numFmtId="0" fontId="183" fillId="0" borderId="4" xfId="11" applyFont="1" applyBorder="1" applyAlignment="1">
      <alignment horizontal="left" vertical="center"/>
    </xf>
    <xf numFmtId="168" fontId="183" fillId="0" borderId="4" xfId="1" applyNumberFormat="1" applyFont="1" applyFill="1" applyBorder="1" applyAlignment="1" applyProtection="1">
      <alignment vertical="center"/>
    </xf>
    <xf numFmtId="3" fontId="183" fillId="0" borderId="4" xfId="0" applyNumberFormat="1" applyFont="1" applyBorder="1" applyAlignment="1">
      <alignment vertical="center"/>
    </xf>
    <xf numFmtId="3" fontId="184" fillId="0" borderId="4" xfId="11" applyNumberFormat="1" applyFont="1" applyBorder="1" applyAlignment="1">
      <alignment vertical="center"/>
    </xf>
    <xf numFmtId="172" fontId="185" fillId="0" borderId="4" xfId="11" applyNumberFormat="1" applyFont="1" applyBorder="1" applyAlignment="1">
      <alignment vertical="center"/>
    </xf>
    <xf numFmtId="3" fontId="183" fillId="0" borderId="4" xfId="11" applyNumberFormat="1" applyFont="1" applyBorder="1" applyAlignment="1">
      <alignment vertical="center"/>
    </xf>
    <xf numFmtId="3" fontId="183" fillId="0" borderId="4" xfId="11" applyNumberFormat="1" applyFont="1" applyBorder="1" applyAlignment="1">
      <alignment horizontal="left" vertical="center"/>
    </xf>
    <xf numFmtId="3" fontId="183" fillId="0" borderId="17" xfId="11" applyNumberFormat="1" applyFont="1" applyBorder="1" applyAlignment="1">
      <alignment horizontal="left" vertical="center"/>
    </xf>
    <xf numFmtId="168" fontId="183" fillId="0" borderId="17" xfId="1" applyNumberFormat="1" applyFont="1" applyFill="1" applyBorder="1" applyAlignment="1" applyProtection="1">
      <alignment vertical="center"/>
    </xf>
    <xf numFmtId="3" fontId="183" fillId="0" borderId="17" xfId="0" applyNumberFormat="1" applyFont="1" applyBorder="1" applyAlignment="1">
      <alignment vertical="center"/>
    </xf>
    <xf numFmtId="172" fontId="185" fillId="0" borderId="17" xfId="11" applyNumberFormat="1" applyFont="1" applyBorder="1" applyAlignment="1">
      <alignment vertical="center"/>
    </xf>
    <xf numFmtId="3" fontId="183" fillId="0" borderId="11" xfId="11" applyNumberFormat="1" applyFont="1" applyBorder="1" applyAlignment="1">
      <alignment vertical="center"/>
    </xf>
    <xf numFmtId="0" fontId="142" fillId="0" borderId="0" xfId="11" applyFont="1" applyAlignment="1">
      <alignment horizontal="left" vertical="center"/>
    </xf>
    <xf numFmtId="168" fontId="142" fillId="0" borderId="0" xfId="1" applyNumberFormat="1" applyFont="1" applyFill="1" applyBorder="1" applyAlignment="1" applyProtection="1">
      <alignment vertical="center"/>
    </xf>
    <xf numFmtId="3" fontId="142" fillId="0" borderId="0" xfId="0" applyNumberFormat="1" applyFont="1" applyAlignment="1">
      <alignment vertical="center"/>
    </xf>
    <xf numFmtId="0" fontId="187" fillId="0" borderId="0" xfId="11" applyFont="1" applyAlignment="1">
      <alignment horizontal="left" vertical="center"/>
    </xf>
    <xf numFmtId="168" fontId="187" fillId="0" borderId="0" xfId="1" applyNumberFormat="1" applyFont="1" applyFill="1" applyBorder="1" applyAlignment="1" applyProtection="1">
      <alignment vertical="center"/>
    </xf>
    <xf numFmtId="3" fontId="187" fillId="0" borderId="0" xfId="0" applyNumberFormat="1" applyFont="1" applyAlignment="1">
      <alignment vertical="center"/>
    </xf>
    <xf numFmtId="3" fontId="187" fillId="0" borderId="4" xfId="11" applyNumberFormat="1" applyFont="1" applyBorder="1" applyAlignment="1">
      <alignment vertical="center"/>
    </xf>
    <xf numFmtId="172" fontId="188" fillId="0" borderId="11" xfId="11" applyNumberFormat="1" applyFont="1" applyBorder="1" applyAlignment="1">
      <alignment vertical="center"/>
    </xf>
    <xf numFmtId="2" fontId="183" fillId="0" borderId="17" xfId="11" applyNumberFormat="1" applyFont="1" applyBorder="1" applyAlignment="1">
      <alignment horizontal="left" vertical="center"/>
    </xf>
    <xf numFmtId="0" fontId="183" fillId="0" borderId="11" xfId="11" applyFont="1" applyBorder="1" applyAlignment="1">
      <alignment horizontal="left" vertical="center"/>
    </xf>
    <xf numFmtId="168" fontId="183" fillId="0" borderId="11" xfId="1" applyNumberFormat="1" applyFont="1" applyFill="1" applyBorder="1" applyAlignment="1" applyProtection="1">
      <alignment vertical="center"/>
    </xf>
    <xf numFmtId="3" fontId="183" fillId="0" borderId="11" xfId="0" applyNumberFormat="1" applyFont="1" applyBorder="1" applyAlignment="1">
      <alignment vertical="center"/>
    </xf>
    <xf numFmtId="172" fontId="185" fillId="0" borderId="11" xfId="11" applyNumberFormat="1" applyFont="1" applyBorder="1" applyAlignment="1">
      <alignment vertical="center"/>
    </xf>
    <xf numFmtId="0" fontId="189" fillId="0" borderId="3" xfId="11" applyFont="1" applyBorder="1" applyAlignment="1">
      <alignment horizontal="left" vertical="center"/>
    </xf>
    <xf numFmtId="2" fontId="190" fillId="0" borderId="3" xfId="11" applyNumberFormat="1" applyFont="1" applyBorder="1" applyAlignment="1">
      <alignment horizontal="left" vertical="center"/>
    </xf>
    <xf numFmtId="2" fontId="191" fillId="0" borderId="3" xfId="11" applyNumberFormat="1" applyFont="1" applyBorder="1" applyAlignment="1">
      <alignment horizontal="left" vertical="center"/>
    </xf>
    <xf numFmtId="2" fontId="191" fillId="0" borderId="17" xfId="11" applyNumberFormat="1" applyFont="1" applyBorder="1" applyAlignment="1">
      <alignment horizontal="left" vertical="center"/>
    </xf>
    <xf numFmtId="3" fontId="192" fillId="0" borderId="3" xfId="11" applyNumberFormat="1" applyFont="1" applyBorder="1" applyAlignment="1">
      <alignment vertical="center"/>
    </xf>
    <xf numFmtId="3" fontId="192" fillId="0" borderId="4" xfId="11" applyNumberFormat="1" applyFont="1" applyBorder="1" applyAlignment="1">
      <alignment vertical="center"/>
    </xf>
    <xf numFmtId="3" fontId="191" fillId="0" borderId="4" xfId="11" applyNumberFormat="1" applyFont="1" applyBorder="1" applyAlignment="1">
      <alignment vertical="center"/>
    </xf>
    <xf numFmtId="3" fontId="191" fillId="0" borderId="11" xfId="11" applyNumberFormat="1" applyFont="1" applyBorder="1" applyAlignment="1">
      <alignment vertical="center"/>
    </xf>
    <xf numFmtId="3" fontId="189" fillId="0" borderId="3" xfId="11" applyNumberFormat="1" applyFont="1" applyBorder="1" applyAlignment="1">
      <alignment vertical="center"/>
    </xf>
    <xf numFmtId="0" fontId="193" fillId="0" borderId="0" xfId="11" applyFont="1" applyAlignment="1">
      <alignment horizontal="left" vertical="center"/>
    </xf>
    <xf numFmtId="172" fontId="194" fillId="0" borderId="3" xfId="11" applyNumberFormat="1" applyFont="1" applyBorder="1" applyAlignment="1">
      <alignment vertical="center"/>
    </xf>
    <xf numFmtId="172" fontId="194" fillId="0" borderId="4" xfId="11" applyNumberFormat="1" applyFont="1" applyBorder="1" applyAlignment="1">
      <alignment vertical="center"/>
    </xf>
    <xf numFmtId="172" fontId="195" fillId="0" borderId="4" xfId="11" applyNumberFormat="1" applyFont="1" applyBorder="1" applyAlignment="1">
      <alignment vertical="center"/>
    </xf>
    <xf numFmtId="172" fontId="195" fillId="0" borderId="11" xfId="11" applyNumberFormat="1" applyFont="1" applyBorder="1" applyAlignment="1">
      <alignment vertical="center"/>
    </xf>
    <xf numFmtId="172" fontId="196" fillId="0" borderId="17" xfId="11" applyNumberFormat="1" applyFont="1" applyBorder="1" applyAlignment="1">
      <alignment vertical="center"/>
    </xf>
    <xf numFmtId="2" fontId="183" fillId="0" borderId="4" xfId="11" applyNumberFormat="1" applyFont="1" applyBorder="1" applyAlignment="1">
      <alignment horizontal="left" vertical="center"/>
    </xf>
    <xf numFmtId="3" fontId="193" fillId="0" borderId="3" xfId="11" applyNumberFormat="1" applyFont="1" applyBorder="1" applyAlignment="1">
      <alignment vertical="center"/>
    </xf>
    <xf numFmtId="172" fontId="188" fillId="0" borderId="17" xfId="11" applyNumberFormat="1" applyFont="1" applyBorder="1" applyAlignment="1">
      <alignment vertical="center"/>
    </xf>
    <xf numFmtId="2" fontId="183" fillId="0" borderId="11" xfId="11" applyNumberFormat="1" applyFont="1" applyBorder="1" applyAlignment="1">
      <alignment horizontal="left" vertical="center"/>
    </xf>
    <xf numFmtId="0" fontId="142" fillId="0" borderId="16" xfId="11" applyFont="1" applyBorder="1" applyAlignment="1">
      <alignment horizontal="left" vertical="center"/>
    </xf>
    <xf numFmtId="168" fontId="142" fillId="0" borderId="16" xfId="1" applyNumberFormat="1" applyFont="1" applyFill="1" applyBorder="1" applyAlignment="1" applyProtection="1">
      <alignment vertical="center"/>
    </xf>
    <xf numFmtId="3" fontId="142" fillId="0" borderId="16" xfId="0" applyNumberFormat="1" applyFont="1" applyBorder="1" applyAlignment="1">
      <alignment vertical="center"/>
    </xf>
    <xf numFmtId="168" fontId="141" fillId="0" borderId="3" xfId="1" applyNumberFormat="1" applyFont="1" applyFill="1" applyBorder="1" applyAlignment="1" applyProtection="1">
      <alignment vertical="center"/>
    </xf>
    <xf numFmtId="3" fontId="141" fillId="0" borderId="3" xfId="0" applyNumberFormat="1" applyFont="1" applyBorder="1" applyAlignment="1">
      <alignment vertical="center"/>
    </xf>
    <xf numFmtId="168" fontId="141" fillId="0" borderId="4" xfId="1" applyNumberFormat="1" applyFont="1" applyFill="1" applyBorder="1" applyAlignment="1" applyProtection="1">
      <alignment vertical="center"/>
    </xf>
    <xf numFmtId="3" fontId="141" fillId="0" borderId="4" xfId="0" applyNumberFormat="1" applyFont="1" applyBorder="1" applyAlignment="1">
      <alignment vertical="center"/>
    </xf>
    <xf numFmtId="168" fontId="129" fillId="0" borderId="4" xfId="1" applyNumberFormat="1" applyFont="1" applyFill="1" applyBorder="1" applyAlignment="1" applyProtection="1">
      <alignment vertical="center"/>
    </xf>
    <xf numFmtId="3" fontId="129" fillId="0" borderId="4" xfId="0" applyNumberFormat="1" applyFont="1" applyBorder="1" applyAlignment="1">
      <alignment vertical="center"/>
    </xf>
    <xf numFmtId="0" fontId="129" fillId="0" borderId="11" xfId="11" applyFont="1" applyBorder="1" applyAlignment="1">
      <alignment horizontal="left" vertical="center"/>
    </xf>
    <xf numFmtId="168" fontId="129" fillId="0" borderId="11" xfId="1" applyNumberFormat="1" applyFont="1" applyFill="1" applyBorder="1" applyAlignment="1" applyProtection="1">
      <alignment vertical="center"/>
    </xf>
    <xf numFmtId="3" fontId="129" fillId="0" borderId="11" xfId="0" applyNumberFormat="1" applyFont="1" applyBorder="1" applyAlignment="1">
      <alignment vertical="center"/>
    </xf>
    <xf numFmtId="0" fontId="189" fillId="0" borderId="16" xfId="11" applyFont="1" applyBorder="1" applyAlignment="1">
      <alignment horizontal="left" vertical="center"/>
    </xf>
    <xf numFmtId="3" fontId="190" fillId="0" borderId="3" xfId="11" applyNumberFormat="1" applyFont="1" applyBorder="1" applyAlignment="1">
      <alignment vertical="center"/>
    </xf>
    <xf numFmtId="3" fontId="190" fillId="0" borderId="4" xfId="11" applyNumberFormat="1" applyFont="1" applyBorder="1" applyAlignment="1">
      <alignment vertical="center"/>
    </xf>
    <xf numFmtId="172" fontId="200" fillId="0" borderId="3" xfId="11" applyNumberFormat="1" applyFont="1" applyBorder="1" applyAlignment="1">
      <alignment vertical="center"/>
    </xf>
    <xf numFmtId="172" fontId="200" fillId="0" borderId="4" xfId="11" applyNumberFormat="1" applyFont="1" applyBorder="1" applyAlignment="1">
      <alignment vertical="center"/>
    </xf>
    <xf numFmtId="172" fontId="201" fillId="0" borderId="4" xfId="11" applyNumberFormat="1" applyFont="1" applyBorder="1" applyAlignment="1">
      <alignment vertical="center"/>
    </xf>
    <xf numFmtId="0" fontId="183" fillId="0" borderId="3" xfId="11" applyFont="1" applyBorder="1" applyAlignment="1">
      <alignment horizontal="left" vertical="center"/>
    </xf>
    <xf numFmtId="168" fontId="183" fillId="0" borderId="3" xfId="1" applyNumberFormat="1" applyFont="1" applyFill="1" applyBorder="1" applyAlignment="1" applyProtection="1">
      <alignment vertical="center"/>
    </xf>
    <xf numFmtId="3" fontId="183" fillId="0" borderId="3" xfId="0" applyNumberFormat="1" applyFont="1" applyBorder="1" applyAlignment="1">
      <alignment vertical="center"/>
    </xf>
    <xf numFmtId="3" fontId="183" fillId="0" borderId="3" xfId="11" applyNumberFormat="1" applyFont="1" applyBorder="1" applyAlignment="1">
      <alignment vertical="center"/>
    </xf>
    <xf numFmtId="3" fontId="183" fillId="0" borderId="6" xfId="11" applyNumberFormat="1" applyFont="1" applyBorder="1" applyAlignment="1">
      <alignment horizontal="left" vertical="center"/>
    </xf>
    <xf numFmtId="168" fontId="183" fillId="0" borderId="6" xfId="1" applyNumberFormat="1" applyFont="1" applyFill="1" applyBorder="1" applyAlignment="1" applyProtection="1">
      <alignment vertical="center"/>
    </xf>
    <xf numFmtId="3" fontId="183" fillId="0" borderId="6" xfId="0" applyNumberFormat="1" applyFont="1" applyBorder="1" applyAlignment="1">
      <alignment vertical="center"/>
    </xf>
    <xf numFmtId="172" fontId="185" fillId="0" borderId="6" xfId="11" applyNumberFormat="1" applyFont="1" applyBorder="1" applyAlignment="1">
      <alignment vertical="center"/>
    </xf>
    <xf numFmtId="3" fontId="183" fillId="0" borderId="6" xfId="11" applyNumberFormat="1" applyFont="1" applyBorder="1" applyAlignment="1">
      <alignment vertical="center"/>
    </xf>
    <xf numFmtId="2" fontId="183" fillId="0" borderId="1" xfId="11" applyNumberFormat="1" applyFont="1" applyBorder="1" applyAlignment="1">
      <alignment horizontal="right" textRotation="90" wrapText="1"/>
    </xf>
    <xf numFmtId="0" fontId="183" fillId="0" borderId="1" xfId="11" applyFont="1" applyBorder="1" applyAlignment="1">
      <alignment horizontal="right" textRotation="90" wrapText="1"/>
    </xf>
    <xf numFmtId="3" fontId="183" fillId="0" borderId="1" xfId="11" applyNumberFormat="1" applyFont="1" applyBorder="1" applyAlignment="1">
      <alignment horizontal="right" textRotation="90" wrapText="1"/>
    </xf>
    <xf numFmtId="3" fontId="183" fillId="0" borderId="12" xfId="11" applyNumberFormat="1" applyFont="1" applyBorder="1" applyAlignment="1">
      <alignment vertical="center"/>
    </xf>
    <xf numFmtId="3" fontId="183" fillId="12" borderId="12" xfId="11" applyNumberFormat="1" applyFont="1" applyFill="1" applyBorder="1" applyAlignment="1">
      <alignment vertical="center"/>
    </xf>
    <xf numFmtId="10" fontId="142" fillId="0" borderId="0" xfId="1" applyNumberFormat="1" applyFont="1" applyAlignment="1" applyProtection="1">
      <alignment horizontal="right" vertical="center"/>
    </xf>
    <xf numFmtId="10" fontId="183" fillId="0" borderId="0" xfId="1" applyNumberFormat="1" applyFont="1" applyBorder="1" applyAlignment="1" applyProtection="1">
      <alignment horizontal="right" vertical="center"/>
    </xf>
    <xf numFmtId="3" fontId="89" fillId="12" borderId="12" xfId="11" applyNumberFormat="1" applyFont="1" applyFill="1" applyBorder="1" applyAlignment="1">
      <alignment vertical="center"/>
    </xf>
    <xf numFmtId="3" fontId="100" fillId="0" borderId="17" xfId="11" applyNumberFormat="1" applyFont="1" applyBorder="1" applyAlignment="1">
      <alignment vertical="center"/>
    </xf>
    <xf numFmtId="172" fontId="202" fillId="0" borderId="17" xfId="11" applyNumberFormat="1" applyFont="1" applyBorder="1" applyAlignment="1">
      <alignment vertical="center"/>
    </xf>
    <xf numFmtId="172" fontId="185" fillId="0" borderId="12" xfId="11" applyNumberFormat="1" applyFont="1" applyBorder="1" applyAlignment="1">
      <alignment vertical="center"/>
    </xf>
    <xf numFmtId="172" fontId="185" fillId="12" borderId="12" xfId="11" applyNumberFormat="1" applyFont="1" applyFill="1" applyBorder="1" applyAlignment="1">
      <alignment vertical="center"/>
    </xf>
    <xf numFmtId="3" fontId="109" fillId="13" borderId="4" xfId="0" applyNumberFormat="1" applyFont="1" applyFill="1" applyBorder="1" applyAlignment="1" applyProtection="1">
      <alignment wrapText="1"/>
      <protection locked="0"/>
    </xf>
    <xf numFmtId="0" fontId="42" fillId="13" borderId="3" xfId="0" applyFont="1" applyFill="1" applyBorder="1" applyAlignment="1" applyProtection="1">
      <alignment vertical="center"/>
      <protection locked="0"/>
    </xf>
    <xf numFmtId="0" fontId="18" fillId="13" borderId="4" xfId="0" applyFont="1" applyFill="1" applyBorder="1" applyAlignment="1" applyProtection="1">
      <alignment vertical="center"/>
      <protection locked="0"/>
    </xf>
    <xf numFmtId="0" fontId="26" fillId="13" borderId="3" xfId="0" applyFont="1" applyFill="1" applyBorder="1" applyAlignment="1" applyProtection="1">
      <alignment vertical="center" wrapText="1"/>
      <protection locked="0"/>
    </xf>
    <xf numFmtId="0" fontId="42" fillId="13" borderId="4" xfId="0" applyFont="1" applyFill="1" applyBorder="1" applyAlignment="1" applyProtection="1">
      <alignment vertical="center"/>
      <protection locked="0"/>
    </xf>
    <xf numFmtId="168" fontId="118" fillId="13" borderId="0" xfId="1" applyNumberFormat="1" applyFont="1" applyFill="1" applyBorder="1" applyAlignment="1" applyProtection="1">
      <alignment vertical="center"/>
      <protection locked="0"/>
    </xf>
    <xf numFmtId="168" fontId="118" fillId="13" borderId="3" xfId="1" applyNumberFormat="1" applyFont="1" applyFill="1" applyBorder="1" applyAlignment="1" applyProtection="1">
      <alignment vertical="center"/>
      <protection locked="0"/>
    </xf>
    <xf numFmtId="168" fontId="109" fillId="13" borderId="0" xfId="1" applyNumberFormat="1" applyFont="1" applyFill="1" applyBorder="1" applyAlignment="1" applyProtection="1">
      <alignment vertical="center"/>
      <protection locked="0"/>
    </xf>
    <xf numFmtId="168" fontId="109" fillId="13" borderId="3" xfId="1" applyNumberFormat="1" applyFont="1" applyFill="1" applyBorder="1" applyAlignment="1" applyProtection="1">
      <alignment vertical="center"/>
      <protection locked="0"/>
    </xf>
    <xf numFmtId="3" fontId="130" fillId="13" borderId="2" xfId="11" applyNumberFormat="1" applyFont="1" applyFill="1" applyBorder="1" applyAlignment="1" applyProtection="1">
      <alignment vertical="center"/>
      <protection locked="0"/>
    </xf>
    <xf numFmtId="3" fontId="130" fillId="13" borderId="7" xfId="11" applyNumberFormat="1" applyFont="1" applyFill="1" applyBorder="1" applyAlignment="1" applyProtection="1">
      <alignment vertical="center"/>
      <protection locked="0"/>
    </xf>
    <xf numFmtId="3" fontId="130" fillId="13" borderId="4" xfId="11" applyNumberFormat="1" applyFont="1" applyFill="1" applyBorder="1" applyAlignment="1" applyProtection="1">
      <alignment vertical="center"/>
      <protection locked="0"/>
    </xf>
    <xf numFmtId="3" fontId="130" fillId="13" borderId="6" xfId="11" applyNumberFormat="1" applyFont="1" applyFill="1" applyBorder="1" applyAlignment="1" applyProtection="1">
      <alignment vertical="center"/>
      <protection locked="0"/>
    </xf>
    <xf numFmtId="3" fontId="130" fillId="13" borderId="23" xfId="11" applyNumberFormat="1" applyFont="1" applyFill="1" applyBorder="1" applyAlignment="1" applyProtection="1">
      <alignment vertical="center"/>
      <protection locked="0"/>
    </xf>
    <xf numFmtId="3" fontId="130" fillId="13" borderId="24" xfId="11" applyNumberFormat="1" applyFont="1" applyFill="1" applyBorder="1" applyAlignment="1" applyProtection="1">
      <alignment vertical="center"/>
      <protection locked="0"/>
    </xf>
    <xf numFmtId="3" fontId="132" fillId="13" borderId="23" xfId="11" applyNumberFormat="1" applyFont="1" applyFill="1" applyBorder="1" applyAlignment="1" applyProtection="1">
      <alignment vertical="top"/>
      <protection locked="0"/>
    </xf>
    <xf numFmtId="3" fontId="132" fillId="13" borderId="24" xfId="11" applyNumberFormat="1" applyFont="1" applyFill="1" applyBorder="1" applyAlignment="1" applyProtection="1">
      <alignment vertical="top"/>
      <protection locked="0"/>
    </xf>
    <xf numFmtId="3" fontId="132" fillId="13" borderId="25" xfId="11" applyNumberFormat="1" applyFont="1" applyFill="1" applyBorder="1" applyAlignment="1" applyProtection="1">
      <alignment vertical="top"/>
      <protection locked="0"/>
    </xf>
    <xf numFmtId="3" fontId="25" fillId="13" borderId="7" xfId="11" applyNumberFormat="1" applyFont="1" applyFill="1" applyBorder="1" applyAlignment="1" applyProtection="1">
      <alignment vertical="center"/>
      <protection locked="0"/>
    </xf>
    <xf numFmtId="3" fontId="25" fillId="13" borderId="4" xfId="11" applyNumberFormat="1" applyFont="1" applyFill="1" applyBorder="1" applyAlignment="1" applyProtection="1">
      <alignment vertical="center"/>
      <protection locked="0"/>
    </xf>
    <xf numFmtId="3" fontId="131" fillId="13" borderId="7" xfId="11" applyNumberFormat="1" applyFont="1" applyFill="1" applyBorder="1" applyAlignment="1" applyProtection="1">
      <alignment vertical="top"/>
      <protection locked="0"/>
    </xf>
    <xf numFmtId="3" fontId="131" fillId="13" borderId="4" xfId="11" applyNumberFormat="1" applyFont="1" applyFill="1" applyBorder="1" applyAlignment="1" applyProtection="1">
      <alignment vertical="top"/>
      <protection locked="0"/>
    </xf>
    <xf numFmtId="3" fontId="131" fillId="13" borderId="6" xfId="11" applyNumberFormat="1" applyFont="1" applyFill="1" applyBorder="1" applyAlignment="1" applyProtection="1">
      <alignment vertical="top"/>
      <protection locked="0"/>
    </xf>
    <xf numFmtId="9" fontId="17" fillId="13" borderId="7" xfId="1" applyFont="1" applyFill="1" applyBorder="1" applyAlignment="1" applyProtection="1">
      <protection locked="0"/>
    </xf>
    <xf numFmtId="9" fontId="17" fillId="13" borderId="4" xfId="1" applyFont="1" applyFill="1" applyBorder="1" applyAlignment="1" applyProtection="1">
      <protection locked="0"/>
    </xf>
    <xf numFmtId="9" fontId="17" fillId="13" borderId="3" xfId="1" applyFont="1" applyFill="1" applyBorder="1" applyAlignment="1" applyProtection="1">
      <alignment vertical="center"/>
      <protection locked="0"/>
    </xf>
    <xf numFmtId="9" fontId="143" fillId="13" borderId="4" xfId="1" applyFont="1" applyFill="1" applyBorder="1" applyAlignment="1" applyProtection="1">
      <protection locked="0"/>
    </xf>
    <xf numFmtId="9" fontId="144" fillId="13" borderId="8" xfId="1" applyFont="1" applyFill="1" applyBorder="1" applyAlignment="1" applyProtection="1">
      <protection locked="0"/>
    </xf>
    <xf numFmtId="0" fontId="38" fillId="13" borderId="7" xfId="9" applyNumberFormat="1" applyFont="1" applyFill="1" applyBorder="1" applyAlignment="1" applyProtection="1">
      <protection locked="0"/>
    </xf>
    <xf numFmtId="0" fontId="38" fillId="13" borderId="4" xfId="9" applyNumberFormat="1" applyFont="1" applyFill="1" applyBorder="1" applyAlignment="1" applyProtection="1">
      <protection locked="0"/>
    </xf>
    <xf numFmtId="0" fontId="38" fillId="13" borderId="6" xfId="9" applyNumberFormat="1" applyFont="1" applyFill="1" applyBorder="1" applyAlignment="1" applyProtection="1">
      <protection locked="0"/>
    </xf>
    <xf numFmtId="3" fontId="138" fillId="0" borderId="10" xfId="11" applyNumberFormat="1" applyFont="1" applyBorder="1" applyAlignment="1" applyProtection="1">
      <alignment horizontal="right" vertical="center"/>
      <protection locked="0"/>
    </xf>
    <xf numFmtId="3" fontId="147" fillId="13" borderId="12" xfId="11" applyNumberFormat="1" applyFont="1" applyFill="1" applyBorder="1" applyAlignment="1" applyProtection="1">
      <alignment vertical="center"/>
      <protection locked="0"/>
    </xf>
    <xf numFmtId="3" fontId="134" fillId="0" borderId="3" xfId="11" applyNumberFormat="1" applyFont="1" applyBorder="1" applyAlignment="1" applyProtection="1">
      <alignment vertical="center"/>
      <protection locked="0"/>
    </xf>
    <xf numFmtId="3" fontId="134" fillId="0" borderId="4" xfId="11" applyNumberFormat="1" applyFont="1" applyBorder="1" applyAlignment="1" applyProtection="1">
      <alignment vertical="center"/>
      <protection locked="0"/>
    </xf>
    <xf numFmtId="3" fontId="184" fillId="0" borderId="4" xfId="11" applyNumberFormat="1" applyFont="1" applyBorder="1" applyAlignment="1" applyProtection="1">
      <alignment vertical="center"/>
      <protection locked="0"/>
    </xf>
    <xf numFmtId="3" fontId="184" fillId="0" borderId="11" xfId="11" applyNumberFormat="1" applyFont="1" applyBorder="1" applyAlignment="1" applyProtection="1">
      <alignment vertical="center"/>
      <protection locked="0"/>
    </xf>
    <xf numFmtId="3" fontId="147" fillId="13" borderId="1" xfId="11" applyNumberFormat="1" applyFont="1" applyFill="1" applyBorder="1" applyAlignment="1" applyProtection="1">
      <alignment vertical="center"/>
      <protection locked="0"/>
    </xf>
    <xf numFmtId="1" fontId="138" fillId="0" borderId="10" xfId="11" applyNumberFormat="1" applyFont="1" applyBorder="1" applyAlignment="1" applyProtection="1">
      <alignment vertical="center"/>
      <protection locked="0"/>
    </xf>
    <xf numFmtId="3" fontId="148" fillId="13" borderId="12" xfId="11" applyNumberFormat="1" applyFont="1" applyFill="1" applyBorder="1" applyAlignment="1" applyProtection="1">
      <alignment vertical="center"/>
      <protection locked="0"/>
    </xf>
    <xf numFmtId="3" fontId="184" fillId="0" borderId="17" xfId="11" applyNumberFormat="1" applyFont="1" applyBorder="1" applyAlignment="1" applyProtection="1">
      <alignment vertical="center"/>
      <protection locked="0"/>
    </xf>
    <xf numFmtId="1" fontId="133" fillId="0" borderId="12" xfId="1" applyNumberFormat="1" applyFont="1" applyFill="1" applyBorder="1" applyAlignment="1" applyProtection="1">
      <alignment horizontal="right" vertical="center"/>
      <protection locked="0"/>
    </xf>
    <xf numFmtId="3" fontId="148" fillId="13" borderId="3" xfId="11" applyNumberFormat="1" applyFont="1" applyFill="1" applyBorder="1" applyAlignment="1" applyProtection="1">
      <alignment vertical="center"/>
      <protection locked="0"/>
    </xf>
    <xf numFmtId="3" fontId="148" fillId="13" borderId="11" xfId="11" applyNumberFormat="1" applyFont="1" applyFill="1" applyBorder="1" applyAlignment="1" applyProtection="1">
      <alignment vertical="center"/>
      <protection locked="0"/>
    </xf>
    <xf numFmtId="3" fontId="186" fillId="13" borderId="11" xfId="11" applyNumberFormat="1" applyFont="1" applyFill="1" applyBorder="1" applyAlignment="1" applyProtection="1">
      <alignment vertical="center"/>
      <protection locked="0"/>
    </xf>
    <xf numFmtId="1" fontId="147" fillId="13" borderId="12" xfId="1" applyNumberFormat="1" applyFont="1" applyFill="1" applyBorder="1" applyAlignment="1" applyProtection="1">
      <alignment horizontal="right" vertical="center"/>
      <protection locked="0"/>
    </xf>
    <xf numFmtId="3" fontId="135" fillId="0" borderId="4" xfId="11" applyNumberFormat="1" applyFont="1" applyBorder="1" applyAlignment="1" applyProtection="1">
      <alignment vertical="center"/>
      <protection locked="0"/>
    </xf>
    <xf numFmtId="3" fontId="135" fillId="0" borderId="11" xfId="11" applyNumberFormat="1" applyFont="1" applyBorder="1" applyAlignment="1" applyProtection="1">
      <alignment vertical="center"/>
      <protection locked="0"/>
    </xf>
    <xf numFmtId="3" fontId="148" fillId="13" borderId="17" xfId="11" applyNumberFormat="1" applyFont="1" applyFill="1" applyBorder="1" applyAlignment="1" applyProtection="1">
      <alignment vertical="center"/>
      <protection locked="0"/>
    </xf>
    <xf numFmtId="3" fontId="197" fillId="0" borderId="3" xfId="11" applyNumberFormat="1" applyFont="1" applyBorder="1" applyAlignment="1" applyProtection="1">
      <alignment vertical="center"/>
      <protection locked="0"/>
    </xf>
    <xf numFmtId="3" fontId="197" fillId="0" borderId="4" xfId="11" applyNumberFormat="1" applyFont="1" applyBorder="1" applyAlignment="1" applyProtection="1">
      <alignment vertical="center"/>
      <protection locked="0"/>
    </xf>
    <xf numFmtId="3" fontId="186" fillId="13" borderId="17" xfId="11" applyNumberFormat="1" applyFont="1" applyFill="1" applyBorder="1" applyAlignment="1" applyProtection="1">
      <alignment vertical="center"/>
      <protection locked="0"/>
    </xf>
    <xf numFmtId="3" fontId="148" fillId="13" borderId="0" xfId="11" applyNumberFormat="1" applyFont="1" applyFill="1" applyAlignment="1" applyProtection="1">
      <alignment vertical="center"/>
      <protection locked="0"/>
    </xf>
    <xf numFmtId="3" fontId="134" fillId="0" borderId="16" xfId="11" applyNumberFormat="1" applyFont="1" applyBorder="1" applyAlignment="1" applyProtection="1">
      <alignment vertical="center"/>
      <protection locked="0"/>
    </xf>
    <xf numFmtId="3" fontId="186" fillId="13" borderId="16" xfId="11" applyNumberFormat="1" applyFont="1" applyFill="1" applyBorder="1" applyAlignment="1" applyProtection="1">
      <alignment vertical="center"/>
      <protection locked="0"/>
    </xf>
    <xf numFmtId="3" fontId="198" fillId="0" borderId="3" xfId="11" applyNumberFormat="1" applyFont="1" applyBorder="1" applyAlignment="1" applyProtection="1">
      <alignment vertical="center"/>
      <protection locked="0"/>
    </xf>
    <xf numFmtId="3" fontId="198" fillId="0" borderId="4" xfId="11" applyNumberFormat="1" applyFont="1" applyBorder="1" applyAlignment="1" applyProtection="1">
      <alignment vertical="center"/>
      <protection locked="0"/>
    </xf>
    <xf numFmtId="3" fontId="199" fillId="0" borderId="4" xfId="11" applyNumberFormat="1" applyFont="1" applyBorder="1" applyAlignment="1" applyProtection="1">
      <alignment vertical="center"/>
      <protection locked="0"/>
    </xf>
    <xf numFmtId="3" fontId="148" fillId="13" borderId="16" xfId="11" applyNumberFormat="1" applyFont="1" applyFill="1" applyBorder="1" applyAlignment="1" applyProtection="1">
      <alignment vertical="center"/>
      <protection locked="0"/>
    </xf>
    <xf numFmtId="3" fontId="184" fillId="0" borderId="3" xfId="11" applyNumberFormat="1" applyFont="1" applyBorder="1" applyAlignment="1" applyProtection="1">
      <alignment vertical="center"/>
      <protection locked="0"/>
    </xf>
    <xf numFmtId="3" fontId="184" fillId="0" borderId="6" xfId="11" applyNumberFormat="1" applyFont="1" applyBorder="1" applyAlignment="1" applyProtection="1">
      <alignment vertical="center"/>
      <protection locked="0"/>
    </xf>
    <xf numFmtId="3" fontId="138" fillId="0" borderId="17" xfId="11" applyNumberFormat="1" applyFont="1" applyBorder="1" applyAlignment="1" applyProtection="1">
      <alignment horizontal="right" vertical="center"/>
      <protection locked="0"/>
    </xf>
    <xf numFmtId="0" fontId="18" fillId="0" borderId="0" xfId="24" applyFont="1" applyProtection="1">
      <protection locked="0"/>
    </xf>
    <xf numFmtId="0" fontId="18" fillId="0" borderId="0" xfId="24" applyFont="1" applyAlignment="1" applyProtection="1">
      <alignment wrapText="1"/>
      <protection locked="0"/>
    </xf>
    <xf numFmtId="0" fontId="86" fillId="0" borderId="0" xfId="0" applyFont="1" applyAlignment="1" applyProtection="1">
      <alignment horizontal="right"/>
      <protection locked="0"/>
    </xf>
    <xf numFmtId="0" fontId="86" fillId="0" borderId="4" xfId="0" applyFont="1" applyBorder="1" applyProtection="1">
      <protection locked="0"/>
    </xf>
    <xf numFmtId="0" fontId="20" fillId="0" borderId="4" xfId="0" applyFont="1" applyBorder="1" applyProtection="1">
      <protection locked="0"/>
    </xf>
    <xf numFmtId="0" fontId="19" fillId="0" borderId="0" xfId="24" applyFont="1" applyProtection="1">
      <protection locked="0"/>
    </xf>
    <xf numFmtId="0" fontId="19" fillId="0" borderId="0" xfId="24" applyFont="1" applyAlignment="1" applyProtection="1">
      <alignment wrapText="1"/>
      <protection locked="0"/>
    </xf>
    <xf numFmtId="49" fontId="86" fillId="0" borderId="4" xfId="0" applyNumberFormat="1" applyFont="1" applyBorder="1" applyProtection="1">
      <protection locked="0"/>
    </xf>
    <xf numFmtId="49" fontId="20" fillId="0" borderId="4" xfId="0" applyNumberFormat="1" applyFont="1" applyBorder="1" applyProtection="1">
      <protection locked="0"/>
    </xf>
    <xf numFmtId="0" fontId="150" fillId="0" borderId="0" xfId="25" applyAlignment="1" applyProtection="1">
      <alignment horizontal="left" wrapText="1"/>
      <protection locked="0"/>
    </xf>
    <xf numFmtId="0" fontId="20" fillId="0" borderId="0" xfId="24" applyFont="1" applyProtection="1">
      <protection locked="0"/>
    </xf>
    <xf numFmtId="0" fontId="20" fillId="0" borderId="0" xfId="24" applyFont="1" applyAlignment="1" applyProtection="1">
      <alignment wrapText="1"/>
      <protection locked="0"/>
    </xf>
    <xf numFmtId="0" fontId="18" fillId="0" borderId="0" xfId="24" applyFont="1" applyAlignment="1" applyProtection="1">
      <alignment horizontal="right" vertical="top" indent="1"/>
      <protection locked="0"/>
    </xf>
    <xf numFmtId="49" fontId="18" fillId="0" borderId="0" xfId="24" applyNumberFormat="1" applyFont="1" applyAlignment="1" applyProtection="1">
      <alignment wrapText="1"/>
      <protection locked="0"/>
    </xf>
    <xf numFmtId="14" fontId="86" fillId="0" borderId="0" xfId="0" applyNumberFormat="1" applyFont="1" applyAlignment="1" applyProtection="1">
      <alignment horizontal="right"/>
      <protection locked="0"/>
    </xf>
    <xf numFmtId="14" fontId="86" fillId="0" borderId="4" xfId="0" applyNumberFormat="1" applyFont="1" applyBorder="1" applyAlignment="1" applyProtection="1">
      <alignment horizontal="left"/>
      <protection locked="0"/>
    </xf>
    <xf numFmtId="14" fontId="20" fillId="0" borderId="4" xfId="0" applyNumberFormat="1" applyFont="1" applyBorder="1" applyAlignment="1" applyProtection="1">
      <alignment horizontal="left"/>
      <protection locked="0"/>
    </xf>
    <xf numFmtId="0" fontId="20" fillId="0" borderId="0" xfId="24" applyFont="1" applyAlignment="1" applyProtection="1">
      <alignment horizontal="right" vertical="top" indent="1"/>
      <protection locked="0"/>
    </xf>
    <xf numFmtId="49" fontId="20" fillId="0" borderId="0" xfId="24" applyNumberFormat="1" applyFont="1" applyAlignment="1" applyProtection="1">
      <alignment horizontal="left" vertical="top" wrapText="1"/>
      <protection locked="0"/>
    </xf>
    <xf numFmtId="0" fontId="146" fillId="0" borderId="0" xfId="25" applyFont="1" applyAlignment="1" applyProtection="1">
      <alignment vertical="center"/>
      <protection locked="0"/>
    </xf>
    <xf numFmtId="0" fontId="150" fillId="0" borderId="0" xfId="25" applyAlignment="1" applyProtection="1">
      <alignment vertical="center" wrapText="1"/>
      <protection locked="0"/>
    </xf>
    <xf numFmtId="0" fontId="33" fillId="0" borderId="0" xfId="24" applyFont="1" applyAlignment="1" applyProtection="1">
      <alignment vertical="center"/>
      <protection locked="0"/>
    </xf>
    <xf numFmtId="0" fontId="33" fillId="0" borderId="0" xfId="24" applyFont="1" applyAlignment="1" applyProtection="1">
      <alignment vertical="center" wrapText="1"/>
      <protection locked="0"/>
    </xf>
    <xf numFmtId="0" fontId="20" fillId="0" borderId="0" xfId="24" applyFont="1" applyAlignment="1" applyProtection="1">
      <alignment horizontal="left"/>
      <protection locked="0"/>
    </xf>
    <xf numFmtId="2" fontId="20" fillId="0" borderId="0" xfId="24" applyNumberFormat="1" applyFont="1" applyAlignment="1" applyProtection="1">
      <alignment wrapText="1"/>
      <protection locked="0"/>
    </xf>
    <xf numFmtId="2" fontId="22" fillId="0" borderId="0" xfId="24" applyNumberFormat="1" applyFont="1" applyProtection="1">
      <protection locked="0"/>
    </xf>
    <xf numFmtId="2" fontId="22" fillId="0" borderId="0" xfId="24" applyNumberFormat="1" applyFont="1" applyAlignment="1" applyProtection="1">
      <alignment wrapText="1"/>
      <protection locked="0"/>
    </xf>
    <xf numFmtId="0" fontId="86" fillId="0" borderId="1" xfId="11" applyFont="1" applyBorder="1" applyAlignment="1" applyProtection="1">
      <alignment horizontal="left"/>
      <protection locked="0"/>
    </xf>
    <xf numFmtId="0" fontId="86" fillId="0" borderId="1" xfId="11" applyFont="1" applyBorder="1" applyAlignment="1" applyProtection="1">
      <alignment wrapText="1"/>
      <protection locked="0"/>
    </xf>
    <xf numFmtId="0" fontId="105" fillId="0" borderId="1" xfId="11" applyFont="1" applyBorder="1" applyAlignment="1" applyProtection="1">
      <alignment wrapText="1"/>
      <protection locked="0"/>
    </xf>
    <xf numFmtId="0" fontId="105" fillId="0" borderId="0" xfId="11" applyFont="1" applyAlignment="1" applyProtection="1">
      <alignment wrapText="1"/>
      <protection locked="0"/>
    </xf>
    <xf numFmtId="0" fontId="14" fillId="0" borderId="0" xfId="11" applyFont="1" applyProtection="1">
      <protection locked="0"/>
    </xf>
    <xf numFmtId="49" fontId="159" fillId="5" borderId="10" xfId="24" applyNumberFormat="1" applyFont="1" applyFill="1" applyBorder="1" applyAlignment="1" applyProtection="1">
      <alignment horizontal="left" vertical="center"/>
      <protection locked="0"/>
    </xf>
    <xf numFmtId="0" fontId="159" fillId="0" borderId="10" xfId="24" applyFont="1" applyBorder="1" applyAlignment="1" applyProtection="1">
      <alignment vertical="center" wrapText="1"/>
      <protection locked="0"/>
    </xf>
    <xf numFmtId="3" fontId="160" fillId="0" borderId="13" xfId="11" applyNumberFormat="1" applyFont="1" applyBorder="1" applyAlignment="1" applyProtection="1">
      <alignment horizontal="center" vertical="center"/>
      <protection locked="0"/>
    </xf>
    <xf numFmtId="3" fontId="160" fillId="0" borderId="13" xfId="11" applyNumberFormat="1" applyFont="1" applyBorder="1" applyAlignment="1" applyProtection="1">
      <alignment horizontal="right" vertical="center" wrapText="1"/>
      <protection locked="0"/>
    </xf>
    <xf numFmtId="3" fontId="160" fillId="0" borderId="13" xfId="11" applyNumberFormat="1" applyFont="1" applyBorder="1" applyAlignment="1" applyProtection="1">
      <alignment horizontal="right" vertical="center"/>
      <protection locked="0"/>
    </xf>
    <xf numFmtId="0" fontId="151" fillId="0" borderId="0" xfId="11" applyFont="1" applyAlignment="1" applyProtection="1">
      <alignment vertical="center"/>
      <protection locked="0"/>
    </xf>
    <xf numFmtId="0" fontId="161" fillId="0" borderId="12" xfId="24" applyFont="1" applyBorder="1" applyAlignment="1" applyProtection="1">
      <alignment horizontal="left" vertical="center"/>
      <protection locked="0"/>
    </xf>
    <xf numFmtId="0" fontId="161" fillId="0" borderId="12" xfId="24" applyFont="1" applyBorder="1" applyAlignment="1" applyProtection="1">
      <alignment horizontal="left" vertical="center" wrapText="1"/>
      <protection locked="0"/>
    </xf>
    <xf numFmtId="3" fontId="105" fillId="0" borderId="12" xfId="11" applyNumberFormat="1" applyFont="1" applyBorder="1" applyAlignment="1" applyProtection="1">
      <alignment horizontal="right" vertical="top"/>
      <protection locked="0"/>
    </xf>
    <xf numFmtId="3" fontId="105" fillId="0" borderId="12" xfId="11" applyNumberFormat="1" applyFont="1" applyBorder="1" applyAlignment="1" applyProtection="1">
      <alignment horizontal="left" vertical="top" wrapText="1"/>
      <protection locked="0"/>
    </xf>
    <xf numFmtId="9" fontId="105" fillId="0" borderId="12" xfId="1" applyFont="1" applyBorder="1" applyAlignment="1" applyProtection="1">
      <alignment horizontal="right" vertical="top" wrapText="1"/>
      <protection locked="0"/>
    </xf>
    <xf numFmtId="3" fontId="105" fillId="0" borderId="12" xfId="11" applyNumberFormat="1" applyFont="1" applyBorder="1" applyAlignment="1" applyProtection="1">
      <alignment vertical="top"/>
      <protection locked="0"/>
    </xf>
    <xf numFmtId="3" fontId="105" fillId="0" borderId="12" xfId="11" applyNumberFormat="1" applyFont="1" applyBorder="1" applyAlignment="1" applyProtection="1">
      <alignment vertical="top" wrapText="1"/>
      <protection locked="0"/>
    </xf>
    <xf numFmtId="0" fontId="35" fillId="0" borderId="0" xfId="11" applyFont="1" applyAlignment="1" applyProtection="1">
      <alignment vertical="center"/>
      <protection locked="0"/>
    </xf>
    <xf numFmtId="49" fontId="162" fillId="3" borderId="10" xfId="24" applyNumberFormat="1" applyFont="1" applyFill="1" applyBorder="1" applyAlignment="1" applyProtection="1">
      <alignment horizontal="left" vertical="center"/>
      <protection locked="0"/>
    </xf>
    <xf numFmtId="0" fontId="162" fillId="0" borderId="10" xfId="24" applyFont="1" applyBorder="1" applyAlignment="1" applyProtection="1">
      <alignment vertical="center" wrapText="1"/>
      <protection locked="0"/>
    </xf>
    <xf numFmtId="3" fontId="105" fillId="0" borderId="10" xfId="11" applyNumberFormat="1" applyFont="1" applyBorder="1" applyAlignment="1" applyProtection="1">
      <alignment horizontal="right" vertical="top"/>
      <protection locked="0"/>
    </xf>
    <xf numFmtId="3" fontId="105" fillId="0" borderId="10" xfId="11" applyNumberFormat="1" applyFont="1" applyBorder="1" applyAlignment="1" applyProtection="1">
      <alignment horizontal="left" vertical="top" wrapText="1"/>
      <protection locked="0"/>
    </xf>
    <xf numFmtId="3" fontId="105" fillId="0" borderId="10" xfId="11" applyNumberFormat="1" applyFont="1" applyBorder="1" applyAlignment="1" applyProtection="1">
      <alignment horizontal="right" vertical="top" wrapText="1"/>
      <protection locked="0"/>
    </xf>
    <xf numFmtId="0" fontId="14" fillId="0" borderId="0" xfId="11" applyFont="1" applyAlignment="1" applyProtection="1">
      <alignment vertical="center"/>
      <protection locked="0"/>
    </xf>
    <xf numFmtId="49" fontId="161" fillId="0" borderId="12" xfId="24" applyNumberFormat="1" applyFont="1" applyBorder="1" applyAlignment="1" applyProtection="1">
      <alignment horizontal="left" vertical="center"/>
      <protection locked="0"/>
    </xf>
    <xf numFmtId="0" fontId="161" fillId="0" borderId="12" xfId="24" applyFont="1" applyBorder="1" applyAlignment="1" applyProtection="1">
      <alignment vertical="center" wrapText="1"/>
      <protection locked="0"/>
    </xf>
    <xf numFmtId="0" fontId="73" fillId="0" borderId="0" xfId="11" applyFont="1" applyAlignment="1" applyProtection="1">
      <alignment vertical="center"/>
      <protection locked="0"/>
    </xf>
    <xf numFmtId="49" fontId="161" fillId="0" borderId="1" xfId="24" applyNumberFormat="1" applyFont="1" applyBorder="1" applyAlignment="1" applyProtection="1">
      <alignment horizontal="left" vertical="center"/>
      <protection locked="0"/>
    </xf>
    <xf numFmtId="0" fontId="161" fillId="0" borderId="1" xfId="24" applyFont="1" applyBorder="1" applyAlignment="1" applyProtection="1">
      <alignment vertical="center" wrapText="1"/>
      <protection locked="0"/>
    </xf>
    <xf numFmtId="3" fontId="105" fillId="0" borderId="3" xfId="11" applyNumberFormat="1" applyFont="1" applyBorder="1" applyAlignment="1" applyProtection="1">
      <alignment horizontal="right" vertical="top"/>
      <protection locked="0"/>
    </xf>
    <xf numFmtId="3" fontId="105" fillId="0" borderId="3" xfId="11" applyNumberFormat="1" applyFont="1" applyBorder="1" applyAlignment="1" applyProtection="1">
      <alignment vertical="top"/>
      <protection locked="0"/>
    </xf>
    <xf numFmtId="0" fontId="162" fillId="6" borderId="10" xfId="24" applyFont="1" applyFill="1" applyBorder="1" applyAlignment="1" applyProtection="1">
      <alignment horizontal="left" vertical="center"/>
      <protection locked="0"/>
    </xf>
    <xf numFmtId="3" fontId="105" fillId="0" borderId="10" xfId="11" applyNumberFormat="1" applyFont="1" applyBorder="1" applyAlignment="1" applyProtection="1">
      <alignment vertical="top"/>
      <protection locked="0"/>
    </xf>
    <xf numFmtId="3" fontId="105" fillId="0" borderId="10" xfId="11" applyNumberFormat="1" applyFont="1" applyBorder="1" applyAlignment="1" applyProtection="1">
      <alignment vertical="top" wrapText="1"/>
      <protection locked="0"/>
    </xf>
    <xf numFmtId="0" fontId="105" fillId="0" borderId="0" xfId="11" applyFont="1" applyAlignment="1" applyProtection="1">
      <alignment vertical="top"/>
      <protection locked="0"/>
    </xf>
    <xf numFmtId="0" fontId="105" fillId="0" borderId="0" xfId="11" applyFont="1" applyAlignment="1" applyProtection="1">
      <alignment horizontal="left" vertical="top"/>
      <protection locked="0"/>
    </xf>
    <xf numFmtId="0" fontId="105" fillId="0" borderId="0" xfId="11" applyFont="1" applyAlignment="1" applyProtection="1">
      <alignment horizontal="right" vertical="top"/>
      <protection locked="0"/>
    </xf>
    <xf numFmtId="0" fontId="105" fillId="0" borderId="0" xfId="11" applyFont="1" applyAlignment="1" applyProtection="1">
      <alignment vertical="top" wrapText="1"/>
      <protection locked="0"/>
    </xf>
    <xf numFmtId="49" fontId="105" fillId="0" borderId="21" xfId="11" applyNumberFormat="1" applyFont="1" applyBorder="1" applyAlignment="1" applyProtection="1">
      <alignment horizontal="left" vertical="center"/>
      <protection locked="0"/>
    </xf>
    <xf numFmtId="0" fontId="105" fillId="0" borderId="3" xfId="11" applyFont="1" applyBorder="1" applyAlignment="1" applyProtection="1">
      <alignment horizontal="left" vertical="center" wrapText="1"/>
      <protection locked="0"/>
    </xf>
    <xf numFmtId="0" fontId="25" fillId="0" borderId="0" xfId="11" applyFont="1" applyAlignment="1" applyProtection="1">
      <alignment vertical="center"/>
      <protection locked="0"/>
    </xf>
    <xf numFmtId="49" fontId="161" fillId="0" borderId="12" xfId="11" applyNumberFormat="1" applyFont="1" applyBorder="1" applyAlignment="1" applyProtection="1">
      <alignment horizontal="left" vertical="center"/>
      <protection locked="0"/>
    </xf>
    <xf numFmtId="0" fontId="161" fillId="0" borderId="12" xfId="11" applyFont="1" applyBorder="1" applyAlignment="1" applyProtection="1">
      <alignment vertical="center"/>
      <protection locked="0"/>
    </xf>
    <xf numFmtId="0" fontId="163" fillId="0" borderId="0" xfId="11" applyFont="1" applyAlignment="1" applyProtection="1">
      <alignment vertical="top"/>
      <protection locked="0"/>
    </xf>
    <xf numFmtId="0" fontId="163" fillId="0" borderId="0" xfId="11" applyFont="1" applyAlignment="1" applyProtection="1">
      <alignment horizontal="left" vertical="top"/>
      <protection locked="0"/>
    </xf>
    <xf numFmtId="0" fontId="163" fillId="0" borderId="0" xfId="11" applyFont="1" applyAlignment="1" applyProtection="1">
      <alignment vertical="top" wrapText="1"/>
      <protection locked="0"/>
    </xf>
    <xf numFmtId="3" fontId="105" fillId="0" borderId="12" xfId="11" applyNumberFormat="1" applyFont="1" applyBorder="1" applyAlignment="1" applyProtection="1">
      <alignment horizontal="right" vertical="top" wrapText="1"/>
      <protection locked="0"/>
    </xf>
    <xf numFmtId="3" fontId="105" fillId="0" borderId="3" xfId="11" applyNumberFormat="1" applyFont="1" applyBorder="1" applyAlignment="1" applyProtection="1">
      <alignment horizontal="left" vertical="top" wrapText="1"/>
      <protection locked="0"/>
    </xf>
    <xf numFmtId="9" fontId="105" fillId="0" borderId="16" xfId="1" applyFont="1" applyBorder="1" applyAlignment="1" applyProtection="1">
      <alignment horizontal="right" vertical="top" wrapText="1"/>
      <protection locked="0"/>
    </xf>
    <xf numFmtId="3" fontId="105" fillId="0" borderId="16" xfId="11" applyNumberFormat="1" applyFont="1" applyBorder="1" applyAlignment="1" applyProtection="1">
      <alignment vertical="top" wrapText="1"/>
      <protection locked="0"/>
    </xf>
    <xf numFmtId="49" fontId="105" fillId="0" borderId="3" xfId="11" applyNumberFormat="1" applyFont="1" applyBorder="1" applyAlignment="1" applyProtection="1">
      <alignment horizontal="left" vertical="center"/>
      <protection locked="0"/>
    </xf>
    <xf numFmtId="0" fontId="105" fillId="0" borderId="4" xfId="11" applyFont="1" applyBorder="1" applyAlignment="1" applyProtection="1">
      <alignment horizontal="left" vertical="center" wrapText="1"/>
      <protection locked="0"/>
    </xf>
    <xf numFmtId="3" fontId="105" fillId="0" borderId="11" xfId="11" applyNumberFormat="1" applyFont="1" applyBorder="1" applyAlignment="1" applyProtection="1">
      <alignment horizontal="right" vertical="top"/>
      <protection locked="0"/>
    </xf>
    <xf numFmtId="3" fontId="105" fillId="0" borderId="11" xfId="11" applyNumberFormat="1" applyFont="1" applyBorder="1" applyAlignment="1" applyProtection="1">
      <alignment horizontal="left" vertical="top" wrapText="1"/>
      <protection locked="0"/>
    </xf>
    <xf numFmtId="9" fontId="105" fillId="0" borderId="17" xfId="1" applyFont="1" applyBorder="1" applyAlignment="1" applyProtection="1">
      <alignment horizontal="right" vertical="top" wrapText="1"/>
      <protection locked="0"/>
    </xf>
    <xf numFmtId="3" fontId="105" fillId="0" borderId="11" xfId="11" applyNumberFormat="1" applyFont="1" applyBorder="1" applyAlignment="1" applyProtection="1">
      <alignment vertical="top"/>
      <protection locked="0"/>
    </xf>
    <xf numFmtId="3" fontId="105" fillId="0" borderId="17" xfId="11" applyNumberFormat="1" applyFont="1" applyBorder="1" applyAlignment="1" applyProtection="1">
      <alignment vertical="top" wrapText="1"/>
      <protection locked="0"/>
    </xf>
    <xf numFmtId="3" fontId="105" fillId="0" borderId="16" xfId="11" applyNumberFormat="1" applyFont="1" applyBorder="1" applyAlignment="1" applyProtection="1">
      <alignment horizontal="right" vertical="top"/>
      <protection locked="0"/>
    </xf>
    <xf numFmtId="3" fontId="105" fillId="0" borderId="16" xfId="11" applyNumberFormat="1" applyFont="1" applyBorder="1" applyAlignment="1" applyProtection="1">
      <alignment horizontal="left" vertical="top" wrapText="1"/>
      <protection locked="0"/>
    </xf>
    <xf numFmtId="3" fontId="105" fillId="0" borderId="16" xfId="11" applyNumberFormat="1" applyFont="1" applyBorder="1" applyAlignment="1" applyProtection="1">
      <alignment vertical="top"/>
      <protection locked="0"/>
    </xf>
    <xf numFmtId="49" fontId="105" fillId="0" borderId="0" xfId="11" applyNumberFormat="1" applyFont="1" applyAlignment="1" applyProtection="1">
      <alignment vertical="top" textRotation="90"/>
      <protection locked="0"/>
    </xf>
    <xf numFmtId="2" fontId="165" fillId="0" borderId="3" xfId="11" quotePrefix="1" applyNumberFormat="1" applyFont="1" applyBorder="1" applyAlignment="1" applyProtection="1">
      <alignment horizontal="left" vertical="center" wrapText="1"/>
      <protection locked="0"/>
    </xf>
    <xf numFmtId="2" fontId="165" fillId="0" borderId="3" xfId="11" quotePrefix="1" applyNumberFormat="1" applyFont="1" applyBorder="1" applyAlignment="1" applyProtection="1">
      <alignment horizontal="right" vertical="top"/>
      <protection locked="0"/>
    </xf>
    <xf numFmtId="2" fontId="165" fillId="0" borderId="3" xfId="11" quotePrefix="1" applyNumberFormat="1" applyFont="1" applyBorder="1" applyAlignment="1" applyProtection="1">
      <alignment horizontal="left" vertical="top"/>
      <protection locked="0"/>
    </xf>
    <xf numFmtId="3" fontId="165" fillId="0" borderId="3" xfId="11" applyNumberFormat="1" applyFont="1" applyBorder="1" applyAlignment="1" applyProtection="1">
      <alignment vertical="top"/>
      <protection locked="0"/>
    </xf>
    <xf numFmtId="3" fontId="165" fillId="0" borderId="4" xfId="11" applyNumberFormat="1" applyFont="1" applyBorder="1" applyAlignment="1" applyProtection="1">
      <alignment vertical="top" wrapText="1"/>
      <protection locked="0"/>
    </xf>
    <xf numFmtId="2" fontId="165" fillId="0" borderId="11" xfId="11" quotePrefix="1" applyNumberFormat="1" applyFont="1" applyBorder="1" applyAlignment="1" applyProtection="1">
      <alignment horizontal="right" vertical="top"/>
      <protection locked="0"/>
    </xf>
    <xf numFmtId="2" fontId="165" fillId="0" borderId="11" xfId="11" quotePrefix="1" applyNumberFormat="1" applyFont="1" applyBorder="1" applyAlignment="1" applyProtection="1">
      <alignment horizontal="left" vertical="top"/>
      <protection locked="0"/>
    </xf>
    <xf numFmtId="3" fontId="165" fillId="0" borderId="11" xfId="11" applyNumberFormat="1" applyFont="1" applyBorder="1" applyAlignment="1" applyProtection="1">
      <alignment vertical="top"/>
      <protection locked="0"/>
    </xf>
    <xf numFmtId="3" fontId="165" fillId="0" borderId="17" xfId="11" applyNumberFormat="1" applyFont="1" applyBorder="1" applyAlignment="1" applyProtection="1">
      <alignment vertical="top" wrapText="1"/>
      <protection locked="0"/>
    </xf>
    <xf numFmtId="3" fontId="105" fillId="0" borderId="16" xfId="11" applyNumberFormat="1" applyFont="1" applyBorder="1" applyAlignment="1" applyProtection="1">
      <alignment horizontal="right" vertical="top" wrapText="1"/>
      <protection locked="0"/>
    </xf>
    <xf numFmtId="49" fontId="162" fillId="4" borderId="10" xfId="24" applyNumberFormat="1" applyFont="1" applyFill="1" applyBorder="1" applyAlignment="1" applyProtection="1">
      <alignment horizontal="left" vertical="center"/>
      <protection locked="0"/>
    </xf>
    <xf numFmtId="0" fontId="162" fillId="0" borderId="10" xfId="24" applyFont="1" applyBorder="1" applyAlignment="1" applyProtection="1">
      <alignment vertical="center"/>
      <protection locked="0"/>
    </xf>
    <xf numFmtId="3" fontId="161" fillId="0" borderId="12" xfId="11" applyNumberFormat="1" applyFont="1" applyBorder="1" applyAlignment="1" applyProtection="1">
      <alignment vertical="center" wrapText="1"/>
      <protection locked="0"/>
    </xf>
    <xf numFmtId="49" fontId="161" fillId="0" borderId="1" xfId="11" applyNumberFormat="1" applyFont="1" applyBorder="1" applyAlignment="1" applyProtection="1">
      <alignment horizontal="left" vertical="center"/>
      <protection locked="0"/>
    </xf>
    <xf numFmtId="3" fontId="161" fillId="0" borderId="1" xfId="11" applyNumberFormat="1" applyFont="1" applyBorder="1" applyAlignment="1" applyProtection="1">
      <alignment vertical="center" wrapText="1"/>
      <protection locked="0"/>
    </xf>
    <xf numFmtId="3" fontId="105" fillId="0" borderId="1" xfId="11" applyNumberFormat="1" applyFont="1" applyBorder="1" applyAlignment="1" applyProtection="1">
      <alignment horizontal="right" vertical="top"/>
      <protection locked="0"/>
    </xf>
    <xf numFmtId="3" fontId="105" fillId="0" borderId="1" xfId="11" applyNumberFormat="1" applyFont="1" applyBorder="1" applyAlignment="1" applyProtection="1">
      <alignment vertical="top"/>
      <protection locked="0"/>
    </xf>
    <xf numFmtId="0" fontId="162" fillId="7" borderId="10" xfId="24" applyFont="1" applyFill="1" applyBorder="1" applyAlignment="1" applyProtection="1">
      <alignment horizontal="left" vertical="center"/>
      <protection locked="0"/>
    </xf>
    <xf numFmtId="3" fontId="161" fillId="0" borderId="12" xfId="11" applyNumberFormat="1" applyFont="1" applyBorder="1" applyAlignment="1" applyProtection="1">
      <alignment vertical="center"/>
      <protection locked="0"/>
    </xf>
    <xf numFmtId="49" fontId="105" fillId="0" borderId="28" xfId="11" applyNumberFormat="1" applyFont="1" applyBorder="1" applyAlignment="1" applyProtection="1">
      <alignment vertical="top" textRotation="90"/>
      <protection locked="0"/>
    </xf>
    <xf numFmtId="2" fontId="105" fillId="0" borderId="28" xfId="11" applyNumberFormat="1" applyFont="1" applyBorder="1" applyAlignment="1" applyProtection="1">
      <alignment horizontal="left" vertical="center" wrapText="1"/>
      <protection locked="0"/>
    </xf>
    <xf numFmtId="3" fontId="105" fillId="0" borderId="28" xfId="11" applyNumberFormat="1" applyFont="1" applyBorder="1" applyAlignment="1" applyProtection="1">
      <alignment horizontal="right" vertical="top"/>
      <protection locked="0"/>
    </xf>
    <xf numFmtId="3" fontId="105" fillId="0" borderId="28" xfId="11" applyNumberFormat="1" applyFont="1" applyBorder="1" applyAlignment="1" applyProtection="1">
      <alignment horizontal="left" vertical="top" wrapText="1"/>
      <protection locked="0"/>
    </xf>
    <xf numFmtId="3" fontId="105" fillId="0" borderId="28" xfId="11" applyNumberFormat="1" applyFont="1" applyBorder="1" applyAlignment="1" applyProtection="1">
      <alignment horizontal="right" vertical="top" wrapText="1"/>
      <protection locked="0"/>
    </xf>
    <xf numFmtId="3" fontId="105" fillId="0" borderId="28" xfId="11" applyNumberFormat="1" applyFont="1" applyBorder="1" applyAlignment="1" applyProtection="1">
      <alignment vertical="top"/>
      <protection locked="0"/>
    </xf>
    <xf numFmtId="3" fontId="105" fillId="0" borderId="28" xfId="11" applyNumberFormat="1" applyFont="1" applyBorder="1" applyAlignment="1" applyProtection="1">
      <alignment vertical="top" wrapText="1"/>
      <protection locked="0"/>
    </xf>
    <xf numFmtId="0" fontId="162" fillId="8" borderId="17" xfId="24" applyFont="1" applyFill="1" applyBorder="1" applyAlignment="1" applyProtection="1">
      <alignment horizontal="left" vertical="center"/>
      <protection locked="0"/>
    </xf>
    <xf numFmtId="0" fontId="162" fillId="0" borderId="17" xfId="24" applyFont="1" applyBorder="1" applyAlignment="1" applyProtection="1">
      <alignment vertical="center" wrapText="1"/>
      <protection locked="0"/>
    </xf>
    <xf numFmtId="3" fontId="105" fillId="0" borderId="17" xfId="11" applyNumberFormat="1" applyFont="1" applyBorder="1" applyAlignment="1" applyProtection="1">
      <alignment horizontal="right" vertical="top"/>
      <protection locked="0"/>
    </xf>
    <xf numFmtId="3" fontId="105" fillId="0" borderId="17" xfId="11" applyNumberFormat="1" applyFont="1" applyBorder="1" applyAlignment="1" applyProtection="1">
      <alignment horizontal="left" vertical="top" wrapText="1"/>
      <protection locked="0"/>
    </xf>
    <xf numFmtId="3" fontId="105" fillId="0" borderId="17" xfId="11" applyNumberFormat="1" applyFont="1" applyBorder="1" applyAlignment="1" applyProtection="1">
      <alignment horizontal="right" vertical="top" wrapText="1"/>
      <protection locked="0"/>
    </xf>
    <xf numFmtId="0" fontId="161" fillId="0" borderId="12" xfId="11" applyFont="1" applyBorder="1" applyAlignment="1" applyProtection="1">
      <alignment horizontal="left" vertical="center" wrapText="1"/>
      <protection locked="0"/>
    </xf>
    <xf numFmtId="49" fontId="161" fillId="0" borderId="28" xfId="11" applyNumberFormat="1" applyFont="1" applyBorder="1" applyAlignment="1" applyProtection="1">
      <alignment horizontal="left" vertical="center"/>
      <protection locked="0"/>
    </xf>
    <xf numFmtId="0" fontId="161" fillId="0" borderId="28" xfId="11" applyFont="1" applyBorder="1" applyAlignment="1" applyProtection="1">
      <alignment horizontal="left" vertical="center" wrapText="1"/>
      <protection locked="0"/>
    </xf>
    <xf numFmtId="0" fontId="162" fillId="9" borderId="17" xfId="24" applyFont="1" applyFill="1" applyBorder="1" applyAlignment="1" applyProtection="1">
      <alignment horizontal="left" vertical="center"/>
      <protection locked="0"/>
    </xf>
    <xf numFmtId="0" fontId="162" fillId="0" borderId="17" xfId="24" applyFont="1" applyBorder="1" applyAlignment="1" applyProtection="1">
      <alignment vertical="center"/>
      <protection locked="0"/>
    </xf>
    <xf numFmtId="3" fontId="105" fillId="0" borderId="17" xfId="11" applyNumberFormat="1" applyFont="1" applyBorder="1" applyAlignment="1" applyProtection="1">
      <alignment vertical="top"/>
      <protection locked="0"/>
    </xf>
    <xf numFmtId="49" fontId="161" fillId="0" borderId="17" xfId="11" applyNumberFormat="1" applyFont="1" applyBorder="1" applyAlignment="1" applyProtection="1">
      <alignment horizontal="left" vertical="center"/>
      <protection locked="0"/>
    </xf>
    <xf numFmtId="0" fontId="161" fillId="0" borderId="17" xfId="11" applyFont="1" applyBorder="1" applyAlignment="1" applyProtection="1">
      <alignment horizontal="left" vertical="center" wrapText="1"/>
      <protection locked="0"/>
    </xf>
    <xf numFmtId="0" fontId="86" fillId="0" borderId="0" xfId="11" applyFont="1" applyAlignment="1" applyProtection="1">
      <alignment horizontal="left" vertical="top"/>
      <protection locked="0"/>
    </xf>
    <xf numFmtId="0" fontId="86" fillId="0" borderId="0" xfId="11" applyFont="1" applyAlignment="1" applyProtection="1">
      <alignment vertical="top" wrapText="1"/>
      <protection locked="0"/>
    </xf>
    <xf numFmtId="3" fontId="86" fillId="0" borderId="1" xfId="24" applyNumberFormat="1" applyFont="1" applyBorder="1" applyProtection="1">
      <protection locked="0"/>
    </xf>
    <xf numFmtId="3" fontId="86" fillId="0" borderId="1" xfId="24" applyNumberFormat="1" applyFont="1" applyBorder="1" applyAlignment="1" applyProtection="1">
      <alignment wrapText="1"/>
      <protection locked="0"/>
    </xf>
    <xf numFmtId="3" fontId="86" fillId="0" borderId="1" xfId="24" applyNumberFormat="1" applyFont="1" applyBorder="1" applyAlignment="1" applyProtection="1">
      <alignment horizontal="right" wrapText="1"/>
      <protection locked="0"/>
    </xf>
    <xf numFmtId="0" fontId="14" fillId="0" borderId="0" xfId="11" applyFont="1" applyAlignment="1" applyProtection="1">
      <alignment vertical="top"/>
      <protection locked="0"/>
    </xf>
    <xf numFmtId="0" fontId="86" fillId="0" borderId="2" xfId="11" applyFont="1" applyBorder="1" applyAlignment="1" applyProtection="1">
      <alignment horizontal="left" vertical="top"/>
      <protection locked="0"/>
    </xf>
    <xf numFmtId="0" fontId="86" fillId="0" borderId="2" xfId="11" applyFont="1" applyBorder="1" applyAlignment="1" applyProtection="1">
      <alignment vertical="top" wrapText="1"/>
      <protection locked="0"/>
    </xf>
    <xf numFmtId="170" fontId="166" fillId="0" borderId="2" xfId="6" applyNumberFormat="1" applyFont="1" applyFill="1" applyBorder="1" applyAlignment="1" applyProtection="1">
      <alignment horizontal="right" vertical="top"/>
      <protection locked="0"/>
    </xf>
    <xf numFmtId="170" fontId="166" fillId="0" borderId="2" xfId="6" applyNumberFormat="1" applyFont="1" applyFill="1" applyBorder="1" applyAlignment="1" applyProtection="1">
      <alignment horizontal="right" vertical="top" wrapText="1"/>
      <protection locked="0"/>
    </xf>
    <xf numFmtId="9" fontId="166" fillId="0" borderId="2" xfId="1" applyFont="1" applyFill="1" applyBorder="1" applyAlignment="1" applyProtection="1">
      <alignment horizontal="right" vertical="top"/>
      <protection locked="0"/>
    </xf>
    <xf numFmtId="0" fontId="87" fillId="0" borderId="0" xfId="11" applyFont="1" applyAlignment="1" applyProtection="1">
      <alignment horizontal="left" vertical="top"/>
      <protection locked="0"/>
    </xf>
    <xf numFmtId="0" fontId="87" fillId="0" borderId="0" xfId="11" applyFont="1" applyAlignment="1" applyProtection="1">
      <alignment vertical="top" wrapText="1"/>
      <protection locked="0"/>
    </xf>
    <xf numFmtId="10" fontId="87" fillId="0" borderId="0" xfId="1" applyNumberFormat="1" applyFont="1" applyFill="1" applyAlignment="1" applyProtection="1">
      <alignment vertical="top"/>
      <protection locked="0"/>
    </xf>
    <xf numFmtId="10" fontId="87" fillId="0" borderId="0" xfId="1" applyNumberFormat="1" applyFont="1" applyFill="1" applyAlignment="1" applyProtection="1">
      <alignment vertical="top" wrapText="1"/>
      <protection locked="0"/>
    </xf>
    <xf numFmtId="0" fontId="18" fillId="0" borderId="0" xfId="11" applyFont="1" applyAlignment="1" applyProtection="1">
      <alignment horizontal="left" vertical="top"/>
      <protection locked="0"/>
    </xf>
    <xf numFmtId="0" fontId="18" fillId="0" borderId="0" xfId="11" applyFont="1" applyAlignment="1" applyProtection="1">
      <alignment vertical="top" wrapText="1"/>
      <protection locked="0"/>
    </xf>
    <xf numFmtId="10" fontId="18" fillId="0" borderId="0" xfId="1" applyNumberFormat="1" applyFont="1" applyFill="1" applyAlignment="1" applyProtection="1">
      <alignment vertical="top"/>
      <protection locked="0"/>
    </xf>
    <xf numFmtId="10" fontId="18" fillId="0" borderId="0" xfId="1" applyNumberFormat="1" applyFont="1" applyFill="1" applyAlignment="1" applyProtection="1">
      <alignment vertical="top" wrapText="1"/>
      <protection locked="0"/>
    </xf>
    <xf numFmtId="0" fontId="18" fillId="0" borderId="0" xfId="11" applyFont="1" applyAlignment="1" applyProtection="1">
      <alignment vertical="top"/>
      <protection locked="0"/>
    </xf>
    <xf numFmtId="0" fontId="14" fillId="0" borderId="0" xfId="11" applyFont="1" applyAlignment="1" applyProtection="1">
      <alignment horizontal="left"/>
      <protection locked="0"/>
    </xf>
    <xf numFmtId="0" fontId="14" fillId="0" borderId="0" xfId="11" applyFont="1" applyAlignment="1" applyProtection="1">
      <alignment wrapText="1"/>
      <protection locked="0"/>
    </xf>
    <xf numFmtId="9" fontId="14" fillId="0" borderId="0" xfId="1" applyFont="1" applyProtection="1">
      <protection locked="0"/>
    </xf>
    <xf numFmtId="9" fontId="14" fillId="0" borderId="0" xfId="1" applyFont="1" applyAlignment="1" applyProtection="1">
      <alignment wrapText="1"/>
      <protection locked="0"/>
    </xf>
    <xf numFmtId="9" fontId="14" fillId="0" borderId="0" xfId="11" applyNumberFormat="1" applyFont="1" applyProtection="1">
      <protection locked="0"/>
    </xf>
    <xf numFmtId="0" fontId="86" fillId="0" borderId="0" xfId="24" applyFont="1" applyAlignment="1" applyProtection="1">
      <alignment wrapText="1"/>
      <protection locked="0"/>
    </xf>
    <xf numFmtId="0" fontId="168" fillId="0" borderId="0" xfId="25" applyFont="1" applyAlignment="1" applyProtection="1">
      <alignment horizontal="left" wrapText="1"/>
      <protection locked="0"/>
    </xf>
    <xf numFmtId="3" fontId="161" fillId="0" borderId="12" xfId="11" applyNumberFormat="1" applyFont="1" applyBorder="1" applyAlignment="1" applyProtection="1">
      <alignment horizontal="center" vertical="center"/>
      <protection locked="0"/>
    </xf>
    <xf numFmtId="9" fontId="161" fillId="0" borderId="12" xfId="1" applyFont="1" applyBorder="1" applyAlignment="1" applyProtection="1">
      <alignment vertical="center" wrapText="1"/>
      <protection locked="0"/>
    </xf>
    <xf numFmtId="49" fontId="86" fillId="0" borderId="0" xfId="11" applyNumberFormat="1" applyFont="1" applyAlignment="1" applyProtection="1">
      <alignment horizontal="left" vertical="center"/>
      <protection locked="0"/>
    </xf>
    <xf numFmtId="3" fontId="105" fillId="0" borderId="3" xfId="11" applyNumberFormat="1" applyFont="1" applyBorder="1" applyAlignment="1" applyProtection="1">
      <alignment horizontal="right" vertical="center"/>
      <protection locked="0"/>
    </xf>
    <xf numFmtId="3" fontId="105" fillId="0" borderId="3" xfId="11" applyNumberFormat="1" applyFont="1" applyBorder="1" applyAlignment="1" applyProtection="1">
      <alignment vertical="center" wrapText="1"/>
      <protection locked="0"/>
    </xf>
    <xf numFmtId="3" fontId="105" fillId="0" borderId="3" xfId="11" applyNumberFormat="1" applyFont="1" applyBorder="1" applyAlignment="1" applyProtection="1">
      <alignment vertical="center"/>
      <protection locked="0"/>
    </xf>
    <xf numFmtId="0" fontId="105" fillId="0" borderId="8" xfId="11" applyFont="1" applyBorder="1" applyAlignment="1" applyProtection="1">
      <alignment horizontal="left" vertical="center" wrapText="1"/>
      <protection locked="0"/>
    </xf>
    <xf numFmtId="3" fontId="105" fillId="0" borderId="8" xfId="11" applyNumberFormat="1" applyFont="1" applyBorder="1" applyAlignment="1" applyProtection="1">
      <alignment horizontal="right" vertical="center"/>
      <protection locked="0"/>
    </xf>
    <xf numFmtId="3" fontId="105" fillId="0" borderId="8" xfId="11" applyNumberFormat="1" applyFont="1" applyBorder="1" applyAlignment="1" applyProtection="1">
      <alignment vertical="center" wrapText="1"/>
      <protection locked="0"/>
    </xf>
    <xf numFmtId="3" fontId="105" fillId="0" borderId="8" xfId="11" applyNumberFormat="1" applyFont="1" applyBorder="1" applyAlignment="1" applyProtection="1">
      <alignment vertical="center"/>
      <protection locked="0"/>
    </xf>
    <xf numFmtId="3" fontId="161" fillId="0" borderId="12" xfId="11" applyNumberFormat="1" applyFont="1" applyBorder="1" applyAlignment="1" applyProtection="1">
      <alignment horizontal="right" vertical="center"/>
      <protection locked="0"/>
    </xf>
    <xf numFmtId="49" fontId="162" fillId="3" borderId="13" xfId="24" applyNumberFormat="1" applyFont="1" applyFill="1" applyBorder="1" applyAlignment="1" applyProtection="1">
      <alignment horizontal="left" vertical="center"/>
      <protection locked="0"/>
    </xf>
    <xf numFmtId="0" fontId="162" fillId="0" borderId="13" xfId="24" applyFont="1" applyBorder="1" applyAlignment="1" applyProtection="1">
      <alignment vertical="center" wrapText="1"/>
      <protection locked="0"/>
    </xf>
    <xf numFmtId="0" fontId="162" fillId="6" borderId="13" xfId="24" applyFont="1" applyFill="1" applyBorder="1" applyAlignment="1" applyProtection="1">
      <alignment horizontal="left" vertical="center"/>
      <protection locked="0"/>
    </xf>
    <xf numFmtId="3" fontId="160" fillId="0" borderId="13" xfId="11" applyNumberFormat="1" applyFont="1" applyBorder="1" applyAlignment="1" applyProtection="1">
      <alignment vertical="center" wrapText="1"/>
      <protection locked="0"/>
    </xf>
    <xf numFmtId="3" fontId="160" fillId="0" borderId="13" xfId="11" applyNumberFormat="1" applyFont="1" applyBorder="1" applyAlignment="1" applyProtection="1">
      <alignment vertical="center"/>
      <protection locked="0"/>
    </xf>
    <xf numFmtId="0" fontId="163" fillId="0" borderId="13" xfId="11" applyFont="1" applyBorder="1" applyAlignment="1" applyProtection="1">
      <alignment vertical="center"/>
      <protection locked="0"/>
    </xf>
    <xf numFmtId="0" fontId="161" fillId="0" borderId="12" xfId="11" applyFont="1" applyBorder="1" applyAlignment="1" applyProtection="1">
      <alignment vertical="center" wrapText="1"/>
      <protection locked="0"/>
    </xf>
    <xf numFmtId="49" fontId="105" fillId="0" borderId="0" xfId="11" applyNumberFormat="1" applyFont="1" applyAlignment="1" applyProtection="1">
      <alignment horizontal="left" vertical="center"/>
      <protection locked="0"/>
    </xf>
    <xf numFmtId="0" fontId="105" fillId="0" borderId="0" xfId="11" applyFont="1" applyAlignment="1" applyProtection="1">
      <alignment horizontal="left" vertical="center" wrapText="1"/>
      <protection locked="0"/>
    </xf>
    <xf numFmtId="3" fontId="105" fillId="0" borderId="4" xfId="11" applyNumberFormat="1" applyFont="1" applyBorder="1" applyAlignment="1" applyProtection="1">
      <alignment horizontal="right" vertical="center"/>
      <protection locked="0"/>
    </xf>
    <xf numFmtId="3" fontId="105" fillId="0" borderId="0" xfId="11" applyNumberFormat="1" applyFont="1" applyAlignment="1" applyProtection="1">
      <alignment vertical="center" wrapText="1"/>
      <protection locked="0"/>
    </xf>
    <xf numFmtId="3" fontId="105" fillId="0" borderId="4" xfId="11" applyNumberFormat="1" applyFont="1" applyBorder="1" applyAlignment="1" applyProtection="1">
      <alignment vertical="center"/>
      <protection locked="0"/>
    </xf>
    <xf numFmtId="3" fontId="105" fillId="0" borderId="16" xfId="11" applyNumberFormat="1" applyFont="1" applyBorder="1" applyAlignment="1" applyProtection="1">
      <alignment vertical="center" wrapText="1"/>
      <protection locked="0"/>
    </xf>
    <xf numFmtId="49" fontId="162" fillId="4" borderId="13" xfId="24" applyNumberFormat="1" applyFont="1" applyFill="1" applyBorder="1" applyAlignment="1" applyProtection="1">
      <alignment horizontal="left" vertical="center"/>
      <protection locked="0"/>
    </xf>
    <xf numFmtId="0" fontId="162" fillId="7" borderId="13" xfId="24" applyFont="1" applyFill="1" applyBorder="1" applyAlignment="1" applyProtection="1">
      <alignment horizontal="left" vertical="center"/>
      <protection locked="0"/>
    </xf>
    <xf numFmtId="3" fontId="105" fillId="0" borderId="16" xfId="11" applyNumberFormat="1" applyFont="1" applyBorder="1" applyAlignment="1" applyProtection="1">
      <alignment horizontal="right" vertical="center"/>
      <protection locked="0"/>
    </xf>
    <xf numFmtId="3" fontId="105" fillId="0" borderId="16" xfId="11" applyNumberFormat="1" applyFont="1" applyBorder="1" applyAlignment="1" applyProtection="1">
      <alignment vertical="center"/>
      <protection locked="0"/>
    </xf>
    <xf numFmtId="3" fontId="105" fillId="0" borderId="4" xfId="11" applyNumberFormat="1" applyFont="1" applyBorder="1" applyAlignment="1" applyProtection="1">
      <alignment vertical="top" wrapText="1"/>
      <protection locked="0"/>
    </xf>
    <xf numFmtId="3" fontId="105" fillId="0" borderId="0" xfId="11" applyNumberFormat="1" applyFont="1" applyAlignment="1" applyProtection="1">
      <alignment vertical="center"/>
      <protection locked="0"/>
    </xf>
    <xf numFmtId="0" fontId="105" fillId="0" borderId="12" xfId="11" applyFont="1" applyBorder="1" applyAlignment="1" applyProtection="1">
      <alignment vertical="center"/>
      <protection locked="0"/>
    </xf>
    <xf numFmtId="0" fontId="105" fillId="0" borderId="16" xfId="11" applyFont="1" applyBorder="1" applyAlignment="1" applyProtection="1">
      <alignment horizontal="left" vertical="center" wrapText="1"/>
      <protection locked="0"/>
    </xf>
    <xf numFmtId="0" fontId="162" fillId="8" borderId="13" xfId="24" applyFont="1" applyFill="1" applyBorder="1" applyAlignment="1" applyProtection="1">
      <alignment horizontal="left" vertical="center"/>
      <protection locked="0"/>
    </xf>
    <xf numFmtId="0" fontId="162" fillId="9" borderId="13" xfId="24" applyFont="1" applyFill="1" applyBorder="1" applyAlignment="1" applyProtection="1">
      <alignment horizontal="left" vertical="center"/>
      <protection locked="0"/>
    </xf>
    <xf numFmtId="0" fontId="162" fillId="0" borderId="13" xfId="24" applyFont="1" applyBorder="1" applyAlignment="1" applyProtection="1">
      <alignment vertical="center"/>
      <protection locked="0"/>
    </xf>
    <xf numFmtId="0" fontId="167" fillId="0" borderId="13" xfId="11" applyFont="1" applyBorder="1" applyAlignment="1" applyProtection="1">
      <alignment vertical="center"/>
      <protection locked="0"/>
    </xf>
    <xf numFmtId="49" fontId="86" fillId="0" borderId="1" xfId="11" applyNumberFormat="1" applyFont="1" applyBorder="1" applyAlignment="1" applyProtection="1">
      <alignment horizontal="left" vertical="center"/>
      <protection locked="0"/>
    </xf>
    <xf numFmtId="0" fontId="105" fillId="0" borderId="6" xfId="11" applyFont="1" applyBorder="1" applyAlignment="1" applyProtection="1">
      <alignment horizontal="left" vertical="center" wrapText="1"/>
      <protection locked="0"/>
    </xf>
    <xf numFmtId="3" fontId="105" fillId="0" borderId="6" xfId="11" applyNumberFormat="1" applyFont="1" applyBorder="1" applyAlignment="1" applyProtection="1">
      <alignment horizontal="right" vertical="center"/>
      <protection locked="0"/>
    </xf>
    <xf numFmtId="3" fontId="105" fillId="0" borderId="6" xfId="11" applyNumberFormat="1" applyFont="1" applyBorder="1" applyAlignment="1" applyProtection="1">
      <alignment vertical="center" wrapText="1"/>
      <protection locked="0"/>
    </xf>
    <xf numFmtId="3" fontId="105" fillId="0" borderId="6" xfId="11" applyNumberFormat="1" applyFont="1" applyBorder="1" applyAlignment="1" applyProtection="1">
      <alignment vertical="center"/>
      <protection locked="0"/>
    </xf>
    <xf numFmtId="3" fontId="86" fillId="0" borderId="13" xfId="24" applyNumberFormat="1" applyFont="1" applyBorder="1" applyProtection="1">
      <protection locked="0"/>
    </xf>
    <xf numFmtId="3" fontId="86" fillId="0" borderId="13" xfId="24" applyNumberFormat="1" applyFont="1" applyBorder="1" applyAlignment="1" applyProtection="1">
      <alignment wrapText="1"/>
      <protection locked="0"/>
    </xf>
    <xf numFmtId="10" fontId="86" fillId="0" borderId="0" xfId="1" applyNumberFormat="1" applyFont="1" applyFill="1" applyAlignment="1" applyProtection="1">
      <alignment vertical="top"/>
      <protection locked="0"/>
    </xf>
    <xf numFmtId="10" fontId="86" fillId="0" borderId="0" xfId="1" applyNumberFormat="1" applyFont="1" applyFill="1" applyAlignment="1" applyProtection="1">
      <alignment vertical="top" wrapText="1"/>
      <protection locked="0"/>
    </xf>
    <xf numFmtId="0" fontId="33" fillId="0" borderId="0" xfId="0" applyFont="1" applyAlignment="1" applyProtection="1">
      <alignment vertical="center"/>
      <protection locked="0"/>
    </xf>
    <xf numFmtId="0" fontId="37" fillId="10" borderId="7" xfId="3" applyFont="1" applyFill="1" applyBorder="1" applyProtection="1">
      <protection locked="0"/>
    </xf>
    <xf numFmtId="0" fontId="37" fillId="10" borderId="4" xfId="3" applyFont="1" applyFill="1" applyBorder="1" applyProtection="1">
      <protection locked="0"/>
    </xf>
    <xf numFmtId="0" fontId="37" fillId="10" borderId="8" xfId="3" applyFont="1" applyFill="1" applyBorder="1" applyProtection="1">
      <protection locked="0"/>
    </xf>
    <xf numFmtId="0" fontId="37" fillId="10" borderId="6" xfId="3" applyFont="1" applyFill="1" applyBorder="1" applyProtection="1">
      <protection locked="0"/>
    </xf>
    <xf numFmtId="0" fontId="43" fillId="0" borderId="1" xfId="3" applyFont="1" applyBorder="1" applyAlignment="1" applyProtection="1">
      <alignment horizontal="right" vertical="top" wrapText="1"/>
      <protection locked="0"/>
    </xf>
    <xf numFmtId="3" fontId="37" fillId="0" borderId="7" xfId="3" applyNumberFormat="1" applyFont="1" applyBorder="1" applyProtection="1">
      <protection locked="0"/>
    </xf>
    <xf numFmtId="4" fontId="18" fillId="0" borderId="7" xfId="3" applyNumberFormat="1" applyFont="1" applyBorder="1" applyProtection="1">
      <protection locked="0"/>
    </xf>
    <xf numFmtId="4" fontId="35" fillId="0" borderId="7" xfId="3" applyNumberFormat="1" applyFont="1" applyBorder="1" applyProtection="1">
      <protection locked="0"/>
    </xf>
    <xf numFmtId="0" fontId="37" fillId="0" borderId="4" xfId="3" applyFont="1" applyBorder="1" applyAlignment="1" applyProtection="1">
      <alignment horizontal="left"/>
      <protection locked="0"/>
    </xf>
    <xf numFmtId="3" fontId="37" fillId="0" borderId="4" xfId="3" applyNumberFormat="1" applyFont="1" applyBorder="1" applyProtection="1">
      <protection locked="0"/>
    </xf>
    <xf numFmtId="4" fontId="18" fillId="0" borderId="4" xfId="3" applyNumberFormat="1" applyFont="1" applyBorder="1" applyProtection="1">
      <protection locked="0"/>
    </xf>
    <xf numFmtId="4" fontId="35" fillId="0" borderId="4" xfId="3" applyNumberFormat="1" applyFont="1" applyBorder="1" applyProtection="1">
      <protection locked="0"/>
    </xf>
    <xf numFmtId="0" fontId="37" fillId="0" borderId="6" xfId="3" applyFont="1" applyBorder="1" applyAlignment="1" applyProtection="1">
      <alignment horizontal="left"/>
      <protection locked="0"/>
    </xf>
    <xf numFmtId="4" fontId="37" fillId="0" borderId="6" xfId="3" applyNumberFormat="1" applyFont="1" applyBorder="1" applyProtection="1">
      <protection locked="0"/>
    </xf>
    <xf numFmtId="0" fontId="37" fillId="0" borderId="1" xfId="3" applyFont="1" applyBorder="1" applyAlignment="1" applyProtection="1">
      <alignment horizontal="left"/>
      <protection locked="0"/>
    </xf>
    <xf numFmtId="4" fontId="37" fillId="0" borderId="1" xfId="3" applyNumberFormat="1" applyFont="1" applyBorder="1" applyProtection="1">
      <protection locked="0"/>
    </xf>
    <xf numFmtId="0" fontId="43" fillId="0" borderId="1" xfId="3" applyFont="1" applyBorder="1" applyAlignment="1" applyProtection="1">
      <alignment horizontal="center" vertical="top" wrapText="1"/>
      <protection locked="0"/>
    </xf>
    <xf numFmtId="0" fontId="43" fillId="0" borderId="1" xfId="3" applyFont="1" applyBorder="1" applyAlignment="1" applyProtection="1">
      <alignment horizontal="left" vertical="top" wrapText="1"/>
      <protection locked="0"/>
    </xf>
    <xf numFmtId="166" fontId="37" fillId="10" borderId="7" xfId="3" applyNumberFormat="1" applyFont="1" applyFill="1" applyBorder="1" applyProtection="1">
      <protection locked="0"/>
    </xf>
    <xf numFmtId="166" fontId="37" fillId="10" borderId="3" xfId="3" applyNumberFormat="1" applyFont="1" applyFill="1" applyBorder="1" applyProtection="1">
      <protection locked="0"/>
    </xf>
    <xf numFmtId="0" fontId="43" fillId="0" borderId="13" xfId="3" applyFont="1" applyBorder="1" applyProtection="1">
      <protection locked="0"/>
    </xf>
    <xf numFmtId="166" fontId="37" fillId="0" borderId="3" xfId="3" applyNumberFormat="1" applyFont="1" applyBorder="1" applyProtection="1">
      <protection locked="0"/>
    </xf>
    <xf numFmtId="166" fontId="45" fillId="0" borderId="0" xfId="3" applyNumberFormat="1" applyFont="1" applyProtection="1">
      <protection locked="0"/>
    </xf>
    <xf numFmtId="0" fontId="41" fillId="0" borderId="1" xfId="3" applyFont="1" applyBorder="1" applyAlignment="1" applyProtection="1">
      <alignment horizontal="right" vertical="top" wrapText="1"/>
      <protection locked="0"/>
    </xf>
    <xf numFmtId="3" fontId="37" fillId="10" borderId="4" xfId="3" applyNumberFormat="1" applyFont="1" applyFill="1" applyBorder="1" applyProtection="1">
      <protection locked="0"/>
    </xf>
    <xf numFmtId="3" fontId="37" fillId="10" borderId="7" xfId="3" applyNumberFormat="1" applyFont="1" applyFill="1" applyBorder="1" applyProtection="1">
      <protection locked="0"/>
    </xf>
    <xf numFmtId="4" fontId="37" fillId="0" borderId="7" xfId="3" applyNumberFormat="1" applyFont="1" applyBorder="1" applyProtection="1">
      <protection locked="0"/>
    </xf>
    <xf numFmtId="4" fontId="49" fillId="0" borderId="7" xfId="3" applyNumberFormat="1" applyFont="1" applyBorder="1" applyProtection="1">
      <protection locked="0"/>
    </xf>
    <xf numFmtId="4" fontId="37" fillId="0" borderId="4" xfId="3" applyNumberFormat="1" applyFont="1" applyBorder="1" applyProtection="1">
      <protection locked="0"/>
    </xf>
    <xf numFmtId="4" fontId="49" fillId="0" borderId="4" xfId="3" applyNumberFormat="1" applyFont="1" applyBorder="1" applyProtection="1">
      <protection locked="0"/>
    </xf>
    <xf numFmtId="3" fontId="37" fillId="0" borderId="6" xfId="3" applyNumberFormat="1" applyFont="1" applyBorder="1" applyProtection="1">
      <protection locked="0"/>
    </xf>
    <xf numFmtId="3" fontId="37" fillId="10" borderId="6" xfId="3" applyNumberFormat="1" applyFont="1" applyFill="1" applyBorder="1" applyProtection="1">
      <protection locked="0"/>
    </xf>
    <xf numFmtId="4" fontId="49" fillId="0" borderId="6" xfId="3" applyNumberFormat="1" applyFont="1" applyBorder="1" applyProtection="1">
      <protection locked="0"/>
    </xf>
    <xf numFmtId="0" fontId="49" fillId="0" borderId="13" xfId="3" applyFont="1" applyBorder="1" applyProtection="1">
      <protection locked="0"/>
    </xf>
    <xf numFmtId="3" fontId="49" fillId="0" borderId="0" xfId="3" applyNumberFormat="1" applyFont="1" applyProtection="1">
      <protection locked="0"/>
    </xf>
    <xf numFmtId="4" fontId="49" fillId="0" borderId="0" xfId="3" applyNumberFormat="1" applyFont="1" applyProtection="1">
      <protection locked="0"/>
    </xf>
    <xf numFmtId="4" fontId="37" fillId="0" borderId="0" xfId="3" applyNumberFormat="1" applyFont="1" applyProtection="1">
      <protection locked="0"/>
    </xf>
    <xf numFmtId="3" fontId="43" fillId="0" borderId="2" xfId="3" applyNumberFormat="1" applyFont="1" applyBorder="1" applyProtection="1">
      <protection locked="0"/>
    </xf>
    <xf numFmtId="0" fontId="37" fillId="0" borderId="4" xfId="3" applyFont="1" applyBorder="1" applyAlignment="1" applyProtection="1">
      <alignment wrapText="1"/>
      <protection locked="0"/>
    </xf>
    <xf numFmtId="3" fontId="43" fillId="0" borderId="1" xfId="3" applyNumberFormat="1" applyFont="1" applyBorder="1" applyProtection="1">
      <protection locked="0"/>
    </xf>
    <xf numFmtId="0" fontId="18" fillId="0" borderId="2" xfId="0" applyFont="1" applyBorder="1" applyProtection="1">
      <protection locked="0"/>
    </xf>
    <xf numFmtId="4" fontId="37" fillId="0" borderId="2" xfId="3" applyNumberFormat="1" applyFont="1" applyBorder="1" applyProtection="1">
      <protection locked="0"/>
    </xf>
    <xf numFmtId="3" fontId="37" fillId="0" borderId="2" xfId="3" applyNumberFormat="1" applyFont="1" applyBorder="1" applyProtection="1">
      <protection locked="0"/>
    </xf>
    <xf numFmtId="0" fontId="43" fillId="0" borderId="1" xfId="3" applyFont="1" applyBorder="1" applyProtection="1">
      <protection locked="0"/>
    </xf>
    <xf numFmtId="4" fontId="43" fillId="0" borderId="1" xfId="3" applyNumberFormat="1" applyFont="1" applyBorder="1" applyProtection="1">
      <protection locked="0"/>
    </xf>
    <xf numFmtId="4" fontId="37" fillId="0" borderId="14" xfId="3" applyNumberFormat="1" applyFont="1" applyBorder="1" applyProtection="1">
      <protection locked="0"/>
    </xf>
    <xf numFmtId="3" fontId="37" fillId="0" borderId="14" xfId="3" applyNumberFormat="1" applyFont="1" applyBorder="1" applyProtection="1">
      <protection locked="0"/>
    </xf>
    <xf numFmtId="0" fontId="43" fillId="0" borderId="15" xfId="3" applyFont="1" applyBorder="1" applyProtection="1">
      <protection locked="0"/>
    </xf>
    <xf numFmtId="4" fontId="43" fillId="0" borderId="15" xfId="3" applyNumberFormat="1" applyFont="1" applyBorder="1" applyProtection="1">
      <protection locked="0"/>
    </xf>
    <xf numFmtId="3" fontId="43" fillId="0" borderId="15" xfId="3" applyNumberFormat="1" applyFont="1" applyBorder="1" applyProtection="1">
      <protection locked="0"/>
    </xf>
    <xf numFmtId="4" fontId="43" fillId="0" borderId="1" xfId="3" applyNumberFormat="1" applyFont="1" applyBorder="1" applyAlignment="1" applyProtection="1">
      <alignment horizontal="right"/>
      <protection locked="0"/>
    </xf>
    <xf numFmtId="3" fontId="37" fillId="0" borderId="0" xfId="3" applyNumberFormat="1" applyFont="1" applyProtection="1">
      <protection locked="0"/>
    </xf>
    <xf numFmtId="3" fontId="37" fillId="0" borderId="1" xfId="3" applyNumberFormat="1" applyFont="1" applyBorder="1" applyProtection="1">
      <protection locked="0"/>
    </xf>
    <xf numFmtId="4" fontId="43" fillId="0" borderId="2" xfId="3" applyNumberFormat="1" applyFont="1" applyBorder="1" applyProtection="1">
      <protection locked="0"/>
    </xf>
    <xf numFmtId="4" fontId="53" fillId="0" borderId="2" xfId="3" applyNumberFormat="1" applyFont="1" applyBorder="1" applyProtection="1">
      <protection locked="0"/>
    </xf>
    <xf numFmtId="4" fontId="49" fillId="0" borderId="2" xfId="3" applyNumberFormat="1" applyFont="1" applyBorder="1" applyProtection="1">
      <protection locked="0"/>
    </xf>
    <xf numFmtId="0" fontId="42" fillId="0" borderId="4" xfId="0" applyFont="1" applyBorder="1" applyAlignment="1" applyProtection="1">
      <alignment vertical="center"/>
      <protection locked="0"/>
    </xf>
    <xf numFmtId="0" fontId="42" fillId="0" borderId="3" xfId="0" applyFont="1" applyBorder="1" applyAlignment="1" applyProtection="1">
      <alignment vertical="center"/>
      <protection locked="0"/>
    </xf>
    <xf numFmtId="0" fontId="84" fillId="0" borderId="3" xfId="11" applyFont="1" applyBorder="1" applyAlignment="1">
      <alignment wrapText="1"/>
    </xf>
    <xf numFmtId="0" fontId="75" fillId="0" borderId="6" xfId="0" applyFont="1" applyBorder="1" applyAlignment="1">
      <alignment horizontal="left" vertical="center" wrapText="1"/>
    </xf>
    <xf numFmtId="0" fontId="75" fillId="0" borderId="6" xfId="0" applyFont="1" applyBorder="1" applyAlignment="1">
      <alignment vertical="center"/>
    </xf>
    <xf numFmtId="0" fontId="18" fillId="0" borderId="6" xfId="0" applyFont="1" applyBorder="1" applyAlignment="1">
      <alignment horizontal="left" vertical="center"/>
    </xf>
    <xf numFmtId="0" fontId="203" fillId="13" borderId="0" xfId="11" applyFont="1" applyFill="1" applyAlignment="1" applyProtection="1">
      <alignment wrapText="1"/>
      <protection locked="0"/>
    </xf>
    <xf numFmtId="0" fontId="203" fillId="13" borderId="4" xfId="0" applyFont="1" applyFill="1" applyBorder="1" applyAlignment="1" applyProtection="1">
      <alignment vertical="center" wrapText="1"/>
      <protection locked="0"/>
    </xf>
    <xf numFmtId="0" fontId="203" fillId="13" borderId="6" xfId="0" applyFont="1" applyFill="1" applyBorder="1" applyAlignment="1" applyProtection="1">
      <alignment vertical="center" wrapText="1"/>
      <protection locked="0"/>
    </xf>
    <xf numFmtId="0" fontId="43" fillId="0" borderId="7" xfId="3" applyFont="1" applyBorder="1" applyProtection="1">
      <protection locked="0"/>
    </xf>
    <xf numFmtId="166" fontId="43" fillId="0" borderId="7" xfId="3" applyNumberFormat="1" applyFont="1" applyBorder="1" applyProtection="1">
      <protection locked="0"/>
    </xf>
    <xf numFmtId="0" fontId="61" fillId="0" borderId="4" xfId="0" applyFont="1" applyBorder="1" applyAlignment="1">
      <alignment horizontal="left" vertical="center" wrapText="1"/>
    </xf>
    <xf numFmtId="0" fontId="61" fillId="0" borderId="3" xfId="0" applyFont="1" applyBorder="1" applyAlignment="1">
      <alignment horizontal="left" vertical="center" wrapText="1"/>
    </xf>
    <xf numFmtId="0" fontId="18" fillId="0" borderId="0" xfId="0" applyFont="1" applyAlignment="1">
      <alignment vertical="center" wrapText="1"/>
    </xf>
    <xf numFmtId="0" fontId="75" fillId="0" borderId="0" xfId="0" applyFont="1" applyAlignment="1">
      <alignment vertical="center" wrapText="1"/>
    </xf>
    <xf numFmtId="3" fontId="59" fillId="13" borderId="4" xfId="0" applyNumberFormat="1" applyFont="1" applyFill="1" applyBorder="1" applyAlignment="1" applyProtection="1">
      <alignment vertical="center" wrapText="1"/>
      <protection locked="0"/>
    </xf>
    <xf numFmtId="0" fontId="26" fillId="13" borderId="7" xfId="0" applyFont="1" applyFill="1" applyBorder="1" applyAlignment="1" applyProtection="1">
      <alignment vertical="center" wrapText="1"/>
      <protection locked="0"/>
    </xf>
    <xf numFmtId="0" fontId="26" fillId="13" borderId="3" xfId="0" applyFont="1" applyFill="1" applyBorder="1" applyAlignment="1" applyProtection="1">
      <alignment vertical="center" wrapText="1"/>
      <protection locked="0"/>
    </xf>
    <xf numFmtId="0" fontId="18" fillId="0" borderId="3" xfId="0" applyFont="1" applyBorder="1" applyAlignment="1">
      <alignment vertical="center" wrapText="1"/>
    </xf>
    <xf numFmtId="0" fontId="18" fillId="0" borderId="4" xfId="0" applyFont="1" applyBorder="1" applyAlignment="1">
      <alignment vertical="center" wrapText="1"/>
    </xf>
    <xf numFmtId="0" fontId="62" fillId="0" borderId="4" xfId="22" applyFill="1" applyBorder="1" applyAlignment="1">
      <alignment vertical="center" wrapText="1"/>
    </xf>
    <xf numFmtId="0" fontId="18" fillId="0" borderId="1" xfId="0" applyFont="1" applyBorder="1" applyAlignment="1">
      <alignment horizontal="left" vertical="center" wrapText="1"/>
    </xf>
    <xf numFmtId="0" fontId="62" fillId="0" borderId="7" xfId="22" applyFill="1" applyBorder="1" applyAlignment="1">
      <alignment vertical="center" wrapText="1"/>
    </xf>
    <xf numFmtId="49" fontId="89" fillId="0" borderId="21" xfId="11" applyNumberFormat="1" applyFont="1" applyBorder="1" applyAlignment="1">
      <alignment horizontal="left" vertical="top" textRotation="90" wrapText="1"/>
    </xf>
    <xf numFmtId="49" fontId="89" fillId="0" borderId="0" xfId="11" applyNumberFormat="1" applyFont="1" applyAlignment="1">
      <alignment horizontal="left" vertical="top" textRotation="90" wrapText="1"/>
    </xf>
    <xf numFmtId="49" fontId="89" fillId="0" borderId="1" xfId="11" applyNumberFormat="1" applyFont="1" applyBorder="1" applyAlignment="1">
      <alignment horizontal="left" vertical="top" textRotation="90" wrapText="1"/>
    </xf>
    <xf numFmtId="49" fontId="89" fillId="0" borderId="0" xfId="11" applyNumberFormat="1" applyFont="1" applyAlignment="1">
      <alignment horizontal="left" vertical="top" textRotation="90"/>
    </xf>
    <xf numFmtId="49" fontId="89" fillId="0" borderId="17" xfId="11" applyNumberFormat="1" applyFont="1" applyBorder="1" applyAlignment="1">
      <alignment horizontal="left" vertical="top" textRotation="90"/>
    </xf>
    <xf numFmtId="0" fontId="18" fillId="0" borderId="0" xfId="0" applyFont="1" applyAlignment="1">
      <alignment wrapText="1"/>
    </xf>
    <xf numFmtId="49" fontId="89" fillId="0" borderId="0" xfId="11" applyNumberFormat="1" applyFont="1" applyAlignment="1">
      <alignment horizontal="center" vertical="top" textRotation="90" wrapText="1"/>
    </xf>
    <xf numFmtId="49" fontId="89" fillId="0" borderId="17" xfId="11" applyNumberFormat="1" applyFont="1" applyBorder="1" applyAlignment="1">
      <alignment horizontal="left" vertical="top" textRotation="90" wrapText="1"/>
    </xf>
    <xf numFmtId="0" fontId="105" fillId="0" borderId="1" xfId="11" applyFont="1" applyBorder="1" applyAlignment="1" applyProtection="1">
      <alignment wrapText="1"/>
      <protection locked="0"/>
    </xf>
    <xf numFmtId="167" fontId="35" fillId="0" borderId="8" xfId="17" applyBorder="1" applyAlignment="1">
      <alignment vertical="center" wrapText="1"/>
    </xf>
    <xf numFmtId="167" fontId="35" fillId="0" borderId="1" xfId="17" applyBorder="1" applyAlignment="1">
      <alignment vertical="center" wrapText="1"/>
    </xf>
    <xf numFmtId="167" fontId="18" fillId="0" borderId="4" xfId="17" applyFont="1" applyAlignment="1">
      <alignment vertical="center" wrapText="1"/>
    </xf>
    <xf numFmtId="167" fontId="18" fillId="0" borderId="4" xfId="17" applyFont="1">
      <alignment vertical="center"/>
    </xf>
    <xf numFmtId="2" fontId="57" fillId="13" borderId="2" xfId="0" applyNumberFormat="1" applyFont="1" applyFill="1" applyBorder="1" applyAlignment="1" applyProtection="1">
      <alignment vertical="center"/>
      <protection locked="0"/>
    </xf>
    <xf numFmtId="49" fontId="32" fillId="0" borderId="0" xfId="21" applyNumberFormat="1" applyBorder="1"/>
  </cellXfs>
  <cellStyles count="27">
    <cellStyle name="Besedilo" xfId="9" xr:uid="{00000000-0005-0000-0000-000000000000}"/>
    <cellStyle name="Comma" xfId="2" builtinId="3"/>
    <cellStyle name="Comma 2" xfId="6" xr:uid="{00000000-0005-0000-0000-000002000000}"/>
    <cellStyle name="Comma 3" xfId="16" xr:uid="{00000000-0005-0000-0000-000003000000}"/>
    <cellStyle name="Hyperlink" xfId="26" builtinId="8"/>
    <cellStyle name="Naslov 1" xfId="7" xr:uid="{00000000-0005-0000-0000-000005000000}"/>
    <cellStyle name="Naslov 1 2" xfId="25" xr:uid="{8F296887-1F2E-4B15-A126-7FDFBEF3859F}"/>
    <cellStyle name="Naslov 2" xfId="12" xr:uid="{323514E2-771F-4E44-B55B-C513A9715F7C}"/>
    <cellStyle name="Naslov 3" xfId="21" xr:uid="{23DC87C9-7C4A-48B9-8E1D-38636142BC22}"/>
    <cellStyle name="Naslov 4" xfId="22" xr:uid="{8622617C-EA93-4014-9041-964CD52312D1}"/>
    <cellStyle name="NASLOV IZRAČUN" xfId="10" xr:uid="{00000000-0005-0000-0000-000008000000}"/>
    <cellStyle name="Navadno 2" xfId="3" xr:uid="{00000000-0005-0000-0000-000009000000}"/>
    <cellStyle name="Navadno 2 2" xfId="4" xr:uid="{00000000-0005-0000-0000-00000A000000}"/>
    <cellStyle name="Navadno 2 3" xfId="5" xr:uid="{00000000-0005-0000-0000-00000B000000}"/>
    <cellStyle name="Normal" xfId="0" builtinId="0"/>
    <cellStyle name="Normal 2" xfId="11" xr:uid="{00000000-0005-0000-0000-00000D000000}"/>
    <cellStyle name="Normal 3" xfId="13" xr:uid="{00000000-0005-0000-0000-00000E000000}"/>
    <cellStyle name="Normal 3 2" xfId="20" xr:uid="{00000000-0005-0000-0000-00000F000000}"/>
    <cellStyle name="Normal 4" xfId="15" xr:uid="{00000000-0005-0000-0000-000010000000}"/>
    <cellStyle name="Normal 4 2" xfId="19" xr:uid="{00000000-0005-0000-0000-000011000000}"/>
    <cellStyle name="Normal 5" xfId="23" xr:uid="{44B7A725-9FF3-4CE3-8B8F-F083A3D6FC8A}"/>
    <cellStyle name="Normal 6" xfId="24" xr:uid="{A50ED511-C36F-49A1-AF04-AEFF8D16F4BE}"/>
    <cellStyle name="Percent" xfId="1" builtinId="5"/>
    <cellStyle name="Percent 2" xfId="14" xr:uid="{00000000-0005-0000-0000-000013000000}"/>
    <cellStyle name="Podnaslov" xfId="8" xr:uid="{00000000-0005-0000-0000-000014000000}"/>
    <cellStyle name="Style 1" xfId="17" xr:uid="{00000000-0005-0000-0000-000015000000}"/>
    <cellStyle name="Style 2" xfId="18" xr:uid="{00000000-0005-0000-0000-000016000000}"/>
  </cellStyles>
  <dxfs count="0"/>
  <tableStyles count="0" defaultTableStyle="TableStyleMedium9" defaultPivotStyle="PivotStyleLight16"/>
  <colors>
    <mruColors>
      <color rgb="FFCCECFF"/>
      <color rgb="FF5BD4FF"/>
      <color rgb="FF009999"/>
      <color rgb="FF00CC00"/>
      <color rgb="FFCC0099"/>
      <color rgb="FFFF9999"/>
      <color rgb="FFCCFFCC"/>
      <color rgb="FF99FFCC"/>
      <color rgb="FFFFCC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9.8135132273973399E-2"/>
          <c:y val="4.0797397844425536E-2"/>
          <c:w val="0.53447869781228663"/>
          <c:h val="0.76556974135559486"/>
        </c:manualLayout>
      </c:layout>
      <c:scatterChart>
        <c:scatterStyle val="lineMarker"/>
        <c:varyColors val="0"/>
        <c:ser>
          <c:idx val="0"/>
          <c:order val="0"/>
          <c:tx>
            <c:v>CENOVNI RAZRED I</c:v>
          </c:tx>
          <c:spPr>
            <a:ln w="19050" cap="rnd">
              <a:solidFill>
                <a:schemeClr val="accent5">
                  <a:tint val="43000"/>
                </a:schemeClr>
              </a:solidFill>
              <a:round/>
            </a:ln>
            <a:effectLst/>
          </c:spPr>
          <c:marker>
            <c:symbol val="circle"/>
            <c:size val="5"/>
            <c:spPr>
              <a:solidFill>
                <a:schemeClr val="accent5">
                  <a:tint val="43000"/>
                </a:schemeClr>
              </a:solidFill>
              <a:ln w="9525">
                <a:solidFill>
                  <a:schemeClr val="accent5">
                    <a:tint val="43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39</c:v>
              </c:pt>
              <c:pt idx="1">
                <c:v>53</c:v>
              </c:pt>
              <c:pt idx="2">
                <c:v>73</c:v>
              </c:pt>
              <c:pt idx="3">
                <c:v>104</c:v>
              </c:pt>
              <c:pt idx="4">
                <c:v>135</c:v>
              </c:pt>
              <c:pt idx="5">
                <c:v>194</c:v>
              </c:pt>
              <c:pt idx="6">
                <c:v>250</c:v>
              </c:pt>
              <c:pt idx="7">
                <c:v>359</c:v>
              </c:pt>
              <c:pt idx="8">
                <c:v>565</c:v>
              </c:pt>
              <c:pt idx="9">
                <c:v>808</c:v>
              </c:pt>
              <c:pt idx="10">
                <c:v>1040</c:v>
              </c:pt>
              <c:pt idx="11">
                <c:v>1491</c:v>
              </c:pt>
              <c:pt idx="12">
                <c:v>1925</c:v>
              </c:pt>
              <c:pt idx="13">
                <c:v>2752</c:v>
              </c:pt>
              <c:pt idx="14">
                <c:v>4298</c:v>
              </c:pt>
              <c:pt idx="15">
                <c:v>6174</c:v>
              </c:pt>
              <c:pt idx="16">
                <c:v>7978</c:v>
              </c:pt>
              <c:pt idx="17">
                <c:v>11439</c:v>
              </c:pt>
              <c:pt idx="18">
                <c:v>14755</c:v>
              </c:pt>
              <c:pt idx="19">
                <c:v>17961</c:v>
              </c:pt>
              <c:pt idx="20">
                <c:v>29640</c:v>
              </c:pt>
              <c:pt idx="21">
                <c:v>46800</c:v>
              </c:pt>
              <c:pt idx="22">
                <c:v>60840</c:v>
              </c:pt>
              <c:pt idx="23">
                <c:v>68640</c:v>
              </c:pt>
            </c:numLit>
          </c:yVal>
          <c:smooth val="0"/>
          <c:extLst>
            <c:ext xmlns:c16="http://schemas.microsoft.com/office/drawing/2014/chart" uri="{C3380CC4-5D6E-409C-BE32-E72D297353CC}">
              <c16:uniqueId val="{00000000-B575-4B2F-86F4-32A3B385F188}"/>
            </c:ext>
          </c:extLst>
        </c:ser>
        <c:ser>
          <c:idx val="2"/>
          <c:order val="2"/>
          <c:tx>
            <c:v>CENOVNI RAZRED II</c:v>
          </c:tx>
          <c:spPr>
            <a:ln w="19050" cap="rnd">
              <a:solidFill>
                <a:schemeClr val="accent5">
                  <a:tint val="69000"/>
                </a:schemeClr>
              </a:solidFill>
              <a:round/>
            </a:ln>
            <a:effectLst/>
          </c:spPr>
          <c:marker>
            <c:symbol val="circle"/>
            <c:size val="5"/>
            <c:spPr>
              <a:solidFill>
                <a:schemeClr val="accent5">
                  <a:tint val="69000"/>
                </a:schemeClr>
              </a:solidFill>
              <a:ln w="9525">
                <a:solidFill>
                  <a:schemeClr val="accent5">
                    <a:tint val="69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46</c:v>
              </c:pt>
              <c:pt idx="1">
                <c:v>62</c:v>
              </c:pt>
              <c:pt idx="2">
                <c:v>85</c:v>
              </c:pt>
              <c:pt idx="3">
                <c:v>122</c:v>
              </c:pt>
              <c:pt idx="4">
                <c:v>158</c:v>
              </c:pt>
              <c:pt idx="5">
                <c:v>227</c:v>
              </c:pt>
              <c:pt idx="6">
                <c:v>294</c:v>
              </c:pt>
              <c:pt idx="7">
                <c:v>421</c:v>
              </c:pt>
              <c:pt idx="8">
                <c:v>663</c:v>
              </c:pt>
              <c:pt idx="9">
                <c:v>947</c:v>
              </c:pt>
              <c:pt idx="10">
                <c:v>1218</c:v>
              </c:pt>
              <c:pt idx="11">
                <c:v>1748</c:v>
              </c:pt>
              <c:pt idx="12">
                <c:v>2255</c:v>
              </c:pt>
              <c:pt idx="13">
                <c:v>3225</c:v>
              </c:pt>
              <c:pt idx="14">
                <c:v>5037</c:v>
              </c:pt>
              <c:pt idx="15">
                <c:v>7235</c:v>
              </c:pt>
              <c:pt idx="16">
                <c:v>9350</c:v>
              </c:pt>
              <c:pt idx="17">
                <c:v>13405</c:v>
              </c:pt>
              <c:pt idx="18">
                <c:v>17291</c:v>
              </c:pt>
              <c:pt idx="19">
                <c:v>21048</c:v>
              </c:pt>
              <c:pt idx="20">
                <c:v>34960</c:v>
              </c:pt>
              <c:pt idx="21">
                <c:v>55200</c:v>
              </c:pt>
              <c:pt idx="22">
                <c:v>71760</c:v>
              </c:pt>
              <c:pt idx="23">
                <c:v>80960</c:v>
              </c:pt>
            </c:numLit>
          </c:yVal>
          <c:smooth val="0"/>
          <c:extLst>
            <c:ext xmlns:c16="http://schemas.microsoft.com/office/drawing/2014/chart" uri="{C3380CC4-5D6E-409C-BE32-E72D297353CC}">
              <c16:uniqueId val="{00000001-B575-4B2F-86F4-32A3B385F188}"/>
            </c:ext>
          </c:extLst>
        </c:ser>
        <c:ser>
          <c:idx val="4"/>
          <c:order val="4"/>
          <c:tx>
            <c:v>CENOVNI RAZRED III</c:v>
          </c:tx>
          <c:spPr>
            <a:ln w="19050" cap="rnd">
              <a:solidFill>
                <a:schemeClr val="accent5">
                  <a:tint val="94000"/>
                </a:schemeClr>
              </a:solidFill>
              <a:round/>
            </a:ln>
            <a:effectLst/>
          </c:spPr>
          <c:marker>
            <c:symbol val="circle"/>
            <c:size val="5"/>
            <c:spPr>
              <a:solidFill>
                <a:schemeClr val="accent5">
                  <a:tint val="94000"/>
                </a:schemeClr>
              </a:solidFill>
              <a:ln w="9525">
                <a:solidFill>
                  <a:schemeClr val="accent5">
                    <a:tint val="94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54</c:v>
              </c:pt>
              <c:pt idx="1">
                <c:v>73</c:v>
              </c:pt>
              <c:pt idx="2">
                <c:v>101</c:v>
              </c:pt>
              <c:pt idx="3">
                <c:v>145</c:v>
              </c:pt>
              <c:pt idx="4">
                <c:v>188</c:v>
              </c:pt>
              <c:pt idx="5">
                <c:v>269</c:v>
              </c:pt>
              <c:pt idx="6">
                <c:v>348</c:v>
              </c:pt>
              <c:pt idx="7">
                <c:v>500</c:v>
              </c:pt>
              <c:pt idx="8">
                <c:v>786</c:v>
              </c:pt>
              <c:pt idx="9">
                <c:v>1124</c:v>
              </c:pt>
              <c:pt idx="10">
                <c:v>1446</c:v>
              </c:pt>
              <c:pt idx="11">
                <c:v>2074</c:v>
              </c:pt>
              <c:pt idx="12">
                <c:v>2676</c:v>
              </c:pt>
              <c:pt idx="13">
                <c:v>3827</c:v>
              </c:pt>
              <c:pt idx="14">
                <c:v>5978</c:v>
              </c:pt>
              <c:pt idx="15">
                <c:v>8586</c:v>
              </c:pt>
              <c:pt idx="16">
                <c:v>11095</c:v>
              </c:pt>
              <c:pt idx="17">
                <c:v>15908</c:v>
              </c:pt>
              <c:pt idx="18">
                <c:v>20519</c:v>
              </c:pt>
              <c:pt idx="19">
                <c:v>24977</c:v>
              </c:pt>
              <c:pt idx="20">
                <c:v>41040</c:v>
              </c:pt>
              <c:pt idx="21">
                <c:v>64800</c:v>
              </c:pt>
              <c:pt idx="22">
                <c:v>84240</c:v>
              </c:pt>
              <c:pt idx="23">
                <c:v>95040</c:v>
              </c:pt>
            </c:numLit>
          </c:yVal>
          <c:smooth val="0"/>
          <c:extLst>
            <c:ext xmlns:c16="http://schemas.microsoft.com/office/drawing/2014/chart" uri="{C3380CC4-5D6E-409C-BE32-E72D297353CC}">
              <c16:uniqueId val="{00000002-B575-4B2F-86F4-32A3B385F188}"/>
            </c:ext>
          </c:extLst>
        </c:ser>
        <c:ser>
          <c:idx val="6"/>
          <c:order val="6"/>
          <c:tx>
            <c:v>CENOVNI RAZRED IV</c:v>
          </c:tx>
          <c:spPr>
            <a:ln w="19050" cap="rnd">
              <a:solidFill>
                <a:schemeClr val="accent5">
                  <a:shade val="80000"/>
                </a:schemeClr>
              </a:solidFill>
              <a:round/>
            </a:ln>
            <a:effectLst/>
          </c:spPr>
          <c:marker>
            <c:symbol val="circle"/>
            <c:size val="5"/>
            <c:spPr>
              <a:solidFill>
                <a:schemeClr val="accent5">
                  <a:shade val="80000"/>
                </a:schemeClr>
              </a:solidFill>
              <a:ln w="9525">
                <a:solidFill>
                  <a:schemeClr val="accent5">
                    <a:shade val="80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68</c:v>
              </c:pt>
              <c:pt idx="1">
                <c:v>91</c:v>
              </c:pt>
              <c:pt idx="2">
                <c:v>126</c:v>
              </c:pt>
              <c:pt idx="3">
                <c:v>181</c:v>
              </c:pt>
              <c:pt idx="4">
                <c:v>234</c:v>
              </c:pt>
              <c:pt idx="5">
                <c:v>336</c:v>
              </c:pt>
              <c:pt idx="6">
                <c:v>434</c:v>
              </c:pt>
              <c:pt idx="7">
                <c:v>623</c:v>
              </c:pt>
              <c:pt idx="8">
                <c:v>981</c:v>
              </c:pt>
              <c:pt idx="9">
                <c:v>1402</c:v>
              </c:pt>
              <c:pt idx="10">
                <c:v>1803</c:v>
              </c:pt>
              <c:pt idx="11">
                <c:v>2587</c:v>
              </c:pt>
              <c:pt idx="12">
                <c:v>3338</c:v>
              </c:pt>
              <c:pt idx="13">
                <c:v>4773</c:v>
              </c:pt>
              <c:pt idx="14">
                <c:v>7455</c:v>
              </c:pt>
              <c:pt idx="15">
                <c:v>10708</c:v>
              </c:pt>
              <c:pt idx="16">
                <c:v>13838</c:v>
              </c:pt>
              <c:pt idx="17">
                <c:v>19840</c:v>
              </c:pt>
              <c:pt idx="18">
                <c:v>25591</c:v>
              </c:pt>
              <c:pt idx="19">
                <c:v>31151</c:v>
              </c:pt>
              <c:pt idx="20">
                <c:v>51680</c:v>
              </c:pt>
              <c:pt idx="21">
                <c:v>81600</c:v>
              </c:pt>
              <c:pt idx="22">
                <c:v>106080</c:v>
              </c:pt>
              <c:pt idx="23">
                <c:v>119680</c:v>
              </c:pt>
            </c:numLit>
          </c:yVal>
          <c:smooth val="0"/>
          <c:extLst>
            <c:ext xmlns:c16="http://schemas.microsoft.com/office/drawing/2014/chart" uri="{C3380CC4-5D6E-409C-BE32-E72D297353CC}">
              <c16:uniqueId val="{00000003-B575-4B2F-86F4-32A3B385F188}"/>
            </c:ext>
          </c:extLst>
        </c:ser>
        <c:ser>
          <c:idx val="8"/>
          <c:order val="8"/>
          <c:tx>
            <c:v>CENOVNI RAZRED V</c:v>
          </c:tx>
          <c:spPr>
            <a:ln w="19050" cap="rnd">
              <a:solidFill>
                <a:schemeClr val="accent5">
                  <a:shade val="55000"/>
                </a:schemeClr>
              </a:solidFill>
              <a:round/>
            </a:ln>
            <a:effectLst/>
          </c:spPr>
          <c:marker>
            <c:symbol val="circle"/>
            <c:size val="5"/>
            <c:spPr>
              <a:solidFill>
                <a:schemeClr val="accent5">
                  <a:shade val="55000"/>
                </a:schemeClr>
              </a:solidFill>
              <a:ln w="9525">
                <a:solidFill>
                  <a:schemeClr val="accent5">
                    <a:shade val="55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76</c:v>
              </c:pt>
              <c:pt idx="1">
                <c:v>103</c:v>
              </c:pt>
              <c:pt idx="2">
                <c:v>142</c:v>
              </c:pt>
              <c:pt idx="3">
                <c:v>204</c:v>
              </c:pt>
              <c:pt idx="4">
                <c:v>263</c:v>
              </c:pt>
              <c:pt idx="5">
                <c:v>378</c:v>
              </c:pt>
              <c:pt idx="6">
                <c:v>489</c:v>
              </c:pt>
              <c:pt idx="7">
                <c:v>702</c:v>
              </c:pt>
              <c:pt idx="8">
                <c:v>1104</c:v>
              </c:pt>
              <c:pt idx="9">
                <c:v>1579</c:v>
              </c:pt>
              <c:pt idx="10">
                <c:v>2031</c:v>
              </c:pt>
              <c:pt idx="11">
                <c:v>2913</c:v>
              </c:pt>
              <c:pt idx="12">
                <c:v>3759</c:v>
              </c:pt>
              <c:pt idx="13">
                <c:v>5375</c:v>
              </c:pt>
              <c:pt idx="14">
                <c:v>8396</c:v>
              </c:pt>
              <c:pt idx="15">
                <c:v>12059</c:v>
              </c:pt>
              <c:pt idx="16">
                <c:v>15583</c:v>
              </c:pt>
              <c:pt idx="17">
                <c:v>22342</c:v>
              </c:pt>
              <c:pt idx="18">
                <c:v>28819</c:v>
              </c:pt>
              <c:pt idx="19">
                <c:v>35080</c:v>
              </c:pt>
              <c:pt idx="20">
                <c:v>57760</c:v>
              </c:pt>
              <c:pt idx="21">
                <c:v>91200</c:v>
              </c:pt>
              <c:pt idx="22">
                <c:v>118560</c:v>
              </c:pt>
              <c:pt idx="23">
                <c:v>133760</c:v>
              </c:pt>
            </c:numLit>
          </c:yVal>
          <c:smooth val="0"/>
          <c:extLst>
            <c:ext xmlns:c16="http://schemas.microsoft.com/office/drawing/2014/chart" uri="{C3380CC4-5D6E-409C-BE32-E72D297353CC}">
              <c16:uniqueId val="{00000004-B575-4B2F-86F4-32A3B385F188}"/>
            </c:ext>
          </c:extLst>
        </c:ser>
        <c:ser>
          <c:idx val="9"/>
          <c:order val="9"/>
          <c:tx>
            <c:v>CENOVNI RAZRED V VISOKA</c:v>
          </c:tx>
          <c:spPr>
            <a:ln w="19050" cap="rnd">
              <a:solidFill>
                <a:schemeClr val="accent5">
                  <a:shade val="42000"/>
                </a:schemeClr>
              </a:solidFill>
              <a:round/>
            </a:ln>
            <a:effectLst/>
          </c:spPr>
          <c:marker>
            <c:symbol val="circle"/>
            <c:size val="5"/>
            <c:spPr>
              <a:solidFill>
                <a:schemeClr val="accent5">
                  <a:shade val="42000"/>
                </a:schemeClr>
              </a:solidFill>
              <a:ln w="9525">
                <a:solidFill>
                  <a:schemeClr val="accent5">
                    <a:shade val="42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83</c:v>
              </c:pt>
              <c:pt idx="1">
                <c:v>112</c:v>
              </c:pt>
              <c:pt idx="2">
                <c:v>154</c:v>
              </c:pt>
              <c:pt idx="3">
                <c:v>222</c:v>
              </c:pt>
              <c:pt idx="4">
                <c:v>287</c:v>
              </c:pt>
              <c:pt idx="5">
                <c:v>412</c:v>
              </c:pt>
              <c:pt idx="6">
                <c:v>532</c:v>
              </c:pt>
              <c:pt idx="7">
                <c:v>764</c:v>
              </c:pt>
              <c:pt idx="8">
                <c:v>1201</c:v>
              </c:pt>
              <c:pt idx="9">
                <c:v>1718</c:v>
              </c:pt>
              <c:pt idx="10">
                <c:v>2210</c:v>
              </c:pt>
              <c:pt idx="11">
                <c:v>3169</c:v>
              </c:pt>
              <c:pt idx="12">
                <c:v>4090</c:v>
              </c:pt>
              <c:pt idx="13">
                <c:v>5848</c:v>
              </c:pt>
              <c:pt idx="14">
                <c:v>9134</c:v>
              </c:pt>
              <c:pt idx="15">
                <c:v>13120</c:v>
              </c:pt>
              <c:pt idx="16">
                <c:v>16954</c:v>
              </c:pt>
              <c:pt idx="17">
                <c:v>24308</c:v>
              </c:pt>
              <c:pt idx="18">
                <c:v>31355</c:v>
              </c:pt>
              <c:pt idx="19">
                <c:v>38167</c:v>
              </c:pt>
              <c:pt idx="20">
                <c:v>63080</c:v>
              </c:pt>
              <c:pt idx="21">
                <c:v>99600</c:v>
              </c:pt>
              <c:pt idx="22">
                <c:v>129480</c:v>
              </c:pt>
              <c:pt idx="23">
                <c:v>146080</c:v>
              </c:pt>
            </c:numLit>
          </c:yVal>
          <c:smooth val="0"/>
          <c:extLst>
            <c:ext xmlns:c16="http://schemas.microsoft.com/office/drawing/2014/chart" uri="{C3380CC4-5D6E-409C-BE32-E72D297353CC}">
              <c16:uniqueId val="{00000005-B575-4B2F-86F4-32A3B385F188}"/>
            </c:ext>
          </c:extLst>
        </c:ser>
        <c:dLbls>
          <c:showLegendKey val="0"/>
          <c:showVal val="0"/>
          <c:showCatName val="0"/>
          <c:showSerName val="0"/>
          <c:showPercent val="0"/>
          <c:showBubbleSize val="0"/>
        </c:dLbls>
        <c:axId val="616101352"/>
        <c:axId val="616098728"/>
        <c:extLst>
          <c:ext xmlns:c15="http://schemas.microsoft.com/office/drawing/2012/chart" uri="{02D57815-91ED-43cb-92C2-25804820EDAC}">
            <c15:filteredScatterSeries>
              <c15:ser>
                <c:idx val="1"/>
                <c:order val="1"/>
                <c:spPr>
                  <a:ln w="19050" cap="rnd">
                    <a:solidFill>
                      <a:schemeClr val="accent5">
                        <a:tint val="56000"/>
                      </a:schemeClr>
                    </a:solidFill>
                    <a:round/>
                  </a:ln>
                  <a:effectLst/>
                </c:spPr>
                <c:marker>
                  <c:symbol val="circle"/>
                  <c:size val="5"/>
                  <c:spPr>
                    <a:solidFill>
                      <a:schemeClr val="accent5">
                        <a:tint val="56000"/>
                      </a:schemeClr>
                    </a:solidFill>
                    <a:ln w="9525">
                      <a:solidFill>
                        <a:schemeClr val="accent5">
                          <a:tint val="56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46</c:v>
                    </c:pt>
                    <c:pt idx="1">
                      <c:v>62</c:v>
                    </c:pt>
                    <c:pt idx="2">
                      <c:v>85</c:v>
                    </c:pt>
                    <c:pt idx="3">
                      <c:v>122</c:v>
                    </c:pt>
                    <c:pt idx="4">
                      <c:v>158</c:v>
                    </c:pt>
                    <c:pt idx="5">
                      <c:v>227</c:v>
                    </c:pt>
                    <c:pt idx="6">
                      <c:v>294</c:v>
                    </c:pt>
                    <c:pt idx="7">
                      <c:v>421</c:v>
                    </c:pt>
                    <c:pt idx="8">
                      <c:v>663</c:v>
                    </c:pt>
                    <c:pt idx="9">
                      <c:v>947</c:v>
                    </c:pt>
                    <c:pt idx="10">
                      <c:v>1218</c:v>
                    </c:pt>
                    <c:pt idx="11">
                      <c:v>1748</c:v>
                    </c:pt>
                    <c:pt idx="12">
                      <c:v>2255</c:v>
                    </c:pt>
                    <c:pt idx="13">
                      <c:v>3225</c:v>
                    </c:pt>
                    <c:pt idx="14">
                      <c:v>5037</c:v>
                    </c:pt>
                    <c:pt idx="15">
                      <c:v>7235</c:v>
                    </c:pt>
                    <c:pt idx="16">
                      <c:v>9350</c:v>
                    </c:pt>
                    <c:pt idx="17">
                      <c:v>13405</c:v>
                    </c:pt>
                    <c:pt idx="18">
                      <c:v>17291</c:v>
                    </c:pt>
                    <c:pt idx="19">
                      <c:v>21048</c:v>
                    </c:pt>
                    <c:pt idx="20">
                      <c:v>34960</c:v>
                    </c:pt>
                    <c:pt idx="21">
                      <c:v>55200</c:v>
                    </c:pt>
                    <c:pt idx="22">
                      <c:v>71760</c:v>
                    </c:pt>
                    <c:pt idx="23">
                      <c:v>80960</c:v>
                    </c:pt>
                  </c:numLit>
                </c:yVal>
                <c:smooth val="0"/>
                <c:extLst>
                  <c:ext xmlns:c16="http://schemas.microsoft.com/office/drawing/2014/chart" uri="{C3380CC4-5D6E-409C-BE32-E72D297353CC}">
                    <c16:uniqueId val="{00000006-B575-4B2F-86F4-32A3B385F188}"/>
                  </c:ext>
                </c:extLst>
              </c15:ser>
            </c15:filteredScatterSeries>
            <c15:filteredScatterSeries>
              <c15:ser>
                <c:idx val="3"/>
                <c:order val="3"/>
                <c:spPr>
                  <a:ln w="19050" cap="rnd">
                    <a:solidFill>
                      <a:schemeClr val="accent5">
                        <a:tint val="81000"/>
                      </a:schemeClr>
                    </a:solidFill>
                    <a:round/>
                  </a:ln>
                  <a:effectLst/>
                </c:spPr>
                <c:marker>
                  <c:symbol val="circle"/>
                  <c:size val="5"/>
                  <c:spPr>
                    <a:solidFill>
                      <a:schemeClr val="accent5">
                        <a:tint val="81000"/>
                      </a:schemeClr>
                    </a:solidFill>
                    <a:ln w="9525">
                      <a:solidFill>
                        <a:schemeClr val="accent5">
                          <a:tint val="81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54</c:v>
                    </c:pt>
                    <c:pt idx="1">
                      <c:v>73</c:v>
                    </c:pt>
                    <c:pt idx="2">
                      <c:v>101</c:v>
                    </c:pt>
                    <c:pt idx="3">
                      <c:v>145</c:v>
                    </c:pt>
                    <c:pt idx="4">
                      <c:v>188</c:v>
                    </c:pt>
                    <c:pt idx="5">
                      <c:v>269</c:v>
                    </c:pt>
                    <c:pt idx="6">
                      <c:v>348</c:v>
                    </c:pt>
                    <c:pt idx="7">
                      <c:v>500</c:v>
                    </c:pt>
                    <c:pt idx="8">
                      <c:v>786</c:v>
                    </c:pt>
                    <c:pt idx="9">
                      <c:v>1124</c:v>
                    </c:pt>
                    <c:pt idx="10">
                      <c:v>1446</c:v>
                    </c:pt>
                    <c:pt idx="11">
                      <c:v>2074</c:v>
                    </c:pt>
                    <c:pt idx="12">
                      <c:v>2676</c:v>
                    </c:pt>
                    <c:pt idx="13">
                      <c:v>3827</c:v>
                    </c:pt>
                    <c:pt idx="14">
                      <c:v>5978</c:v>
                    </c:pt>
                    <c:pt idx="15">
                      <c:v>8586</c:v>
                    </c:pt>
                    <c:pt idx="16">
                      <c:v>11095</c:v>
                    </c:pt>
                    <c:pt idx="17">
                      <c:v>15908</c:v>
                    </c:pt>
                    <c:pt idx="18">
                      <c:v>20519</c:v>
                    </c:pt>
                    <c:pt idx="19">
                      <c:v>24977</c:v>
                    </c:pt>
                    <c:pt idx="20">
                      <c:v>41040</c:v>
                    </c:pt>
                    <c:pt idx="21">
                      <c:v>64800</c:v>
                    </c:pt>
                    <c:pt idx="22">
                      <c:v>84240</c:v>
                    </c:pt>
                    <c:pt idx="23">
                      <c:v>95040</c:v>
                    </c:pt>
                  </c:numLit>
                </c:yVal>
                <c:smooth val="0"/>
                <c:extLst xmlns:c15="http://schemas.microsoft.com/office/drawing/2012/chart">
                  <c:ext xmlns:c16="http://schemas.microsoft.com/office/drawing/2014/chart" uri="{C3380CC4-5D6E-409C-BE32-E72D297353CC}">
                    <c16:uniqueId val="{00000007-B575-4B2F-86F4-32A3B385F188}"/>
                  </c:ext>
                </c:extLst>
              </c15:ser>
            </c15:filteredScatterSeries>
            <c15:filteredScatterSeries>
              <c15:ser>
                <c:idx val="5"/>
                <c:order val="5"/>
                <c:spPr>
                  <a:ln w="19050" cap="rnd">
                    <a:solidFill>
                      <a:schemeClr val="accent5">
                        <a:shade val="93000"/>
                      </a:schemeClr>
                    </a:solidFill>
                    <a:round/>
                  </a:ln>
                  <a:effectLst/>
                </c:spPr>
                <c:marker>
                  <c:symbol val="circle"/>
                  <c:size val="5"/>
                  <c:spPr>
                    <a:solidFill>
                      <a:schemeClr val="accent5">
                        <a:shade val="93000"/>
                      </a:schemeClr>
                    </a:solidFill>
                    <a:ln w="9525">
                      <a:solidFill>
                        <a:schemeClr val="accent5">
                          <a:shade val="93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68</c:v>
                    </c:pt>
                    <c:pt idx="1">
                      <c:v>91</c:v>
                    </c:pt>
                    <c:pt idx="2">
                      <c:v>126</c:v>
                    </c:pt>
                    <c:pt idx="3">
                      <c:v>181</c:v>
                    </c:pt>
                    <c:pt idx="4">
                      <c:v>234</c:v>
                    </c:pt>
                    <c:pt idx="5">
                      <c:v>336</c:v>
                    </c:pt>
                    <c:pt idx="6">
                      <c:v>434</c:v>
                    </c:pt>
                    <c:pt idx="7">
                      <c:v>623</c:v>
                    </c:pt>
                    <c:pt idx="8">
                      <c:v>981</c:v>
                    </c:pt>
                    <c:pt idx="9">
                      <c:v>1402</c:v>
                    </c:pt>
                    <c:pt idx="10">
                      <c:v>1803</c:v>
                    </c:pt>
                    <c:pt idx="11">
                      <c:v>2587</c:v>
                    </c:pt>
                    <c:pt idx="12">
                      <c:v>3338</c:v>
                    </c:pt>
                    <c:pt idx="13">
                      <c:v>4773</c:v>
                    </c:pt>
                    <c:pt idx="14">
                      <c:v>7455</c:v>
                    </c:pt>
                    <c:pt idx="15">
                      <c:v>10708</c:v>
                    </c:pt>
                    <c:pt idx="16">
                      <c:v>13838</c:v>
                    </c:pt>
                    <c:pt idx="17">
                      <c:v>19840</c:v>
                    </c:pt>
                    <c:pt idx="18">
                      <c:v>25591</c:v>
                    </c:pt>
                    <c:pt idx="19">
                      <c:v>31151</c:v>
                    </c:pt>
                    <c:pt idx="20">
                      <c:v>51680</c:v>
                    </c:pt>
                    <c:pt idx="21">
                      <c:v>81600</c:v>
                    </c:pt>
                    <c:pt idx="22">
                      <c:v>106080</c:v>
                    </c:pt>
                    <c:pt idx="23">
                      <c:v>119680</c:v>
                    </c:pt>
                  </c:numLit>
                </c:yVal>
                <c:smooth val="0"/>
                <c:extLst xmlns:c15="http://schemas.microsoft.com/office/drawing/2012/chart">
                  <c:ext xmlns:c16="http://schemas.microsoft.com/office/drawing/2014/chart" uri="{C3380CC4-5D6E-409C-BE32-E72D297353CC}">
                    <c16:uniqueId val="{00000008-B575-4B2F-86F4-32A3B385F188}"/>
                  </c:ext>
                </c:extLst>
              </c15:ser>
            </c15:filteredScatterSeries>
            <c15:filteredScatterSeries>
              <c15:ser>
                <c:idx val="7"/>
                <c:order val="7"/>
                <c:spPr>
                  <a:ln w="19050" cap="rnd">
                    <a:solidFill>
                      <a:schemeClr val="accent5">
                        <a:shade val="68000"/>
                      </a:schemeClr>
                    </a:solidFill>
                    <a:round/>
                  </a:ln>
                  <a:effectLst/>
                </c:spPr>
                <c:marker>
                  <c:symbol val="circle"/>
                  <c:size val="5"/>
                  <c:spPr>
                    <a:solidFill>
                      <a:schemeClr val="accent5">
                        <a:shade val="68000"/>
                      </a:schemeClr>
                    </a:solidFill>
                    <a:ln w="9525">
                      <a:solidFill>
                        <a:schemeClr val="accent5">
                          <a:shade val="68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76</c:v>
                    </c:pt>
                    <c:pt idx="1">
                      <c:v>103</c:v>
                    </c:pt>
                    <c:pt idx="2">
                      <c:v>142</c:v>
                    </c:pt>
                    <c:pt idx="3">
                      <c:v>204</c:v>
                    </c:pt>
                    <c:pt idx="4">
                      <c:v>263</c:v>
                    </c:pt>
                    <c:pt idx="5">
                      <c:v>378</c:v>
                    </c:pt>
                    <c:pt idx="6">
                      <c:v>489</c:v>
                    </c:pt>
                    <c:pt idx="7">
                      <c:v>702</c:v>
                    </c:pt>
                    <c:pt idx="8">
                      <c:v>1104</c:v>
                    </c:pt>
                    <c:pt idx="9">
                      <c:v>1579</c:v>
                    </c:pt>
                    <c:pt idx="10">
                      <c:v>2031</c:v>
                    </c:pt>
                    <c:pt idx="11">
                      <c:v>2913</c:v>
                    </c:pt>
                    <c:pt idx="12">
                      <c:v>3759</c:v>
                    </c:pt>
                    <c:pt idx="13">
                      <c:v>5375</c:v>
                    </c:pt>
                    <c:pt idx="14">
                      <c:v>8396</c:v>
                    </c:pt>
                    <c:pt idx="15">
                      <c:v>12059</c:v>
                    </c:pt>
                    <c:pt idx="16">
                      <c:v>15583</c:v>
                    </c:pt>
                    <c:pt idx="17">
                      <c:v>22342</c:v>
                    </c:pt>
                    <c:pt idx="18">
                      <c:v>28819</c:v>
                    </c:pt>
                    <c:pt idx="19">
                      <c:v>35080</c:v>
                    </c:pt>
                    <c:pt idx="20">
                      <c:v>57760</c:v>
                    </c:pt>
                    <c:pt idx="21">
                      <c:v>91200</c:v>
                    </c:pt>
                    <c:pt idx="22">
                      <c:v>118560</c:v>
                    </c:pt>
                    <c:pt idx="23">
                      <c:v>133760</c:v>
                    </c:pt>
                  </c:numLit>
                </c:yVal>
                <c:smooth val="0"/>
                <c:extLst xmlns:c15="http://schemas.microsoft.com/office/drawing/2012/chart">
                  <c:ext xmlns:c16="http://schemas.microsoft.com/office/drawing/2014/chart" uri="{C3380CC4-5D6E-409C-BE32-E72D297353CC}">
                    <c16:uniqueId val="{00000009-B575-4B2F-86F4-32A3B385F188}"/>
                  </c:ext>
                </c:extLst>
              </c15:ser>
            </c15:filteredScatterSeries>
          </c:ext>
        </c:extLst>
      </c:scatterChart>
      <c:valAx>
        <c:axId val="61610135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Inter Light" panose="020B0502030000000004" pitchFamily="34" charset="0"/>
                <a:ea typeface="Inter Light" panose="020B0502030000000004" pitchFamily="34" charset="0"/>
                <a:cs typeface="+mn-cs"/>
              </a:defRPr>
            </a:pPr>
            <a:endParaRPr lang="sl-SI"/>
          </a:p>
        </c:txPr>
        <c:crossAx val="616098728"/>
        <c:crosses val="autoZero"/>
        <c:crossBetween val="midCat"/>
        <c:dispUnits>
          <c:builtInUnit val="million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dispUnitsLbl>
        </c:dispUnits>
      </c:valAx>
      <c:valAx>
        <c:axId val="616098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Inter Light" panose="020B0502030000000004" pitchFamily="34" charset="0"/>
                <a:ea typeface="Inter Light" panose="020B0502030000000004" pitchFamily="34" charset="0"/>
                <a:cs typeface="+mn-cs"/>
              </a:defRPr>
            </a:pPr>
            <a:endParaRPr lang="sl-SI"/>
          </a:p>
        </c:txPr>
        <c:crossAx val="616101352"/>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Inter Light" panose="020B0502030000000004" pitchFamily="34" charset="0"/>
              <a:ea typeface="Inter Light" panose="020B0502030000000004" pitchFamily="34" charset="0"/>
              <a:cs typeface="+mn-cs"/>
            </a:defRPr>
          </a:pPr>
          <a:endParaRPr lang="sl-S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5">
  <a:schemeClr val="accent5"/>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F$398" lockText="1" noThreeD="1"/>
</file>

<file path=xl/ctrlProps/ctrlProp10.xml><?xml version="1.0" encoding="utf-8"?>
<formControlPr xmlns="http://schemas.microsoft.com/office/spreadsheetml/2009/9/main" objectType="CheckBox" checked="Checked" fmlaLink="$E$384" lockText="1" noThreeD="1"/>
</file>

<file path=xl/ctrlProps/ctrlProp11.xml><?xml version="1.0" encoding="utf-8"?>
<formControlPr xmlns="http://schemas.microsoft.com/office/spreadsheetml/2009/9/main" objectType="CheckBox" checked="Checked" fmlaLink="$E$385" lockText="1" noThreeD="1"/>
</file>

<file path=xl/ctrlProps/ctrlProp12.xml><?xml version="1.0" encoding="utf-8"?>
<formControlPr xmlns="http://schemas.microsoft.com/office/spreadsheetml/2009/9/main" objectType="CheckBox" checked="Checked" fmlaLink="$E$386" lockText="1" noThreeD="1"/>
</file>

<file path=xl/ctrlProps/ctrlProp13.xml><?xml version="1.0" encoding="utf-8"?>
<formControlPr xmlns="http://schemas.microsoft.com/office/spreadsheetml/2009/9/main" objectType="CheckBox" checked="Checked" fmlaLink="$E$387" lockText="1" noThreeD="1"/>
</file>

<file path=xl/ctrlProps/ctrlProp14.xml><?xml version="1.0" encoding="utf-8"?>
<formControlPr xmlns="http://schemas.microsoft.com/office/spreadsheetml/2009/9/main" objectType="CheckBox" checked="Checked" fmlaLink="$E$388" lockText="1" noThreeD="1"/>
</file>

<file path=xl/ctrlProps/ctrlProp15.xml><?xml version="1.0" encoding="utf-8"?>
<formControlPr xmlns="http://schemas.microsoft.com/office/spreadsheetml/2009/9/main" objectType="CheckBox" checked="Checked" fmlaLink="$E$389" lockText="1" noThreeD="1"/>
</file>

<file path=xl/ctrlProps/ctrlProp16.xml><?xml version="1.0" encoding="utf-8"?>
<formControlPr xmlns="http://schemas.microsoft.com/office/spreadsheetml/2009/9/main" objectType="Radio" checked="Checked" firstButton="1" fmlaLink="$F$11"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F$399" lockText="1" noThreeD="1"/>
</file>

<file path=xl/ctrlProps/ctrlProp2.xml><?xml version="1.0" encoding="utf-8"?>
<formControlPr xmlns="http://schemas.microsoft.com/office/spreadsheetml/2009/9/main" objectType="CheckBox" checked="Checked" fmlaLink="$F$405" lockText="1" noThreeD="1"/>
</file>

<file path=xl/ctrlProps/ctrlProp20.xml><?xml version="1.0" encoding="utf-8"?>
<formControlPr xmlns="http://schemas.microsoft.com/office/spreadsheetml/2009/9/main" objectType="CheckBox" fmlaLink="$F$401" lockText="1" noThreeD="1"/>
</file>

<file path=xl/ctrlProps/ctrlProp21.xml><?xml version="1.0" encoding="utf-8"?>
<formControlPr xmlns="http://schemas.microsoft.com/office/spreadsheetml/2009/9/main" objectType="CheckBox" checked="Checked" fmlaLink="$A$378" lockText="1" noThreeD="1"/>
</file>

<file path=xl/ctrlProps/ctrlProp22.xml><?xml version="1.0" encoding="utf-8"?>
<formControlPr xmlns="http://schemas.microsoft.com/office/spreadsheetml/2009/9/main" objectType="CheckBox" checked="Checked" fmlaLink="$A$379" lockText="1" noThreeD="1"/>
</file>

<file path=xl/ctrlProps/ctrlProp23.xml><?xml version="1.0" encoding="utf-8"?>
<formControlPr xmlns="http://schemas.microsoft.com/office/spreadsheetml/2009/9/main" objectType="CheckBox" checked="Checked" fmlaLink="$A$380" lockText="1" noThreeD="1"/>
</file>

<file path=xl/ctrlProps/ctrlProp24.xml><?xml version="1.0" encoding="utf-8"?>
<formControlPr xmlns="http://schemas.microsoft.com/office/spreadsheetml/2009/9/main" objectType="CheckBox" checked="Checked" fmlaLink="$A$382" lockText="1" noThreeD="1"/>
</file>

<file path=xl/ctrlProps/ctrlProp25.xml><?xml version="1.0" encoding="utf-8"?>
<formControlPr xmlns="http://schemas.microsoft.com/office/spreadsheetml/2009/9/main" objectType="CheckBox" checked="Checked" fmlaLink="$A$383" lockText="1" noThreeD="1"/>
</file>

<file path=xl/ctrlProps/ctrlProp26.xml><?xml version="1.0" encoding="utf-8"?>
<formControlPr xmlns="http://schemas.microsoft.com/office/spreadsheetml/2009/9/main" objectType="CheckBox" checked="Checked" fmlaLink="$A$384" lockText="1" noThreeD="1"/>
</file>

<file path=xl/ctrlProps/ctrlProp27.xml><?xml version="1.0" encoding="utf-8"?>
<formControlPr xmlns="http://schemas.microsoft.com/office/spreadsheetml/2009/9/main" objectType="CheckBox" checked="Checked" fmlaLink="$A$385" lockText="1" noThreeD="1"/>
</file>

<file path=xl/ctrlProps/ctrlProp28.xml><?xml version="1.0" encoding="utf-8"?>
<formControlPr xmlns="http://schemas.microsoft.com/office/spreadsheetml/2009/9/main" objectType="CheckBox" checked="Checked" fmlaLink="$A$386" lockText="1" noThreeD="1"/>
</file>

<file path=xl/ctrlProps/ctrlProp29.xml><?xml version="1.0" encoding="utf-8"?>
<formControlPr xmlns="http://schemas.microsoft.com/office/spreadsheetml/2009/9/main" objectType="CheckBox" checked="Checked" fmlaLink="$A$387" lockText="1" noThreeD="1"/>
</file>

<file path=xl/ctrlProps/ctrlProp3.xml><?xml version="1.0" encoding="utf-8"?>
<formControlPr xmlns="http://schemas.microsoft.com/office/spreadsheetml/2009/9/main" objectType="CheckBox" checked="Checked" fmlaLink="$F$404" lockText="1" noThreeD="1"/>
</file>

<file path=xl/ctrlProps/ctrlProp30.xml><?xml version="1.0" encoding="utf-8"?>
<formControlPr xmlns="http://schemas.microsoft.com/office/spreadsheetml/2009/9/main" objectType="CheckBox" checked="Checked" fmlaLink="$A$388" lockText="1" noThreeD="1"/>
</file>

<file path=xl/ctrlProps/ctrlProp31.xml><?xml version="1.0" encoding="utf-8"?>
<formControlPr xmlns="http://schemas.microsoft.com/office/spreadsheetml/2009/9/main" objectType="CheckBox" checked="Checked" fmlaLink="$A$389" lockText="1" noThreeD="1"/>
</file>

<file path=xl/ctrlProps/ctrlProp32.xml><?xml version="1.0" encoding="utf-8"?>
<formControlPr xmlns="http://schemas.microsoft.com/office/spreadsheetml/2009/9/main" objectType="CheckBox" checked="Checked" fmlaLink="$A$376" lockText="1" noThreeD="1"/>
</file>

<file path=xl/ctrlProps/ctrlProp33.xml><?xml version="1.0" encoding="utf-8"?>
<formControlPr xmlns="http://schemas.microsoft.com/office/spreadsheetml/2009/9/main" objectType="CheckBox" fmlaLink="$F$397" lockText="1" noThreeD="1"/>
</file>

<file path=xl/ctrlProps/ctrlProp34.xml><?xml version="1.0" encoding="utf-8"?>
<formControlPr xmlns="http://schemas.microsoft.com/office/spreadsheetml/2009/9/main" objectType="CheckBox" fmlaLink="$F$400" lockText="1" noThreeD="1"/>
</file>

<file path=xl/ctrlProps/ctrlProp35.xml><?xml version="1.0" encoding="utf-8"?>
<formControlPr xmlns="http://schemas.microsoft.com/office/spreadsheetml/2009/9/main" objectType="Radio" checked="Checked" firstButton="1" fmlaLink="$F$171"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checked="Checked" firstButton="1" fmlaLink="$F$231"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checked="Checked" fmlaLink="$F$403" lockText="1"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CheckBox" fmlaLink="$G$21" lockText="1" noThreeD="1"/>
</file>

<file path=xl/ctrlProps/ctrlProp42.xml><?xml version="1.0" encoding="utf-8"?>
<formControlPr xmlns="http://schemas.microsoft.com/office/spreadsheetml/2009/9/main" objectType="CheckBox" fmlaLink="$G$49" lockText="1" noThreeD="1"/>
</file>

<file path=xl/ctrlProps/ctrlProp43.xml><?xml version="1.0" encoding="utf-8"?>
<formControlPr xmlns="http://schemas.microsoft.com/office/spreadsheetml/2009/9/main" objectType="CheckBox" checked="Checked" fmlaLink="$G$80" lockText="1" noThreeD="1"/>
</file>

<file path=xl/ctrlProps/ctrlProp44.xml><?xml version="1.0" encoding="utf-8"?>
<formControlPr xmlns="http://schemas.microsoft.com/office/spreadsheetml/2009/9/main" objectType="CheckBox" checked="Checked" fmlaLink="$G$81" lockText="1" noThreeD="1"/>
</file>

<file path=xl/ctrlProps/ctrlProp45.xml><?xml version="1.0" encoding="utf-8"?>
<formControlPr xmlns="http://schemas.microsoft.com/office/spreadsheetml/2009/9/main" objectType="CheckBox" fmlaLink="$G$138" lockText="1" noThreeD="1"/>
</file>

<file path=xl/ctrlProps/ctrlProp46.xml><?xml version="1.0" encoding="utf-8"?>
<formControlPr xmlns="http://schemas.microsoft.com/office/spreadsheetml/2009/9/main" objectType="CheckBox" fmlaLink="$G$157" lockText="1" noThreeD="1"/>
</file>

<file path=xl/ctrlProps/ctrlProp47.xml><?xml version="1.0" encoding="utf-8"?>
<formControlPr xmlns="http://schemas.microsoft.com/office/spreadsheetml/2009/9/main" objectType="CheckBox" checked="Checked" fmlaLink="$G$173" lockText="1" noThreeD="1"/>
</file>

<file path=xl/ctrlProps/ctrlProp48.xml><?xml version="1.0" encoding="utf-8"?>
<formControlPr xmlns="http://schemas.microsoft.com/office/spreadsheetml/2009/9/main" objectType="CheckBox" checked="Checked" fmlaLink="$G$97" lockText="1" noThreeD="1"/>
</file>

<file path=xl/ctrlProps/ctrlProp49.xml><?xml version="1.0" encoding="utf-8"?>
<formControlPr xmlns="http://schemas.microsoft.com/office/spreadsheetml/2009/9/main" objectType="CheckBox" fmlaLink="$G$35" lockText="1" noThreeD="1"/>
</file>

<file path=xl/ctrlProps/ctrlProp5.xml><?xml version="1.0" encoding="utf-8"?>
<formControlPr xmlns="http://schemas.microsoft.com/office/spreadsheetml/2009/9/main" objectType="CheckBox" checked="Checked" fmlaLink="$E$378" lockText="1" noThreeD="1"/>
</file>

<file path=xl/ctrlProps/ctrlProp50.xml><?xml version="1.0" encoding="utf-8"?>
<formControlPr xmlns="http://schemas.microsoft.com/office/spreadsheetml/2009/9/main" objectType="CheckBox" checked="Checked" fmlaLink="$G$51" lockText="1" noThreeD="1"/>
</file>

<file path=xl/ctrlProps/ctrlProp51.xml><?xml version="1.0" encoding="utf-8"?>
<formControlPr xmlns="http://schemas.microsoft.com/office/spreadsheetml/2009/9/main" objectType="CheckBox" checked="Checked" fmlaLink="$G$65" lockText="1" noThreeD="1"/>
</file>

<file path=xl/ctrlProps/ctrlProp52.xml><?xml version="1.0" encoding="utf-8"?>
<formControlPr xmlns="http://schemas.microsoft.com/office/spreadsheetml/2009/9/main" objectType="CheckBox" fmlaLink="$G$117" lockText="1" noThreeD="1"/>
</file>

<file path=xl/ctrlProps/ctrlProp53.xml><?xml version="1.0" encoding="utf-8"?>
<formControlPr xmlns="http://schemas.microsoft.com/office/spreadsheetml/2009/9/main" objectType="CheckBox" fmlaLink="$G$127" lockText="1" noThreeD="1"/>
</file>

<file path=xl/ctrlProps/ctrlProp54.xml><?xml version="1.0" encoding="utf-8"?>
<formControlPr xmlns="http://schemas.microsoft.com/office/spreadsheetml/2009/9/main" objectType="CheckBox" checked="Checked" fmlaLink="$G$139" lockText="1" noThreeD="1"/>
</file>

<file path=xl/ctrlProps/ctrlProp55.xml><?xml version="1.0" encoding="utf-8"?>
<formControlPr xmlns="http://schemas.microsoft.com/office/spreadsheetml/2009/9/main" objectType="CheckBox" checked="Checked" fmlaLink="$G$191" lockText="1" noThreeD="1"/>
</file>

<file path=xl/ctrlProps/ctrlProp56.xml><?xml version="1.0" encoding="utf-8"?>
<formControlPr xmlns="http://schemas.microsoft.com/office/spreadsheetml/2009/9/main" objectType="CheckBox" fmlaLink="$G$204" lockText="1" noThreeD="1"/>
</file>

<file path=xl/ctrlProps/ctrlProp57.xml><?xml version="1.0" encoding="utf-8"?>
<formControlPr xmlns="http://schemas.microsoft.com/office/spreadsheetml/2009/9/main" objectType="CheckBox" fmlaLink="$G$213" lockText="1" noThreeD="1"/>
</file>

<file path=xl/ctrlProps/ctrlProp58.xml><?xml version="1.0" encoding="utf-8"?>
<formControlPr xmlns="http://schemas.microsoft.com/office/spreadsheetml/2009/9/main" objectType="CheckBox" checked="Checked" fmlaLink="$G$81" lockText="1" noThreeD="1"/>
</file>

<file path=xl/ctrlProps/ctrlProp59.xml><?xml version="1.0" encoding="utf-8"?>
<formControlPr xmlns="http://schemas.microsoft.com/office/spreadsheetml/2009/9/main" objectType="CheckBox" checked="Checked" fmlaLink="$G$81" lockText="1" noThreeD="1"/>
</file>

<file path=xl/ctrlProps/ctrlProp6.xml><?xml version="1.0" encoding="utf-8"?>
<formControlPr xmlns="http://schemas.microsoft.com/office/spreadsheetml/2009/9/main" objectType="CheckBox" checked="Checked" fmlaLink="$E$379" lockText="1" noThreeD="1"/>
</file>

<file path=xl/ctrlProps/ctrlProp60.xml><?xml version="1.0" encoding="utf-8"?>
<formControlPr xmlns="http://schemas.microsoft.com/office/spreadsheetml/2009/9/main" objectType="CheckBox" checked="Checked" fmlaLink="$G$83" lockText="1" noThreeD="1"/>
</file>

<file path=xl/ctrlProps/ctrlProp61.xml><?xml version="1.0" encoding="utf-8"?>
<formControlPr xmlns="http://schemas.microsoft.com/office/spreadsheetml/2009/9/main" objectType="CheckBox" checked="Checked" fmlaLink="$G$81" lockText="1" noThreeD="1"/>
</file>

<file path=xl/ctrlProps/ctrlProp62.xml><?xml version="1.0" encoding="utf-8"?>
<formControlPr xmlns="http://schemas.microsoft.com/office/spreadsheetml/2009/9/main" objectType="CheckBox" checked="Checked" fmlaLink="$G$82" lockText="1" noThreeD="1"/>
</file>

<file path=xl/ctrlProps/ctrlProp63.xml><?xml version="1.0" encoding="utf-8"?>
<formControlPr xmlns="http://schemas.microsoft.com/office/spreadsheetml/2009/9/main" objectType="CheckBox" checked="Checked" fmlaLink="$G$81" lockText="1" noThreeD="1"/>
</file>

<file path=xl/ctrlProps/ctrlProp64.xml><?xml version="1.0" encoding="utf-8"?>
<formControlPr xmlns="http://schemas.microsoft.com/office/spreadsheetml/2009/9/main" objectType="CheckBox" checked="Checked" fmlaLink="$G$115" lockText="1" noThreeD="1"/>
</file>

<file path=xl/ctrlProps/ctrlProp65.xml><?xml version="1.0" encoding="utf-8"?>
<formControlPr xmlns="http://schemas.microsoft.com/office/spreadsheetml/2009/9/main" objectType="CheckBox" checked="Checked" fmlaLink="$G$81" lockText="1" noThreeD="1"/>
</file>

<file path=xl/ctrlProps/ctrlProp66.xml><?xml version="1.0" encoding="utf-8"?>
<formControlPr xmlns="http://schemas.microsoft.com/office/spreadsheetml/2009/9/main" objectType="CheckBox" checked="Checked" fmlaLink="$G$107" lockText="1" noThreeD="1"/>
</file>

<file path=xl/ctrlProps/ctrlProp67.xml><?xml version="1.0" encoding="utf-8"?>
<formControlPr xmlns="http://schemas.microsoft.com/office/spreadsheetml/2009/9/main" objectType="CheckBox" checked="Checked" fmlaLink="$G$81" lockText="1" noThreeD="1"/>
</file>

<file path=xl/ctrlProps/ctrlProp68.xml><?xml version="1.0" encoding="utf-8"?>
<formControlPr xmlns="http://schemas.microsoft.com/office/spreadsheetml/2009/9/main" objectType="CheckBox" fmlaLink="$G$126" lockText="1" noThreeD="1"/>
</file>

<file path=xl/ctrlProps/ctrlProp69.xml><?xml version="1.0" encoding="utf-8"?>
<formControlPr xmlns="http://schemas.microsoft.com/office/spreadsheetml/2009/9/main" objectType="CheckBox" checked="Checked" fmlaLink="$G$81" lockText="1" noThreeD="1"/>
</file>

<file path=xl/ctrlProps/ctrlProp7.xml><?xml version="1.0" encoding="utf-8"?>
<formControlPr xmlns="http://schemas.microsoft.com/office/spreadsheetml/2009/9/main" objectType="CheckBox" checked="Checked" fmlaLink="$E$380" lockText="1" noThreeD="1"/>
</file>

<file path=xl/ctrlProps/ctrlProp70.xml><?xml version="1.0" encoding="utf-8"?>
<formControlPr xmlns="http://schemas.microsoft.com/office/spreadsheetml/2009/9/main" objectType="CheckBox" fmlaLink="$G$136" lockText="1" noThreeD="1"/>
</file>

<file path=xl/ctrlProps/ctrlProp71.xml><?xml version="1.0" encoding="utf-8"?>
<formControlPr xmlns="http://schemas.microsoft.com/office/spreadsheetml/2009/9/main" objectType="CheckBox" checked="Checked" fmlaLink="$G$81" lockText="1" noThreeD="1"/>
</file>

<file path=xl/ctrlProps/ctrlProp72.xml><?xml version="1.0" encoding="utf-8"?>
<formControlPr xmlns="http://schemas.microsoft.com/office/spreadsheetml/2009/9/main" objectType="CheckBox" fmlaLink="$G$148" lockText="1" noThreeD="1"/>
</file>

<file path=xl/ctrlProps/ctrlProp73.xml><?xml version="1.0" encoding="utf-8"?>
<formControlPr xmlns="http://schemas.microsoft.com/office/spreadsheetml/2009/9/main" objectType="CheckBox" checked="Checked" fmlaLink="$G$81" lockText="1" noThreeD="1"/>
</file>

<file path=xl/ctrlProps/ctrlProp74.xml><?xml version="1.0" encoding="utf-8"?>
<formControlPr xmlns="http://schemas.microsoft.com/office/spreadsheetml/2009/9/main" objectType="CheckBox" fmlaLink="$G$165" lockText="1" noThreeD="1"/>
</file>

<file path=xl/ctrlProps/ctrlProp75.xml><?xml version="1.0" encoding="utf-8"?>
<formControlPr xmlns="http://schemas.microsoft.com/office/spreadsheetml/2009/9/main" objectType="CheckBox" checked="Checked" fmlaLink="$G$81" lockText="1" noThreeD="1"/>
</file>

<file path=xl/ctrlProps/ctrlProp76.xml><?xml version="1.0" encoding="utf-8"?>
<formControlPr xmlns="http://schemas.microsoft.com/office/spreadsheetml/2009/9/main" objectType="CheckBox" fmlaLink="$G$182" lockText="1" noThreeD="1"/>
</file>

<file path=xl/ctrlProps/ctrlProp8.xml><?xml version="1.0" encoding="utf-8"?>
<formControlPr xmlns="http://schemas.microsoft.com/office/spreadsheetml/2009/9/main" objectType="CheckBox" checked="Checked" fmlaLink="$E$382" lockText="1" noThreeD="1"/>
</file>

<file path=xl/ctrlProps/ctrlProp9.xml><?xml version="1.0" encoding="utf-8"?>
<formControlPr xmlns="http://schemas.microsoft.com/office/spreadsheetml/2009/9/main" objectType="CheckBox" checked="Checked" fmlaLink="$E$383"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718095</xdr:colOff>
      <xdr:row>2</xdr:row>
      <xdr:rowOff>268515</xdr:rowOff>
    </xdr:to>
    <xdr:pic>
      <xdr:nvPicPr>
        <xdr:cNvPr id="3" name="Picture 2">
          <a:extLst>
            <a:ext uri="{FF2B5EF4-FFF2-40B4-BE49-F238E27FC236}">
              <a16:creationId xmlns:a16="http://schemas.microsoft.com/office/drawing/2014/main" id="{00000000-0008-0000-0000-000003000000}"/>
            </a:ext>
          </a:extLst>
        </xdr:cNvPr>
        <xdr:cNvPicPr>
          <a:picLocks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0"/>
          <a:ext cx="720000"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3720</xdr:colOff>
      <xdr:row>2</xdr:row>
      <xdr:rowOff>262800</xdr:rowOff>
    </xdr:to>
    <xdr:pic>
      <xdr:nvPicPr>
        <xdr:cNvPr id="2" name="Picture 1">
          <a:extLst>
            <a:ext uri="{FF2B5EF4-FFF2-40B4-BE49-F238E27FC236}">
              <a16:creationId xmlns:a16="http://schemas.microsoft.com/office/drawing/2014/main" id="{00000000-0008-0000-0100-000002000000}"/>
            </a:ext>
          </a:extLst>
        </xdr:cNvPr>
        <xdr:cNvPicPr>
          <a:picLocks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0"/>
          <a:ext cx="718095"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5</xdr:col>
          <xdr:colOff>38100</xdr:colOff>
          <xdr:row>397</xdr:row>
          <xdr:rowOff>9525</xdr:rowOff>
        </xdr:from>
        <xdr:to>
          <xdr:col>5</xdr:col>
          <xdr:colOff>304800</xdr:colOff>
          <xdr:row>397</xdr:row>
          <xdr:rowOff>180975</xdr:rowOff>
        </xdr:to>
        <xdr:sp macro="" textlink="">
          <xdr:nvSpPr>
            <xdr:cNvPr id="31755" name="Check Box 11" hidden="1">
              <a:extLst>
                <a:ext uri="{63B3BB69-23CF-44E3-9099-C40C66FF867C}">
                  <a14:compatExt spid="_x0000_s31755"/>
                </a:ext>
                <a:ext uri="{FF2B5EF4-FFF2-40B4-BE49-F238E27FC236}">
                  <a16:creationId xmlns:a16="http://schemas.microsoft.com/office/drawing/2014/main" id="{00000000-0008-0000-0100-00000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404</xdr:row>
          <xdr:rowOff>47625</xdr:rowOff>
        </xdr:from>
        <xdr:to>
          <xdr:col>5</xdr:col>
          <xdr:colOff>342900</xdr:colOff>
          <xdr:row>405</xdr:row>
          <xdr:rowOff>0</xdr:rowOff>
        </xdr:to>
        <xdr:sp macro="" textlink="">
          <xdr:nvSpPr>
            <xdr:cNvPr id="31757" name="Check Box 13" hidden="1">
              <a:extLst>
                <a:ext uri="{63B3BB69-23CF-44E3-9099-C40C66FF867C}">
                  <a14:compatExt spid="_x0000_s31757"/>
                </a:ext>
                <a:ext uri="{FF2B5EF4-FFF2-40B4-BE49-F238E27FC236}">
                  <a16:creationId xmlns:a16="http://schemas.microsoft.com/office/drawing/2014/main" id="{00000000-0008-0000-0100-00000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402</xdr:row>
          <xdr:rowOff>304800</xdr:rowOff>
        </xdr:from>
        <xdr:to>
          <xdr:col>5</xdr:col>
          <xdr:colOff>342900</xdr:colOff>
          <xdr:row>404</xdr:row>
          <xdr:rowOff>0</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1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402</xdr:row>
          <xdr:rowOff>9525</xdr:rowOff>
        </xdr:from>
        <xdr:to>
          <xdr:col>5</xdr:col>
          <xdr:colOff>342900</xdr:colOff>
          <xdr:row>403</xdr:row>
          <xdr:rowOff>0</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1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377</xdr:row>
          <xdr:rowOff>19050</xdr:rowOff>
        </xdr:from>
        <xdr:to>
          <xdr:col>4</xdr:col>
          <xdr:colOff>323850</xdr:colOff>
          <xdr:row>377</xdr:row>
          <xdr:rowOff>180975</xdr:rowOff>
        </xdr:to>
        <xdr:sp macro="" textlink="">
          <xdr:nvSpPr>
            <xdr:cNvPr id="31788" name="Check Box 44" hidden="1">
              <a:extLst>
                <a:ext uri="{63B3BB69-23CF-44E3-9099-C40C66FF867C}">
                  <a14:compatExt spid="_x0000_s31788"/>
                </a:ext>
                <a:ext uri="{FF2B5EF4-FFF2-40B4-BE49-F238E27FC236}">
                  <a16:creationId xmlns:a16="http://schemas.microsoft.com/office/drawing/2014/main" id="{00000000-0008-0000-0100-00002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378</xdr:row>
          <xdr:rowOff>19050</xdr:rowOff>
        </xdr:from>
        <xdr:to>
          <xdr:col>4</xdr:col>
          <xdr:colOff>323850</xdr:colOff>
          <xdr:row>378</xdr:row>
          <xdr:rowOff>180975</xdr:rowOff>
        </xdr:to>
        <xdr:sp macro="" textlink="">
          <xdr:nvSpPr>
            <xdr:cNvPr id="31789" name="Check Box 45" hidden="1">
              <a:extLst>
                <a:ext uri="{63B3BB69-23CF-44E3-9099-C40C66FF867C}">
                  <a14:compatExt spid="_x0000_s31789"/>
                </a:ext>
                <a:ext uri="{FF2B5EF4-FFF2-40B4-BE49-F238E27FC236}">
                  <a16:creationId xmlns:a16="http://schemas.microsoft.com/office/drawing/2014/main" id="{00000000-0008-0000-0100-00002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379</xdr:row>
          <xdr:rowOff>19050</xdr:rowOff>
        </xdr:from>
        <xdr:to>
          <xdr:col>4</xdr:col>
          <xdr:colOff>323850</xdr:colOff>
          <xdr:row>379</xdr:row>
          <xdr:rowOff>180975</xdr:rowOff>
        </xdr:to>
        <xdr:sp macro="" textlink="">
          <xdr:nvSpPr>
            <xdr:cNvPr id="31790" name="Check Box 46" hidden="1">
              <a:extLst>
                <a:ext uri="{63B3BB69-23CF-44E3-9099-C40C66FF867C}">
                  <a14:compatExt spid="_x0000_s31790"/>
                </a:ext>
                <a:ext uri="{FF2B5EF4-FFF2-40B4-BE49-F238E27FC236}">
                  <a16:creationId xmlns:a16="http://schemas.microsoft.com/office/drawing/2014/main" id="{00000000-0008-0000-0100-00002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381</xdr:row>
          <xdr:rowOff>19050</xdr:rowOff>
        </xdr:from>
        <xdr:to>
          <xdr:col>4</xdr:col>
          <xdr:colOff>323850</xdr:colOff>
          <xdr:row>381</xdr:row>
          <xdr:rowOff>180975</xdr:rowOff>
        </xdr:to>
        <xdr:sp macro="" textlink="">
          <xdr:nvSpPr>
            <xdr:cNvPr id="31791" name="Check Box 47" hidden="1">
              <a:extLst>
                <a:ext uri="{63B3BB69-23CF-44E3-9099-C40C66FF867C}">
                  <a14:compatExt spid="_x0000_s31791"/>
                </a:ext>
                <a:ext uri="{FF2B5EF4-FFF2-40B4-BE49-F238E27FC236}">
                  <a16:creationId xmlns:a16="http://schemas.microsoft.com/office/drawing/2014/main" id="{00000000-0008-0000-0100-00002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382</xdr:row>
          <xdr:rowOff>19050</xdr:rowOff>
        </xdr:from>
        <xdr:to>
          <xdr:col>4</xdr:col>
          <xdr:colOff>323850</xdr:colOff>
          <xdr:row>382</xdr:row>
          <xdr:rowOff>180975</xdr:rowOff>
        </xdr:to>
        <xdr:sp macro="" textlink="">
          <xdr:nvSpPr>
            <xdr:cNvPr id="31792" name="Check Box 48" hidden="1">
              <a:extLst>
                <a:ext uri="{63B3BB69-23CF-44E3-9099-C40C66FF867C}">
                  <a14:compatExt spid="_x0000_s31792"/>
                </a:ext>
                <a:ext uri="{FF2B5EF4-FFF2-40B4-BE49-F238E27FC236}">
                  <a16:creationId xmlns:a16="http://schemas.microsoft.com/office/drawing/2014/main" id="{00000000-0008-0000-0100-00003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383</xdr:row>
          <xdr:rowOff>19050</xdr:rowOff>
        </xdr:from>
        <xdr:to>
          <xdr:col>4</xdr:col>
          <xdr:colOff>323850</xdr:colOff>
          <xdr:row>383</xdr:row>
          <xdr:rowOff>180975</xdr:rowOff>
        </xdr:to>
        <xdr:sp macro="" textlink="">
          <xdr:nvSpPr>
            <xdr:cNvPr id="31793" name="Check Box 49" hidden="1">
              <a:extLst>
                <a:ext uri="{63B3BB69-23CF-44E3-9099-C40C66FF867C}">
                  <a14:compatExt spid="_x0000_s31793"/>
                </a:ext>
                <a:ext uri="{FF2B5EF4-FFF2-40B4-BE49-F238E27FC236}">
                  <a16:creationId xmlns:a16="http://schemas.microsoft.com/office/drawing/2014/main" id="{00000000-0008-0000-0100-00003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384</xdr:row>
          <xdr:rowOff>19050</xdr:rowOff>
        </xdr:from>
        <xdr:to>
          <xdr:col>4</xdr:col>
          <xdr:colOff>323850</xdr:colOff>
          <xdr:row>384</xdr:row>
          <xdr:rowOff>180975</xdr:rowOff>
        </xdr:to>
        <xdr:sp macro="" textlink="">
          <xdr:nvSpPr>
            <xdr:cNvPr id="31794" name="Check Box 50" hidden="1">
              <a:extLst>
                <a:ext uri="{63B3BB69-23CF-44E3-9099-C40C66FF867C}">
                  <a14:compatExt spid="_x0000_s31794"/>
                </a:ext>
                <a:ext uri="{FF2B5EF4-FFF2-40B4-BE49-F238E27FC236}">
                  <a16:creationId xmlns:a16="http://schemas.microsoft.com/office/drawing/2014/main" id="{00000000-0008-0000-0100-00003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385</xdr:row>
          <xdr:rowOff>19050</xdr:rowOff>
        </xdr:from>
        <xdr:to>
          <xdr:col>4</xdr:col>
          <xdr:colOff>323850</xdr:colOff>
          <xdr:row>385</xdr:row>
          <xdr:rowOff>180975</xdr:rowOff>
        </xdr:to>
        <xdr:sp macro="" textlink="">
          <xdr:nvSpPr>
            <xdr:cNvPr id="31795" name="Check Box 51" hidden="1">
              <a:extLst>
                <a:ext uri="{63B3BB69-23CF-44E3-9099-C40C66FF867C}">
                  <a14:compatExt spid="_x0000_s31795"/>
                </a:ext>
                <a:ext uri="{FF2B5EF4-FFF2-40B4-BE49-F238E27FC236}">
                  <a16:creationId xmlns:a16="http://schemas.microsoft.com/office/drawing/2014/main" id="{00000000-0008-0000-0100-00003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386</xdr:row>
          <xdr:rowOff>19050</xdr:rowOff>
        </xdr:from>
        <xdr:to>
          <xdr:col>4</xdr:col>
          <xdr:colOff>323850</xdr:colOff>
          <xdr:row>386</xdr:row>
          <xdr:rowOff>180975</xdr:rowOff>
        </xdr:to>
        <xdr:sp macro="" textlink="">
          <xdr:nvSpPr>
            <xdr:cNvPr id="31798" name="Check Box 54" hidden="1">
              <a:extLst>
                <a:ext uri="{63B3BB69-23CF-44E3-9099-C40C66FF867C}">
                  <a14:compatExt spid="_x0000_s31798"/>
                </a:ext>
                <a:ext uri="{FF2B5EF4-FFF2-40B4-BE49-F238E27FC236}">
                  <a16:creationId xmlns:a16="http://schemas.microsoft.com/office/drawing/2014/main" id="{00000000-0008-0000-0100-00003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387</xdr:row>
          <xdr:rowOff>19050</xdr:rowOff>
        </xdr:from>
        <xdr:to>
          <xdr:col>4</xdr:col>
          <xdr:colOff>323850</xdr:colOff>
          <xdr:row>387</xdr:row>
          <xdr:rowOff>180975</xdr:rowOff>
        </xdr:to>
        <xdr:sp macro="" textlink="">
          <xdr:nvSpPr>
            <xdr:cNvPr id="31799" name="Check Box 55" hidden="1">
              <a:extLst>
                <a:ext uri="{63B3BB69-23CF-44E3-9099-C40C66FF867C}">
                  <a14:compatExt spid="_x0000_s31799"/>
                </a:ext>
                <a:ext uri="{FF2B5EF4-FFF2-40B4-BE49-F238E27FC236}">
                  <a16:creationId xmlns:a16="http://schemas.microsoft.com/office/drawing/2014/main" id="{00000000-0008-0000-0100-00003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388</xdr:row>
          <xdr:rowOff>19050</xdr:rowOff>
        </xdr:from>
        <xdr:to>
          <xdr:col>4</xdr:col>
          <xdr:colOff>323850</xdr:colOff>
          <xdr:row>388</xdr:row>
          <xdr:rowOff>180975</xdr:rowOff>
        </xdr:to>
        <xdr:sp macro="" textlink="">
          <xdr:nvSpPr>
            <xdr:cNvPr id="31800" name="Check Box 56" hidden="1">
              <a:extLst>
                <a:ext uri="{63B3BB69-23CF-44E3-9099-C40C66FF867C}">
                  <a14:compatExt spid="_x0000_s31800"/>
                </a:ext>
                <a:ext uri="{FF2B5EF4-FFF2-40B4-BE49-F238E27FC236}">
                  <a16:creationId xmlns:a16="http://schemas.microsoft.com/office/drawing/2014/main" id="{00000000-0008-0000-0100-00003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1638300</xdr:colOff>
          <xdr:row>10</xdr:row>
          <xdr:rowOff>28575</xdr:rowOff>
        </xdr:from>
        <xdr:to>
          <xdr:col>4</xdr:col>
          <xdr:colOff>2171700</xdr:colOff>
          <xdr:row>10</xdr:row>
          <xdr:rowOff>171450</xdr:rowOff>
        </xdr:to>
        <xdr:sp macro="" textlink="">
          <xdr:nvSpPr>
            <xdr:cNvPr id="31805" name="Option Button 61" hidden="1">
              <a:extLst>
                <a:ext uri="{63B3BB69-23CF-44E3-9099-C40C66FF867C}">
                  <a14:compatExt spid="_x0000_s31805"/>
                </a:ext>
                <a:ext uri="{FF2B5EF4-FFF2-40B4-BE49-F238E27FC236}">
                  <a16:creationId xmlns:a16="http://schemas.microsoft.com/office/drawing/2014/main" id="{00000000-0008-0000-0100-00003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1638300</xdr:colOff>
          <xdr:row>11</xdr:row>
          <xdr:rowOff>28575</xdr:rowOff>
        </xdr:from>
        <xdr:to>
          <xdr:col>4</xdr:col>
          <xdr:colOff>2171700</xdr:colOff>
          <xdr:row>11</xdr:row>
          <xdr:rowOff>171450</xdr:rowOff>
        </xdr:to>
        <xdr:sp macro="" textlink="">
          <xdr:nvSpPr>
            <xdr:cNvPr id="31806" name="Option Button 62" hidden="1">
              <a:extLst>
                <a:ext uri="{63B3BB69-23CF-44E3-9099-C40C66FF867C}">
                  <a14:compatExt spid="_x0000_s31806"/>
                </a:ext>
                <a:ext uri="{FF2B5EF4-FFF2-40B4-BE49-F238E27FC236}">
                  <a16:creationId xmlns:a16="http://schemas.microsoft.com/office/drawing/2014/main" id="{00000000-0008-0000-0100-00003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866775</xdr:colOff>
          <xdr:row>9</xdr:row>
          <xdr:rowOff>76200</xdr:rowOff>
        </xdr:from>
        <xdr:to>
          <xdr:col>4</xdr:col>
          <xdr:colOff>2181225</xdr:colOff>
          <xdr:row>12</xdr:row>
          <xdr:rowOff>85725</xdr:rowOff>
        </xdr:to>
        <xdr:sp macro="" textlink="">
          <xdr:nvSpPr>
            <xdr:cNvPr id="31816" name="Group Box 72" hidden="1">
              <a:extLst>
                <a:ext uri="{63B3BB69-23CF-44E3-9099-C40C66FF867C}">
                  <a14:compatExt spid="_x0000_s31816"/>
                </a:ext>
                <a:ext uri="{FF2B5EF4-FFF2-40B4-BE49-F238E27FC236}">
                  <a16:creationId xmlns:a16="http://schemas.microsoft.com/office/drawing/2014/main" id="{00000000-0008-0000-0100-00004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Segoe UI"/>
                  <a:cs typeface="Segoe UI"/>
                </a:rPr>
                <a:t>Stavbe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397</xdr:row>
          <xdr:rowOff>304800</xdr:rowOff>
        </xdr:from>
        <xdr:to>
          <xdr:col>5</xdr:col>
          <xdr:colOff>342900</xdr:colOff>
          <xdr:row>399</xdr:row>
          <xdr:rowOff>19050</xdr:rowOff>
        </xdr:to>
        <xdr:sp macro="" textlink="">
          <xdr:nvSpPr>
            <xdr:cNvPr id="31824" name="Check Box 80" hidden="1">
              <a:extLst>
                <a:ext uri="{63B3BB69-23CF-44E3-9099-C40C66FF867C}">
                  <a14:compatExt spid="_x0000_s31824"/>
                </a:ext>
                <a:ext uri="{FF2B5EF4-FFF2-40B4-BE49-F238E27FC236}">
                  <a16:creationId xmlns:a16="http://schemas.microsoft.com/office/drawing/2014/main" id="{00000000-0008-0000-0100-00005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399</xdr:row>
          <xdr:rowOff>180975</xdr:rowOff>
        </xdr:from>
        <xdr:to>
          <xdr:col>5</xdr:col>
          <xdr:colOff>333375</xdr:colOff>
          <xdr:row>400</xdr:row>
          <xdr:rowOff>190500</xdr:rowOff>
        </xdr:to>
        <xdr:sp macro="" textlink="">
          <xdr:nvSpPr>
            <xdr:cNvPr id="31825" name="Check Box 81" hidden="1">
              <a:extLst>
                <a:ext uri="{63B3BB69-23CF-44E3-9099-C40C66FF867C}">
                  <a14:compatExt spid="_x0000_s31825"/>
                </a:ext>
                <a:ext uri="{FF2B5EF4-FFF2-40B4-BE49-F238E27FC236}">
                  <a16:creationId xmlns:a16="http://schemas.microsoft.com/office/drawing/2014/main" id="{00000000-0008-0000-0100-00005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377</xdr:row>
          <xdr:rowOff>19050</xdr:rowOff>
        </xdr:from>
        <xdr:to>
          <xdr:col>0</xdr:col>
          <xdr:colOff>323850</xdr:colOff>
          <xdr:row>377</xdr:row>
          <xdr:rowOff>180975</xdr:rowOff>
        </xdr:to>
        <xdr:sp macro="" textlink="">
          <xdr:nvSpPr>
            <xdr:cNvPr id="31828" name="Check Box 84" hidden="1">
              <a:extLst>
                <a:ext uri="{63B3BB69-23CF-44E3-9099-C40C66FF867C}">
                  <a14:compatExt spid="_x0000_s31828"/>
                </a:ext>
                <a:ext uri="{FF2B5EF4-FFF2-40B4-BE49-F238E27FC236}">
                  <a16:creationId xmlns:a16="http://schemas.microsoft.com/office/drawing/2014/main" id="{00000000-0008-0000-0100-00005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378</xdr:row>
          <xdr:rowOff>19050</xdr:rowOff>
        </xdr:from>
        <xdr:to>
          <xdr:col>0</xdr:col>
          <xdr:colOff>323850</xdr:colOff>
          <xdr:row>378</xdr:row>
          <xdr:rowOff>180975</xdr:rowOff>
        </xdr:to>
        <xdr:sp macro="" textlink="">
          <xdr:nvSpPr>
            <xdr:cNvPr id="31829" name="Check Box 85" hidden="1">
              <a:extLst>
                <a:ext uri="{63B3BB69-23CF-44E3-9099-C40C66FF867C}">
                  <a14:compatExt spid="_x0000_s31829"/>
                </a:ext>
                <a:ext uri="{FF2B5EF4-FFF2-40B4-BE49-F238E27FC236}">
                  <a16:creationId xmlns:a16="http://schemas.microsoft.com/office/drawing/2014/main" id="{00000000-0008-0000-0100-00005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379</xdr:row>
          <xdr:rowOff>19050</xdr:rowOff>
        </xdr:from>
        <xdr:to>
          <xdr:col>0</xdr:col>
          <xdr:colOff>323850</xdr:colOff>
          <xdr:row>379</xdr:row>
          <xdr:rowOff>180975</xdr:rowOff>
        </xdr:to>
        <xdr:sp macro="" textlink="">
          <xdr:nvSpPr>
            <xdr:cNvPr id="31830" name="Check Box 86" hidden="1">
              <a:extLst>
                <a:ext uri="{63B3BB69-23CF-44E3-9099-C40C66FF867C}">
                  <a14:compatExt spid="_x0000_s31830"/>
                </a:ext>
                <a:ext uri="{FF2B5EF4-FFF2-40B4-BE49-F238E27FC236}">
                  <a16:creationId xmlns:a16="http://schemas.microsoft.com/office/drawing/2014/main" id="{00000000-0008-0000-0100-00005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381</xdr:row>
          <xdr:rowOff>19050</xdr:rowOff>
        </xdr:from>
        <xdr:to>
          <xdr:col>0</xdr:col>
          <xdr:colOff>323850</xdr:colOff>
          <xdr:row>381</xdr:row>
          <xdr:rowOff>180975</xdr:rowOff>
        </xdr:to>
        <xdr:sp macro="" textlink="">
          <xdr:nvSpPr>
            <xdr:cNvPr id="31833" name="Check Box 89" hidden="1">
              <a:extLst>
                <a:ext uri="{63B3BB69-23CF-44E3-9099-C40C66FF867C}">
                  <a14:compatExt spid="_x0000_s31833"/>
                </a:ext>
                <a:ext uri="{FF2B5EF4-FFF2-40B4-BE49-F238E27FC236}">
                  <a16:creationId xmlns:a16="http://schemas.microsoft.com/office/drawing/2014/main" id="{00000000-0008-0000-0100-00005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382</xdr:row>
          <xdr:rowOff>19050</xdr:rowOff>
        </xdr:from>
        <xdr:to>
          <xdr:col>0</xdr:col>
          <xdr:colOff>323850</xdr:colOff>
          <xdr:row>382</xdr:row>
          <xdr:rowOff>180975</xdr:rowOff>
        </xdr:to>
        <xdr:sp macro="" textlink="">
          <xdr:nvSpPr>
            <xdr:cNvPr id="31834" name="Check Box 90" hidden="1">
              <a:extLst>
                <a:ext uri="{63B3BB69-23CF-44E3-9099-C40C66FF867C}">
                  <a14:compatExt spid="_x0000_s31834"/>
                </a:ext>
                <a:ext uri="{FF2B5EF4-FFF2-40B4-BE49-F238E27FC236}">
                  <a16:creationId xmlns:a16="http://schemas.microsoft.com/office/drawing/2014/main" id="{00000000-0008-0000-0100-00005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383</xdr:row>
          <xdr:rowOff>19050</xdr:rowOff>
        </xdr:from>
        <xdr:to>
          <xdr:col>0</xdr:col>
          <xdr:colOff>323850</xdr:colOff>
          <xdr:row>383</xdr:row>
          <xdr:rowOff>180975</xdr:rowOff>
        </xdr:to>
        <xdr:sp macro="" textlink="">
          <xdr:nvSpPr>
            <xdr:cNvPr id="31835" name="Check Box 91" hidden="1">
              <a:extLst>
                <a:ext uri="{63B3BB69-23CF-44E3-9099-C40C66FF867C}">
                  <a14:compatExt spid="_x0000_s31835"/>
                </a:ext>
                <a:ext uri="{FF2B5EF4-FFF2-40B4-BE49-F238E27FC236}">
                  <a16:creationId xmlns:a16="http://schemas.microsoft.com/office/drawing/2014/main" id="{00000000-0008-0000-0100-00005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384</xdr:row>
          <xdr:rowOff>19050</xdr:rowOff>
        </xdr:from>
        <xdr:to>
          <xdr:col>0</xdr:col>
          <xdr:colOff>323850</xdr:colOff>
          <xdr:row>384</xdr:row>
          <xdr:rowOff>180975</xdr:rowOff>
        </xdr:to>
        <xdr:sp macro="" textlink="">
          <xdr:nvSpPr>
            <xdr:cNvPr id="31836" name="Check Box 92" hidden="1">
              <a:extLst>
                <a:ext uri="{63B3BB69-23CF-44E3-9099-C40C66FF867C}">
                  <a14:compatExt spid="_x0000_s31836"/>
                </a:ext>
                <a:ext uri="{FF2B5EF4-FFF2-40B4-BE49-F238E27FC236}">
                  <a16:creationId xmlns:a16="http://schemas.microsoft.com/office/drawing/2014/main" id="{00000000-0008-0000-0100-00005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385</xdr:row>
          <xdr:rowOff>19050</xdr:rowOff>
        </xdr:from>
        <xdr:to>
          <xdr:col>0</xdr:col>
          <xdr:colOff>323850</xdr:colOff>
          <xdr:row>385</xdr:row>
          <xdr:rowOff>180975</xdr:rowOff>
        </xdr:to>
        <xdr:sp macro="" textlink="">
          <xdr:nvSpPr>
            <xdr:cNvPr id="31837" name="Check Box 93" hidden="1">
              <a:extLst>
                <a:ext uri="{63B3BB69-23CF-44E3-9099-C40C66FF867C}">
                  <a14:compatExt spid="_x0000_s31837"/>
                </a:ext>
                <a:ext uri="{FF2B5EF4-FFF2-40B4-BE49-F238E27FC236}">
                  <a16:creationId xmlns:a16="http://schemas.microsoft.com/office/drawing/2014/main" id="{00000000-0008-0000-0100-00005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386</xdr:row>
          <xdr:rowOff>19050</xdr:rowOff>
        </xdr:from>
        <xdr:to>
          <xdr:col>0</xdr:col>
          <xdr:colOff>323850</xdr:colOff>
          <xdr:row>386</xdr:row>
          <xdr:rowOff>180975</xdr:rowOff>
        </xdr:to>
        <xdr:sp macro="" textlink="">
          <xdr:nvSpPr>
            <xdr:cNvPr id="31838" name="Check Box 94" hidden="1">
              <a:extLst>
                <a:ext uri="{63B3BB69-23CF-44E3-9099-C40C66FF867C}">
                  <a14:compatExt spid="_x0000_s31838"/>
                </a:ext>
                <a:ext uri="{FF2B5EF4-FFF2-40B4-BE49-F238E27FC236}">
                  <a16:creationId xmlns:a16="http://schemas.microsoft.com/office/drawing/2014/main" id="{00000000-0008-0000-0100-00005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387</xdr:row>
          <xdr:rowOff>19050</xdr:rowOff>
        </xdr:from>
        <xdr:to>
          <xdr:col>0</xdr:col>
          <xdr:colOff>323850</xdr:colOff>
          <xdr:row>387</xdr:row>
          <xdr:rowOff>180975</xdr:rowOff>
        </xdr:to>
        <xdr:sp macro="" textlink="">
          <xdr:nvSpPr>
            <xdr:cNvPr id="31839" name="Check Box 95" hidden="1">
              <a:extLst>
                <a:ext uri="{63B3BB69-23CF-44E3-9099-C40C66FF867C}">
                  <a14:compatExt spid="_x0000_s31839"/>
                </a:ext>
                <a:ext uri="{FF2B5EF4-FFF2-40B4-BE49-F238E27FC236}">
                  <a16:creationId xmlns:a16="http://schemas.microsoft.com/office/drawing/2014/main" id="{00000000-0008-0000-0100-00005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388</xdr:row>
          <xdr:rowOff>19050</xdr:rowOff>
        </xdr:from>
        <xdr:to>
          <xdr:col>0</xdr:col>
          <xdr:colOff>323850</xdr:colOff>
          <xdr:row>388</xdr:row>
          <xdr:rowOff>180975</xdr:rowOff>
        </xdr:to>
        <xdr:sp macro="" textlink="">
          <xdr:nvSpPr>
            <xdr:cNvPr id="31840" name="Check Box 96" hidden="1">
              <a:extLst>
                <a:ext uri="{63B3BB69-23CF-44E3-9099-C40C66FF867C}">
                  <a14:compatExt spid="_x0000_s31840"/>
                </a:ext>
                <a:ext uri="{FF2B5EF4-FFF2-40B4-BE49-F238E27FC236}">
                  <a16:creationId xmlns:a16="http://schemas.microsoft.com/office/drawing/2014/main" id="{00000000-0008-0000-0100-00006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375</xdr:row>
          <xdr:rowOff>19050</xdr:rowOff>
        </xdr:from>
        <xdr:to>
          <xdr:col>0</xdr:col>
          <xdr:colOff>323850</xdr:colOff>
          <xdr:row>375</xdr:row>
          <xdr:rowOff>180975</xdr:rowOff>
        </xdr:to>
        <xdr:sp macro="" textlink="">
          <xdr:nvSpPr>
            <xdr:cNvPr id="31841" name="Check Box 97" hidden="1">
              <a:extLst>
                <a:ext uri="{63B3BB69-23CF-44E3-9099-C40C66FF867C}">
                  <a14:compatExt spid="_x0000_s31841"/>
                </a:ext>
                <a:ext uri="{FF2B5EF4-FFF2-40B4-BE49-F238E27FC236}">
                  <a16:creationId xmlns:a16="http://schemas.microsoft.com/office/drawing/2014/main" id="{00000000-0008-0000-0100-00006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396</xdr:row>
          <xdr:rowOff>0</xdr:rowOff>
        </xdr:from>
        <xdr:to>
          <xdr:col>5</xdr:col>
          <xdr:colOff>333375</xdr:colOff>
          <xdr:row>397</xdr:row>
          <xdr:rowOff>9525</xdr:rowOff>
        </xdr:to>
        <xdr:sp macro="" textlink="">
          <xdr:nvSpPr>
            <xdr:cNvPr id="31842" name="Check Box 98" hidden="1">
              <a:extLst>
                <a:ext uri="{63B3BB69-23CF-44E3-9099-C40C66FF867C}">
                  <a14:compatExt spid="_x0000_s31842"/>
                </a:ext>
                <a:ext uri="{FF2B5EF4-FFF2-40B4-BE49-F238E27FC236}">
                  <a16:creationId xmlns:a16="http://schemas.microsoft.com/office/drawing/2014/main" id="{00000000-0008-0000-0100-00006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398</xdr:row>
          <xdr:rowOff>180975</xdr:rowOff>
        </xdr:from>
        <xdr:to>
          <xdr:col>5</xdr:col>
          <xdr:colOff>333375</xdr:colOff>
          <xdr:row>399</xdr:row>
          <xdr:rowOff>190500</xdr:rowOff>
        </xdr:to>
        <xdr:sp macro="" textlink="">
          <xdr:nvSpPr>
            <xdr:cNvPr id="31844" name="Check Box 100" hidden="1">
              <a:extLst>
                <a:ext uri="{63B3BB69-23CF-44E3-9099-C40C66FF867C}">
                  <a14:compatExt spid="_x0000_s31844"/>
                </a:ext>
                <a:ext uri="{FF2B5EF4-FFF2-40B4-BE49-F238E27FC236}">
                  <a16:creationId xmlns:a16="http://schemas.microsoft.com/office/drawing/2014/main" id="{00000000-0008-0000-0100-00006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1647825</xdr:colOff>
          <xdr:row>170</xdr:row>
          <xdr:rowOff>104775</xdr:rowOff>
        </xdr:from>
        <xdr:to>
          <xdr:col>4</xdr:col>
          <xdr:colOff>1952625</xdr:colOff>
          <xdr:row>170</xdr:row>
          <xdr:rowOff>323850</xdr:rowOff>
        </xdr:to>
        <xdr:sp macro="" textlink="">
          <xdr:nvSpPr>
            <xdr:cNvPr id="31852" name="Option Button 108" hidden="1">
              <a:extLst>
                <a:ext uri="{63B3BB69-23CF-44E3-9099-C40C66FF867C}">
                  <a14:compatExt spid="_x0000_s31852"/>
                </a:ext>
                <a:ext uri="{FF2B5EF4-FFF2-40B4-BE49-F238E27FC236}">
                  <a16:creationId xmlns:a16="http://schemas.microsoft.com/office/drawing/2014/main" id="{00000000-0008-0000-0100-00006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1647825</xdr:colOff>
          <xdr:row>170</xdr:row>
          <xdr:rowOff>381000</xdr:rowOff>
        </xdr:from>
        <xdr:to>
          <xdr:col>4</xdr:col>
          <xdr:colOff>1952625</xdr:colOff>
          <xdr:row>171</xdr:row>
          <xdr:rowOff>190500</xdr:rowOff>
        </xdr:to>
        <xdr:sp macro="" textlink="">
          <xdr:nvSpPr>
            <xdr:cNvPr id="31853" name="Option Button 109" hidden="1">
              <a:extLst>
                <a:ext uri="{63B3BB69-23CF-44E3-9099-C40C66FF867C}">
                  <a14:compatExt spid="_x0000_s31853"/>
                </a:ext>
                <a:ext uri="{FF2B5EF4-FFF2-40B4-BE49-F238E27FC236}">
                  <a16:creationId xmlns:a16="http://schemas.microsoft.com/office/drawing/2014/main" id="{00000000-0008-0000-0100-00006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1666875</xdr:colOff>
          <xdr:row>230</xdr:row>
          <xdr:rowOff>114300</xdr:rowOff>
        </xdr:from>
        <xdr:to>
          <xdr:col>4</xdr:col>
          <xdr:colOff>1971675</xdr:colOff>
          <xdr:row>230</xdr:row>
          <xdr:rowOff>409575</xdr:rowOff>
        </xdr:to>
        <xdr:sp macro="" textlink="">
          <xdr:nvSpPr>
            <xdr:cNvPr id="31871" name="Option Button 127" hidden="1">
              <a:extLst>
                <a:ext uri="{63B3BB69-23CF-44E3-9099-C40C66FF867C}">
                  <a14:compatExt spid="_x0000_s31871"/>
                </a:ext>
                <a:ext uri="{FF2B5EF4-FFF2-40B4-BE49-F238E27FC236}">
                  <a16:creationId xmlns:a16="http://schemas.microsoft.com/office/drawing/2014/main" id="{00000000-0008-0000-0100-00007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1666875</xdr:colOff>
          <xdr:row>231</xdr:row>
          <xdr:rowOff>66675</xdr:rowOff>
        </xdr:from>
        <xdr:to>
          <xdr:col>4</xdr:col>
          <xdr:colOff>2019300</xdr:colOff>
          <xdr:row>231</xdr:row>
          <xdr:rowOff>352425</xdr:rowOff>
        </xdr:to>
        <xdr:sp macro="" textlink="">
          <xdr:nvSpPr>
            <xdr:cNvPr id="31872" name="Option Button 128" hidden="1">
              <a:extLst>
                <a:ext uri="{63B3BB69-23CF-44E3-9099-C40C66FF867C}">
                  <a14:compatExt spid="_x0000_s31872"/>
                </a:ext>
                <a:ext uri="{FF2B5EF4-FFF2-40B4-BE49-F238E27FC236}">
                  <a16:creationId xmlns:a16="http://schemas.microsoft.com/office/drawing/2014/main" id="{00000000-0008-0000-0100-00008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895350</xdr:colOff>
          <xdr:row>170</xdr:row>
          <xdr:rowOff>38100</xdr:rowOff>
        </xdr:from>
        <xdr:to>
          <xdr:col>4</xdr:col>
          <xdr:colOff>2219325</xdr:colOff>
          <xdr:row>172</xdr:row>
          <xdr:rowOff>38100</xdr:rowOff>
        </xdr:to>
        <xdr:sp macro="" textlink="">
          <xdr:nvSpPr>
            <xdr:cNvPr id="31874" name="Group Box 130" hidden="1">
              <a:extLst>
                <a:ext uri="{63B3BB69-23CF-44E3-9099-C40C66FF867C}">
                  <a14:compatExt spid="_x0000_s31874"/>
                </a:ext>
                <a:ext uri="{FF2B5EF4-FFF2-40B4-BE49-F238E27FC236}">
                  <a16:creationId xmlns:a16="http://schemas.microsoft.com/office/drawing/2014/main" id="{00000000-0008-0000-0100-000082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Segoe UI"/>
                  <a:cs typeface="Segoe UI"/>
                </a:rPr>
                <a:t>Group Box 130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1000125</xdr:colOff>
          <xdr:row>230</xdr:row>
          <xdr:rowOff>28575</xdr:rowOff>
        </xdr:from>
        <xdr:to>
          <xdr:col>4</xdr:col>
          <xdr:colOff>2257425</xdr:colOff>
          <xdr:row>232</xdr:row>
          <xdr:rowOff>9525</xdr:rowOff>
        </xdr:to>
        <xdr:sp macro="" textlink="">
          <xdr:nvSpPr>
            <xdr:cNvPr id="31875" name="Group Box 131" hidden="1">
              <a:extLst>
                <a:ext uri="{63B3BB69-23CF-44E3-9099-C40C66FF867C}">
                  <a14:compatExt spid="_x0000_s31875"/>
                </a:ext>
                <a:ext uri="{FF2B5EF4-FFF2-40B4-BE49-F238E27FC236}">
                  <a16:creationId xmlns:a16="http://schemas.microsoft.com/office/drawing/2014/main" id="{00000000-0008-0000-0100-00008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Segoe UI"/>
                  <a:cs typeface="Segoe UI"/>
                </a:rPr>
                <a:t>Group Box 131</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76200</xdr:colOff>
          <xdr:row>20</xdr:row>
          <xdr:rowOff>19050</xdr:rowOff>
        </xdr:from>
        <xdr:to>
          <xdr:col>6</xdr:col>
          <xdr:colOff>323850</xdr:colOff>
          <xdr:row>21</xdr:row>
          <xdr:rowOff>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3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48</xdr:row>
          <xdr:rowOff>19050</xdr:rowOff>
        </xdr:from>
        <xdr:to>
          <xdr:col>6</xdr:col>
          <xdr:colOff>323850</xdr:colOff>
          <xdr:row>48</xdr:row>
          <xdr:rowOff>180975</xdr:rowOff>
        </xdr:to>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300-00000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79</xdr:row>
          <xdr:rowOff>19050</xdr:rowOff>
        </xdr:from>
        <xdr:to>
          <xdr:col>6</xdr:col>
          <xdr:colOff>323850</xdr:colOff>
          <xdr:row>79</xdr:row>
          <xdr:rowOff>180975</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300-00000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80</xdr:row>
          <xdr:rowOff>19050</xdr:rowOff>
        </xdr:from>
        <xdr:to>
          <xdr:col>6</xdr:col>
          <xdr:colOff>323850</xdr:colOff>
          <xdr:row>80</xdr:row>
          <xdr:rowOff>180975</xdr:rowOff>
        </xdr:to>
        <xdr:sp macro="" textlink="">
          <xdr:nvSpPr>
            <xdr:cNvPr id="18566" name="Check Box 134" hidden="1">
              <a:extLst>
                <a:ext uri="{63B3BB69-23CF-44E3-9099-C40C66FF867C}">
                  <a14:compatExt spid="_x0000_s18566"/>
                </a:ext>
                <a:ext uri="{FF2B5EF4-FFF2-40B4-BE49-F238E27FC236}">
                  <a16:creationId xmlns:a16="http://schemas.microsoft.com/office/drawing/2014/main" id="{00000000-0008-0000-0300-00008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137</xdr:row>
          <xdr:rowOff>38100</xdr:rowOff>
        </xdr:from>
        <xdr:to>
          <xdr:col>6</xdr:col>
          <xdr:colOff>323850</xdr:colOff>
          <xdr:row>137</xdr:row>
          <xdr:rowOff>200025</xdr:rowOff>
        </xdr:to>
        <xdr:sp macro="" textlink="">
          <xdr:nvSpPr>
            <xdr:cNvPr id="18608" name="Check Box 176" hidden="1">
              <a:extLst>
                <a:ext uri="{63B3BB69-23CF-44E3-9099-C40C66FF867C}">
                  <a14:compatExt spid="_x0000_s18608"/>
                </a:ext>
                <a:ext uri="{FF2B5EF4-FFF2-40B4-BE49-F238E27FC236}">
                  <a16:creationId xmlns:a16="http://schemas.microsoft.com/office/drawing/2014/main" id="{00000000-0008-0000-0300-0000B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156</xdr:row>
          <xdr:rowOff>19050</xdr:rowOff>
        </xdr:from>
        <xdr:to>
          <xdr:col>6</xdr:col>
          <xdr:colOff>323850</xdr:colOff>
          <xdr:row>156</xdr:row>
          <xdr:rowOff>180975</xdr:rowOff>
        </xdr:to>
        <xdr:sp macro="" textlink="">
          <xdr:nvSpPr>
            <xdr:cNvPr id="18609" name="Check Box 177" hidden="1">
              <a:extLst>
                <a:ext uri="{63B3BB69-23CF-44E3-9099-C40C66FF867C}">
                  <a14:compatExt spid="_x0000_s18609"/>
                </a:ext>
                <a:ext uri="{FF2B5EF4-FFF2-40B4-BE49-F238E27FC236}">
                  <a16:creationId xmlns:a16="http://schemas.microsoft.com/office/drawing/2014/main" id="{00000000-0008-0000-0300-0000B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172</xdr:row>
          <xdr:rowOff>19050</xdr:rowOff>
        </xdr:from>
        <xdr:to>
          <xdr:col>6</xdr:col>
          <xdr:colOff>323850</xdr:colOff>
          <xdr:row>172</xdr:row>
          <xdr:rowOff>180975</xdr:rowOff>
        </xdr:to>
        <xdr:sp macro="" textlink="">
          <xdr:nvSpPr>
            <xdr:cNvPr id="18655" name="Check Box 223" hidden="1">
              <a:extLst>
                <a:ext uri="{63B3BB69-23CF-44E3-9099-C40C66FF867C}">
                  <a14:compatExt spid="_x0000_s18655"/>
                </a:ext>
                <a:ext uri="{FF2B5EF4-FFF2-40B4-BE49-F238E27FC236}">
                  <a16:creationId xmlns:a16="http://schemas.microsoft.com/office/drawing/2014/main" id="{00000000-0008-0000-0300-0000D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0</xdr:col>
      <xdr:colOff>0</xdr:colOff>
      <xdr:row>0</xdr:row>
      <xdr:rowOff>0</xdr:rowOff>
    </xdr:from>
    <xdr:to>
      <xdr:col>1</xdr:col>
      <xdr:colOff>5625</xdr:colOff>
      <xdr:row>2</xdr:row>
      <xdr:rowOff>262800</xdr:rowOff>
    </xdr:to>
    <xdr:pic>
      <xdr:nvPicPr>
        <xdr:cNvPr id="140" name="Picture 139">
          <a:extLst>
            <a:ext uri="{FF2B5EF4-FFF2-40B4-BE49-F238E27FC236}">
              <a16:creationId xmlns:a16="http://schemas.microsoft.com/office/drawing/2014/main" id="{00000000-0008-0000-0300-00008C000000}"/>
            </a:ext>
          </a:extLst>
        </xdr:cNvPr>
        <xdr:cNvPicPr>
          <a:picLocks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0"/>
          <a:ext cx="720000"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6</xdr:col>
          <xdr:colOff>66675</xdr:colOff>
          <xdr:row>96</xdr:row>
          <xdr:rowOff>19050</xdr:rowOff>
        </xdr:from>
        <xdr:to>
          <xdr:col>6</xdr:col>
          <xdr:colOff>314325</xdr:colOff>
          <xdr:row>96</xdr:row>
          <xdr:rowOff>180975</xdr:rowOff>
        </xdr:to>
        <xdr:sp macro="" textlink="">
          <xdr:nvSpPr>
            <xdr:cNvPr id="18760" name="Check Box 328" hidden="1">
              <a:extLst>
                <a:ext uri="{63B3BB69-23CF-44E3-9099-C40C66FF867C}">
                  <a14:compatExt spid="_x0000_s18760"/>
                </a:ext>
                <a:ext uri="{FF2B5EF4-FFF2-40B4-BE49-F238E27FC236}">
                  <a16:creationId xmlns:a16="http://schemas.microsoft.com/office/drawing/2014/main" id="{00000000-0008-0000-0300-00004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34</xdr:row>
          <xdr:rowOff>9525</xdr:rowOff>
        </xdr:from>
        <xdr:to>
          <xdr:col>6</xdr:col>
          <xdr:colOff>323850</xdr:colOff>
          <xdr:row>34</xdr:row>
          <xdr:rowOff>190500</xdr:rowOff>
        </xdr:to>
        <xdr:sp macro="" textlink="">
          <xdr:nvSpPr>
            <xdr:cNvPr id="18935" name="Check Box 503" hidden="1">
              <a:extLst>
                <a:ext uri="{63B3BB69-23CF-44E3-9099-C40C66FF867C}">
                  <a14:compatExt spid="_x0000_s18935"/>
                </a:ext>
                <a:ext uri="{FF2B5EF4-FFF2-40B4-BE49-F238E27FC236}">
                  <a16:creationId xmlns:a16="http://schemas.microsoft.com/office/drawing/2014/main" id="{00000000-0008-0000-0300-0000F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50</xdr:row>
          <xdr:rowOff>19050</xdr:rowOff>
        </xdr:from>
        <xdr:to>
          <xdr:col>6</xdr:col>
          <xdr:colOff>323850</xdr:colOff>
          <xdr:row>50</xdr:row>
          <xdr:rowOff>180975</xdr:rowOff>
        </xdr:to>
        <xdr:sp macro="" textlink="">
          <xdr:nvSpPr>
            <xdr:cNvPr id="18961" name="Check Box 529" hidden="1">
              <a:extLst>
                <a:ext uri="{63B3BB69-23CF-44E3-9099-C40C66FF867C}">
                  <a14:compatExt spid="_x0000_s18961"/>
                </a:ext>
                <a:ext uri="{FF2B5EF4-FFF2-40B4-BE49-F238E27FC236}">
                  <a16:creationId xmlns:a16="http://schemas.microsoft.com/office/drawing/2014/main" id="{00000000-0008-0000-0300-00001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64</xdr:row>
          <xdr:rowOff>28575</xdr:rowOff>
        </xdr:from>
        <xdr:to>
          <xdr:col>6</xdr:col>
          <xdr:colOff>323850</xdr:colOff>
          <xdr:row>64</xdr:row>
          <xdr:rowOff>171450</xdr:rowOff>
        </xdr:to>
        <xdr:sp macro="" textlink="">
          <xdr:nvSpPr>
            <xdr:cNvPr id="18962" name="Check Box 530" hidden="1">
              <a:extLst>
                <a:ext uri="{63B3BB69-23CF-44E3-9099-C40C66FF867C}">
                  <a14:compatExt spid="_x0000_s18962"/>
                </a:ext>
                <a:ext uri="{FF2B5EF4-FFF2-40B4-BE49-F238E27FC236}">
                  <a16:creationId xmlns:a16="http://schemas.microsoft.com/office/drawing/2014/main" id="{00000000-0008-0000-0300-00001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116</xdr:row>
          <xdr:rowOff>19050</xdr:rowOff>
        </xdr:from>
        <xdr:to>
          <xdr:col>6</xdr:col>
          <xdr:colOff>323850</xdr:colOff>
          <xdr:row>116</xdr:row>
          <xdr:rowOff>200025</xdr:rowOff>
        </xdr:to>
        <xdr:sp macro="" textlink="">
          <xdr:nvSpPr>
            <xdr:cNvPr id="18965" name="Check Box 533" hidden="1">
              <a:extLst>
                <a:ext uri="{63B3BB69-23CF-44E3-9099-C40C66FF867C}">
                  <a14:compatExt spid="_x0000_s18965"/>
                </a:ext>
                <a:ext uri="{FF2B5EF4-FFF2-40B4-BE49-F238E27FC236}">
                  <a16:creationId xmlns:a16="http://schemas.microsoft.com/office/drawing/2014/main" id="{00000000-0008-0000-0300-00001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126</xdr:row>
          <xdr:rowOff>19050</xdr:rowOff>
        </xdr:from>
        <xdr:to>
          <xdr:col>6</xdr:col>
          <xdr:colOff>323850</xdr:colOff>
          <xdr:row>126</xdr:row>
          <xdr:rowOff>200025</xdr:rowOff>
        </xdr:to>
        <xdr:sp macro="" textlink="">
          <xdr:nvSpPr>
            <xdr:cNvPr id="18967" name="Check Box 535" hidden="1">
              <a:extLst>
                <a:ext uri="{63B3BB69-23CF-44E3-9099-C40C66FF867C}">
                  <a14:compatExt spid="_x0000_s18967"/>
                </a:ext>
                <a:ext uri="{FF2B5EF4-FFF2-40B4-BE49-F238E27FC236}">
                  <a16:creationId xmlns:a16="http://schemas.microsoft.com/office/drawing/2014/main" id="{00000000-0008-0000-0300-00001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138</xdr:row>
          <xdr:rowOff>28575</xdr:rowOff>
        </xdr:from>
        <xdr:to>
          <xdr:col>6</xdr:col>
          <xdr:colOff>323850</xdr:colOff>
          <xdr:row>138</xdr:row>
          <xdr:rowOff>190500</xdr:rowOff>
        </xdr:to>
        <xdr:sp macro="" textlink="">
          <xdr:nvSpPr>
            <xdr:cNvPr id="18969" name="Check Box 537" hidden="1">
              <a:extLst>
                <a:ext uri="{63B3BB69-23CF-44E3-9099-C40C66FF867C}">
                  <a14:compatExt spid="_x0000_s18969"/>
                </a:ext>
                <a:ext uri="{FF2B5EF4-FFF2-40B4-BE49-F238E27FC236}">
                  <a16:creationId xmlns:a16="http://schemas.microsoft.com/office/drawing/2014/main" id="{00000000-0008-0000-0300-00001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190</xdr:row>
          <xdr:rowOff>28575</xdr:rowOff>
        </xdr:from>
        <xdr:to>
          <xdr:col>6</xdr:col>
          <xdr:colOff>323850</xdr:colOff>
          <xdr:row>190</xdr:row>
          <xdr:rowOff>171450</xdr:rowOff>
        </xdr:to>
        <xdr:sp macro="" textlink="">
          <xdr:nvSpPr>
            <xdr:cNvPr id="18971" name="Check Box 539" hidden="1">
              <a:extLst>
                <a:ext uri="{63B3BB69-23CF-44E3-9099-C40C66FF867C}">
                  <a14:compatExt spid="_x0000_s18971"/>
                </a:ext>
                <a:ext uri="{FF2B5EF4-FFF2-40B4-BE49-F238E27FC236}">
                  <a16:creationId xmlns:a16="http://schemas.microsoft.com/office/drawing/2014/main" id="{00000000-0008-0000-0300-00001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203</xdr:row>
          <xdr:rowOff>38100</xdr:rowOff>
        </xdr:from>
        <xdr:to>
          <xdr:col>6</xdr:col>
          <xdr:colOff>323850</xdr:colOff>
          <xdr:row>203</xdr:row>
          <xdr:rowOff>180975</xdr:rowOff>
        </xdr:to>
        <xdr:sp macro="" textlink="">
          <xdr:nvSpPr>
            <xdr:cNvPr id="18972" name="Check Box 540" hidden="1">
              <a:extLst>
                <a:ext uri="{63B3BB69-23CF-44E3-9099-C40C66FF867C}">
                  <a14:compatExt spid="_x0000_s18972"/>
                </a:ext>
                <a:ext uri="{FF2B5EF4-FFF2-40B4-BE49-F238E27FC236}">
                  <a16:creationId xmlns:a16="http://schemas.microsoft.com/office/drawing/2014/main" id="{00000000-0008-0000-0300-00001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212</xdr:row>
          <xdr:rowOff>28575</xdr:rowOff>
        </xdr:from>
        <xdr:to>
          <xdr:col>6</xdr:col>
          <xdr:colOff>323850</xdr:colOff>
          <xdr:row>212</xdr:row>
          <xdr:rowOff>171450</xdr:rowOff>
        </xdr:to>
        <xdr:sp macro="" textlink="">
          <xdr:nvSpPr>
            <xdr:cNvPr id="18973" name="Check Box 541" hidden="1">
              <a:extLst>
                <a:ext uri="{63B3BB69-23CF-44E3-9099-C40C66FF867C}">
                  <a14:compatExt spid="_x0000_s18973"/>
                </a:ext>
                <a:ext uri="{FF2B5EF4-FFF2-40B4-BE49-F238E27FC236}">
                  <a16:creationId xmlns:a16="http://schemas.microsoft.com/office/drawing/2014/main" id="{00000000-0008-0000-0300-00001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80</xdr:row>
          <xdr:rowOff>19050</xdr:rowOff>
        </xdr:from>
        <xdr:to>
          <xdr:col>6</xdr:col>
          <xdr:colOff>323850</xdr:colOff>
          <xdr:row>80</xdr:row>
          <xdr:rowOff>180975</xdr:rowOff>
        </xdr:to>
        <xdr:sp macro="" textlink="">
          <xdr:nvSpPr>
            <xdr:cNvPr id="18974" name="Check Box 542" hidden="1">
              <a:extLst>
                <a:ext uri="{63B3BB69-23CF-44E3-9099-C40C66FF867C}">
                  <a14:compatExt spid="_x0000_s18974"/>
                </a:ext>
                <a:ext uri="{FF2B5EF4-FFF2-40B4-BE49-F238E27FC236}">
                  <a16:creationId xmlns:a16="http://schemas.microsoft.com/office/drawing/2014/main" id="{00000000-0008-0000-0300-00001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82</xdr:row>
          <xdr:rowOff>19050</xdr:rowOff>
        </xdr:from>
        <xdr:to>
          <xdr:col>6</xdr:col>
          <xdr:colOff>323850</xdr:colOff>
          <xdr:row>82</xdr:row>
          <xdr:rowOff>180975</xdr:rowOff>
        </xdr:to>
        <xdr:sp macro="" textlink="">
          <xdr:nvSpPr>
            <xdr:cNvPr id="45246" name="Check Box 1214" hidden="1">
              <a:extLst>
                <a:ext uri="{63B3BB69-23CF-44E3-9099-C40C66FF867C}">
                  <a14:compatExt spid="_x0000_s45246"/>
                </a:ext>
                <a:ext uri="{FF2B5EF4-FFF2-40B4-BE49-F238E27FC236}">
                  <a16:creationId xmlns:a16="http://schemas.microsoft.com/office/drawing/2014/main" id="{00000000-0008-0000-0300-0000B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82</xdr:row>
          <xdr:rowOff>19050</xdr:rowOff>
        </xdr:from>
        <xdr:to>
          <xdr:col>6</xdr:col>
          <xdr:colOff>323850</xdr:colOff>
          <xdr:row>82</xdr:row>
          <xdr:rowOff>180975</xdr:rowOff>
        </xdr:to>
        <xdr:sp macro="" textlink="">
          <xdr:nvSpPr>
            <xdr:cNvPr id="45247" name="Check Box 1215" hidden="1">
              <a:extLst>
                <a:ext uri="{63B3BB69-23CF-44E3-9099-C40C66FF867C}">
                  <a14:compatExt spid="_x0000_s45247"/>
                </a:ext>
                <a:ext uri="{FF2B5EF4-FFF2-40B4-BE49-F238E27FC236}">
                  <a16:creationId xmlns:a16="http://schemas.microsoft.com/office/drawing/2014/main" id="{00000000-0008-0000-0300-0000B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81</xdr:row>
          <xdr:rowOff>19050</xdr:rowOff>
        </xdr:from>
        <xdr:to>
          <xdr:col>6</xdr:col>
          <xdr:colOff>323850</xdr:colOff>
          <xdr:row>81</xdr:row>
          <xdr:rowOff>180975</xdr:rowOff>
        </xdr:to>
        <xdr:sp macro="" textlink="">
          <xdr:nvSpPr>
            <xdr:cNvPr id="45248" name="Check Box 1216" hidden="1">
              <a:extLst>
                <a:ext uri="{63B3BB69-23CF-44E3-9099-C40C66FF867C}">
                  <a14:compatExt spid="_x0000_s45248"/>
                </a:ext>
                <a:ext uri="{FF2B5EF4-FFF2-40B4-BE49-F238E27FC236}">
                  <a16:creationId xmlns:a16="http://schemas.microsoft.com/office/drawing/2014/main" id="{00000000-0008-0000-0300-0000C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81</xdr:row>
          <xdr:rowOff>19050</xdr:rowOff>
        </xdr:from>
        <xdr:to>
          <xdr:col>6</xdr:col>
          <xdr:colOff>323850</xdr:colOff>
          <xdr:row>81</xdr:row>
          <xdr:rowOff>180975</xdr:rowOff>
        </xdr:to>
        <xdr:sp macro="" textlink="">
          <xdr:nvSpPr>
            <xdr:cNvPr id="45249" name="Check Box 1217" hidden="1">
              <a:extLst>
                <a:ext uri="{63B3BB69-23CF-44E3-9099-C40C66FF867C}">
                  <a14:compatExt spid="_x0000_s45249"/>
                </a:ext>
                <a:ext uri="{FF2B5EF4-FFF2-40B4-BE49-F238E27FC236}">
                  <a16:creationId xmlns:a16="http://schemas.microsoft.com/office/drawing/2014/main" id="{00000000-0008-0000-0300-0000C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114</xdr:row>
          <xdr:rowOff>19050</xdr:rowOff>
        </xdr:from>
        <xdr:to>
          <xdr:col>6</xdr:col>
          <xdr:colOff>323850</xdr:colOff>
          <xdr:row>114</xdr:row>
          <xdr:rowOff>180975</xdr:rowOff>
        </xdr:to>
        <xdr:sp macro="" textlink="">
          <xdr:nvSpPr>
            <xdr:cNvPr id="45250" name="Check Box 1218" hidden="1">
              <a:extLst>
                <a:ext uri="{63B3BB69-23CF-44E3-9099-C40C66FF867C}">
                  <a14:compatExt spid="_x0000_s45250"/>
                </a:ext>
                <a:ext uri="{FF2B5EF4-FFF2-40B4-BE49-F238E27FC236}">
                  <a16:creationId xmlns:a16="http://schemas.microsoft.com/office/drawing/2014/main" id="{00000000-0008-0000-0300-0000C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114</xdr:row>
          <xdr:rowOff>19050</xdr:rowOff>
        </xdr:from>
        <xdr:to>
          <xdr:col>6</xdr:col>
          <xdr:colOff>323850</xdr:colOff>
          <xdr:row>114</xdr:row>
          <xdr:rowOff>180975</xdr:rowOff>
        </xdr:to>
        <xdr:sp macro="" textlink="">
          <xdr:nvSpPr>
            <xdr:cNvPr id="45251" name="Check Box 1219" hidden="1">
              <a:extLst>
                <a:ext uri="{63B3BB69-23CF-44E3-9099-C40C66FF867C}">
                  <a14:compatExt spid="_x0000_s45251"/>
                </a:ext>
                <a:ext uri="{FF2B5EF4-FFF2-40B4-BE49-F238E27FC236}">
                  <a16:creationId xmlns:a16="http://schemas.microsoft.com/office/drawing/2014/main" id="{00000000-0008-0000-0300-0000C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106</xdr:row>
          <xdr:rowOff>19050</xdr:rowOff>
        </xdr:from>
        <xdr:to>
          <xdr:col>6</xdr:col>
          <xdr:colOff>323850</xdr:colOff>
          <xdr:row>106</xdr:row>
          <xdr:rowOff>180975</xdr:rowOff>
        </xdr:to>
        <xdr:sp macro="" textlink="">
          <xdr:nvSpPr>
            <xdr:cNvPr id="45252" name="Check Box 1220" hidden="1">
              <a:extLst>
                <a:ext uri="{63B3BB69-23CF-44E3-9099-C40C66FF867C}">
                  <a14:compatExt spid="_x0000_s45252"/>
                </a:ext>
                <a:ext uri="{FF2B5EF4-FFF2-40B4-BE49-F238E27FC236}">
                  <a16:creationId xmlns:a16="http://schemas.microsoft.com/office/drawing/2014/main" id="{00000000-0008-0000-0300-0000C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106</xdr:row>
          <xdr:rowOff>19050</xdr:rowOff>
        </xdr:from>
        <xdr:to>
          <xdr:col>6</xdr:col>
          <xdr:colOff>323850</xdr:colOff>
          <xdr:row>106</xdr:row>
          <xdr:rowOff>180975</xdr:rowOff>
        </xdr:to>
        <xdr:sp macro="" textlink="">
          <xdr:nvSpPr>
            <xdr:cNvPr id="45253" name="Check Box 1221" hidden="1">
              <a:extLst>
                <a:ext uri="{63B3BB69-23CF-44E3-9099-C40C66FF867C}">
                  <a14:compatExt spid="_x0000_s45253"/>
                </a:ext>
                <a:ext uri="{FF2B5EF4-FFF2-40B4-BE49-F238E27FC236}">
                  <a16:creationId xmlns:a16="http://schemas.microsoft.com/office/drawing/2014/main" id="{00000000-0008-0000-0300-0000C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125</xdr:row>
          <xdr:rowOff>19050</xdr:rowOff>
        </xdr:from>
        <xdr:to>
          <xdr:col>6</xdr:col>
          <xdr:colOff>323850</xdr:colOff>
          <xdr:row>125</xdr:row>
          <xdr:rowOff>180975</xdr:rowOff>
        </xdr:to>
        <xdr:sp macro="" textlink="">
          <xdr:nvSpPr>
            <xdr:cNvPr id="45254" name="Check Box 1222" hidden="1">
              <a:extLst>
                <a:ext uri="{63B3BB69-23CF-44E3-9099-C40C66FF867C}">
                  <a14:compatExt spid="_x0000_s45254"/>
                </a:ext>
                <a:ext uri="{FF2B5EF4-FFF2-40B4-BE49-F238E27FC236}">
                  <a16:creationId xmlns:a16="http://schemas.microsoft.com/office/drawing/2014/main" id="{00000000-0008-0000-0300-0000C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125</xdr:row>
          <xdr:rowOff>19050</xdr:rowOff>
        </xdr:from>
        <xdr:to>
          <xdr:col>6</xdr:col>
          <xdr:colOff>323850</xdr:colOff>
          <xdr:row>125</xdr:row>
          <xdr:rowOff>180975</xdr:rowOff>
        </xdr:to>
        <xdr:sp macro="" textlink="">
          <xdr:nvSpPr>
            <xdr:cNvPr id="45255" name="Check Box 1223" hidden="1">
              <a:extLst>
                <a:ext uri="{63B3BB69-23CF-44E3-9099-C40C66FF867C}">
                  <a14:compatExt spid="_x0000_s45255"/>
                </a:ext>
                <a:ext uri="{FF2B5EF4-FFF2-40B4-BE49-F238E27FC236}">
                  <a16:creationId xmlns:a16="http://schemas.microsoft.com/office/drawing/2014/main" id="{00000000-0008-0000-0300-0000C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135</xdr:row>
          <xdr:rowOff>19050</xdr:rowOff>
        </xdr:from>
        <xdr:to>
          <xdr:col>6</xdr:col>
          <xdr:colOff>323850</xdr:colOff>
          <xdr:row>135</xdr:row>
          <xdr:rowOff>180975</xdr:rowOff>
        </xdr:to>
        <xdr:sp macro="" textlink="">
          <xdr:nvSpPr>
            <xdr:cNvPr id="45256" name="Check Box 1224" hidden="1">
              <a:extLst>
                <a:ext uri="{63B3BB69-23CF-44E3-9099-C40C66FF867C}">
                  <a14:compatExt spid="_x0000_s45256"/>
                </a:ext>
                <a:ext uri="{FF2B5EF4-FFF2-40B4-BE49-F238E27FC236}">
                  <a16:creationId xmlns:a16="http://schemas.microsoft.com/office/drawing/2014/main" id="{00000000-0008-0000-0300-0000C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135</xdr:row>
          <xdr:rowOff>19050</xdr:rowOff>
        </xdr:from>
        <xdr:to>
          <xdr:col>6</xdr:col>
          <xdr:colOff>323850</xdr:colOff>
          <xdr:row>135</xdr:row>
          <xdr:rowOff>180975</xdr:rowOff>
        </xdr:to>
        <xdr:sp macro="" textlink="">
          <xdr:nvSpPr>
            <xdr:cNvPr id="45257" name="Check Box 1225" hidden="1">
              <a:extLst>
                <a:ext uri="{63B3BB69-23CF-44E3-9099-C40C66FF867C}">
                  <a14:compatExt spid="_x0000_s45257"/>
                </a:ext>
                <a:ext uri="{FF2B5EF4-FFF2-40B4-BE49-F238E27FC236}">
                  <a16:creationId xmlns:a16="http://schemas.microsoft.com/office/drawing/2014/main" id="{00000000-0008-0000-0300-0000C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147</xdr:row>
          <xdr:rowOff>19050</xdr:rowOff>
        </xdr:from>
        <xdr:to>
          <xdr:col>6</xdr:col>
          <xdr:colOff>323850</xdr:colOff>
          <xdr:row>147</xdr:row>
          <xdr:rowOff>180975</xdr:rowOff>
        </xdr:to>
        <xdr:sp macro="" textlink="">
          <xdr:nvSpPr>
            <xdr:cNvPr id="45258" name="Check Box 1226" hidden="1">
              <a:extLst>
                <a:ext uri="{63B3BB69-23CF-44E3-9099-C40C66FF867C}">
                  <a14:compatExt spid="_x0000_s45258"/>
                </a:ext>
                <a:ext uri="{FF2B5EF4-FFF2-40B4-BE49-F238E27FC236}">
                  <a16:creationId xmlns:a16="http://schemas.microsoft.com/office/drawing/2014/main" id="{00000000-0008-0000-0300-0000C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147</xdr:row>
          <xdr:rowOff>19050</xdr:rowOff>
        </xdr:from>
        <xdr:to>
          <xdr:col>6</xdr:col>
          <xdr:colOff>323850</xdr:colOff>
          <xdr:row>147</xdr:row>
          <xdr:rowOff>180975</xdr:rowOff>
        </xdr:to>
        <xdr:sp macro="" textlink="">
          <xdr:nvSpPr>
            <xdr:cNvPr id="45259" name="Check Box 1227" hidden="1">
              <a:extLst>
                <a:ext uri="{63B3BB69-23CF-44E3-9099-C40C66FF867C}">
                  <a14:compatExt spid="_x0000_s45259"/>
                </a:ext>
                <a:ext uri="{FF2B5EF4-FFF2-40B4-BE49-F238E27FC236}">
                  <a16:creationId xmlns:a16="http://schemas.microsoft.com/office/drawing/2014/main" id="{00000000-0008-0000-0300-0000C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164</xdr:row>
          <xdr:rowOff>19050</xdr:rowOff>
        </xdr:from>
        <xdr:to>
          <xdr:col>6</xdr:col>
          <xdr:colOff>323850</xdr:colOff>
          <xdr:row>164</xdr:row>
          <xdr:rowOff>180975</xdr:rowOff>
        </xdr:to>
        <xdr:sp macro="" textlink="">
          <xdr:nvSpPr>
            <xdr:cNvPr id="45260" name="Check Box 1228" hidden="1">
              <a:extLst>
                <a:ext uri="{63B3BB69-23CF-44E3-9099-C40C66FF867C}">
                  <a14:compatExt spid="_x0000_s45260"/>
                </a:ext>
                <a:ext uri="{FF2B5EF4-FFF2-40B4-BE49-F238E27FC236}">
                  <a16:creationId xmlns:a16="http://schemas.microsoft.com/office/drawing/2014/main" id="{00000000-0008-0000-0300-0000C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164</xdr:row>
          <xdr:rowOff>19050</xdr:rowOff>
        </xdr:from>
        <xdr:to>
          <xdr:col>6</xdr:col>
          <xdr:colOff>323850</xdr:colOff>
          <xdr:row>164</xdr:row>
          <xdr:rowOff>180975</xdr:rowOff>
        </xdr:to>
        <xdr:sp macro="" textlink="">
          <xdr:nvSpPr>
            <xdr:cNvPr id="45261" name="Check Box 1229" hidden="1">
              <a:extLst>
                <a:ext uri="{63B3BB69-23CF-44E3-9099-C40C66FF867C}">
                  <a14:compatExt spid="_x0000_s45261"/>
                </a:ext>
                <a:ext uri="{FF2B5EF4-FFF2-40B4-BE49-F238E27FC236}">
                  <a16:creationId xmlns:a16="http://schemas.microsoft.com/office/drawing/2014/main" id="{00000000-0008-0000-0300-0000C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181</xdr:row>
          <xdr:rowOff>19050</xdr:rowOff>
        </xdr:from>
        <xdr:to>
          <xdr:col>6</xdr:col>
          <xdr:colOff>323850</xdr:colOff>
          <xdr:row>181</xdr:row>
          <xdr:rowOff>180975</xdr:rowOff>
        </xdr:to>
        <xdr:sp macro="" textlink="">
          <xdr:nvSpPr>
            <xdr:cNvPr id="45262" name="Check Box 1230" hidden="1">
              <a:extLst>
                <a:ext uri="{63B3BB69-23CF-44E3-9099-C40C66FF867C}">
                  <a14:compatExt spid="_x0000_s45262"/>
                </a:ext>
                <a:ext uri="{FF2B5EF4-FFF2-40B4-BE49-F238E27FC236}">
                  <a16:creationId xmlns:a16="http://schemas.microsoft.com/office/drawing/2014/main" id="{00000000-0008-0000-0300-0000C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181</xdr:row>
          <xdr:rowOff>19050</xdr:rowOff>
        </xdr:from>
        <xdr:to>
          <xdr:col>6</xdr:col>
          <xdr:colOff>323850</xdr:colOff>
          <xdr:row>181</xdr:row>
          <xdr:rowOff>180975</xdr:rowOff>
        </xdr:to>
        <xdr:sp macro="" textlink="">
          <xdr:nvSpPr>
            <xdr:cNvPr id="45263" name="Check Box 1231" hidden="1">
              <a:extLst>
                <a:ext uri="{63B3BB69-23CF-44E3-9099-C40C66FF867C}">
                  <a14:compatExt spid="_x0000_s45263"/>
                </a:ext>
                <a:ext uri="{FF2B5EF4-FFF2-40B4-BE49-F238E27FC236}">
                  <a16:creationId xmlns:a16="http://schemas.microsoft.com/office/drawing/2014/main" id="{00000000-0008-0000-0300-0000C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5625</xdr:colOff>
      <xdr:row>2</xdr:row>
      <xdr:rowOff>262800</xdr:rowOff>
    </xdr:to>
    <xdr:pic>
      <xdr:nvPicPr>
        <xdr:cNvPr id="2" name="Picture 1">
          <a:extLst>
            <a:ext uri="{FF2B5EF4-FFF2-40B4-BE49-F238E27FC236}">
              <a16:creationId xmlns:a16="http://schemas.microsoft.com/office/drawing/2014/main" id="{00000000-0008-0000-0400-000002000000}"/>
            </a:ext>
          </a:extLst>
        </xdr:cNvPr>
        <xdr:cNvPicPr>
          <a:picLocks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0"/>
          <a:ext cx="720000"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5625</xdr:colOff>
      <xdr:row>3</xdr:row>
      <xdr:rowOff>24675</xdr:rowOff>
    </xdr:to>
    <xdr:pic>
      <xdr:nvPicPr>
        <xdr:cNvPr id="2" name="Picture 1">
          <a:extLst>
            <a:ext uri="{FF2B5EF4-FFF2-40B4-BE49-F238E27FC236}">
              <a16:creationId xmlns:a16="http://schemas.microsoft.com/office/drawing/2014/main" id="{00000000-0008-0000-0500-000002000000}"/>
            </a:ext>
          </a:extLst>
        </xdr:cNvPr>
        <xdr:cNvPicPr>
          <a:picLocks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0"/>
          <a:ext cx="720000"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514869</xdr:colOff>
      <xdr:row>6</xdr:row>
      <xdr:rowOff>41996</xdr:rowOff>
    </xdr:from>
    <xdr:to>
      <xdr:col>21</xdr:col>
      <xdr:colOff>548120</xdr:colOff>
      <xdr:row>27</xdr:row>
      <xdr:rowOff>41563</xdr:rowOff>
    </xdr:to>
    <xdr:graphicFrame macro="">
      <xdr:nvGraphicFramePr>
        <xdr:cNvPr id="4" name="Chart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ZAPS">
      <a:majorFont>
        <a:latin typeface="Vectrex"/>
        <a:ea typeface=""/>
        <a:cs typeface=""/>
      </a:majorFont>
      <a:minorFont>
        <a:latin typeface="Inter"/>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zaps.si/poklicna-praksa/sklepanje-poslov/ponudba-pogodba/" TargetMode="External"/><Relationship Id="rId1" Type="http://schemas.openxmlformats.org/officeDocument/2006/relationships/hyperlink" Target="https://zaps.si/poklicna-praksa/standard-zaps/standard-zaps-splosno-o-standardu/"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5.xml"/><Relationship Id="rId13" Type="http://schemas.openxmlformats.org/officeDocument/2006/relationships/ctrlProp" Target="../ctrlProps/ctrlProp50.xml"/><Relationship Id="rId18" Type="http://schemas.openxmlformats.org/officeDocument/2006/relationships/ctrlProp" Target="../ctrlProps/ctrlProp55.xml"/><Relationship Id="rId26" Type="http://schemas.openxmlformats.org/officeDocument/2006/relationships/ctrlProp" Target="../ctrlProps/ctrlProp63.xml"/><Relationship Id="rId39" Type="http://schemas.openxmlformats.org/officeDocument/2006/relationships/ctrlProp" Target="../ctrlProps/ctrlProp76.xml"/><Relationship Id="rId3" Type="http://schemas.openxmlformats.org/officeDocument/2006/relationships/vmlDrawing" Target="../drawings/vmlDrawing2.vml"/><Relationship Id="rId21" Type="http://schemas.openxmlformats.org/officeDocument/2006/relationships/ctrlProp" Target="../ctrlProps/ctrlProp58.xml"/><Relationship Id="rId34" Type="http://schemas.openxmlformats.org/officeDocument/2006/relationships/ctrlProp" Target="../ctrlProps/ctrlProp71.xml"/><Relationship Id="rId7" Type="http://schemas.openxmlformats.org/officeDocument/2006/relationships/ctrlProp" Target="../ctrlProps/ctrlProp44.xml"/><Relationship Id="rId12" Type="http://schemas.openxmlformats.org/officeDocument/2006/relationships/ctrlProp" Target="../ctrlProps/ctrlProp49.xml"/><Relationship Id="rId17" Type="http://schemas.openxmlformats.org/officeDocument/2006/relationships/ctrlProp" Target="../ctrlProps/ctrlProp54.xml"/><Relationship Id="rId25" Type="http://schemas.openxmlformats.org/officeDocument/2006/relationships/ctrlProp" Target="../ctrlProps/ctrlProp62.xml"/><Relationship Id="rId33" Type="http://schemas.openxmlformats.org/officeDocument/2006/relationships/ctrlProp" Target="../ctrlProps/ctrlProp70.xml"/><Relationship Id="rId38" Type="http://schemas.openxmlformats.org/officeDocument/2006/relationships/ctrlProp" Target="../ctrlProps/ctrlProp75.xml"/><Relationship Id="rId2" Type="http://schemas.openxmlformats.org/officeDocument/2006/relationships/drawing" Target="../drawings/drawing3.xml"/><Relationship Id="rId16" Type="http://schemas.openxmlformats.org/officeDocument/2006/relationships/ctrlProp" Target="../ctrlProps/ctrlProp53.xml"/><Relationship Id="rId20" Type="http://schemas.openxmlformats.org/officeDocument/2006/relationships/ctrlProp" Target="../ctrlProps/ctrlProp57.xml"/><Relationship Id="rId29" Type="http://schemas.openxmlformats.org/officeDocument/2006/relationships/ctrlProp" Target="../ctrlProps/ctrlProp66.xml"/><Relationship Id="rId1" Type="http://schemas.openxmlformats.org/officeDocument/2006/relationships/printerSettings" Target="../printerSettings/printerSettings3.bin"/><Relationship Id="rId6" Type="http://schemas.openxmlformats.org/officeDocument/2006/relationships/ctrlProp" Target="../ctrlProps/ctrlProp43.xml"/><Relationship Id="rId11" Type="http://schemas.openxmlformats.org/officeDocument/2006/relationships/ctrlProp" Target="../ctrlProps/ctrlProp48.xml"/><Relationship Id="rId24" Type="http://schemas.openxmlformats.org/officeDocument/2006/relationships/ctrlProp" Target="../ctrlProps/ctrlProp61.xml"/><Relationship Id="rId32" Type="http://schemas.openxmlformats.org/officeDocument/2006/relationships/ctrlProp" Target="../ctrlProps/ctrlProp69.xml"/><Relationship Id="rId37" Type="http://schemas.openxmlformats.org/officeDocument/2006/relationships/ctrlProp" Target="../ctrlProps/ctrlProp74.xml"/><Relationship Id="rId5" Type="http://schemas.openxmlformats.org/officeDocument/2006/relationships/ctrlProp" Target="../ctrlProps/ctrlProp42.xml"/><Relationship Id="rId15" Type="http://schemas.openxmlformats.org/officeDocument/2006/relationships/ctrlProp" Target="../ctrlProps/ctrlProp52.xml"/><Relationship Id="rId23" Type="http://schemas.openxmlformats.org/officeDocument/2006/relationships/ctrlProp" Target="../ctrlProps/ctrlProp60.xml"/><Relationship Id="rId28" Type="http://schemas.openxmlformats.org/officeDocument/2006/relationships/ctrlProp" Target="../ctrlProps/ctrlProp65.xml"/><Relationship Id="rId36" Type="http://schemas.openxmlformats.org/officeDocument/2006/relationships/ctrlProp" Target="../ctrlProps/ctrlProp73.xml"/><Relationship Id="rId10" Type="http://schemas.openxmlformats.org/officeDocument/2006/relationships/ctrlProp" Target="../ctrlProps/ctrlProp47.xml"/><Relationship Id="rId19" Type="http://schemas.openxmlformats.org/officeDocument/2006/relationships/ctrlProp" Target="../ctrlProps/ctrlProp56.xml"/><Relationship Id="rId31" Type="http://schemas.openxmlformats.org/officeDocument/2006/relationships/ctrlProp" Target="../ctrlProps/ctrlProp68.xml"/><Relationship Id="rId4" Type="http://schemas.openxmlformats.org/officeDocument/2006/relationships/ctrlProp" Target="../ctrlProps/ctrlProp41.xml"/><Relationship Id="rId9" Type="http://schemas.openxmlformats.org/officeDocument/2006/relationships/ctrlProp" Target="../ctrlProps/ctrlProp46.xml"/><Relationship Id="rId14" Type="http://schemas.openxmlformats.org/officeDocument/2006/relationships/ctrlProp" Target="../ctrlProps/ctrlProp51.xml"/><Relationship Id="rId22" Type="http://schemas.openxmlformats.org/officeDocument/2006/relationships/ctrlProp" Target="../ctrlProps/ctrlProp59.xml"/><Relationship Id="rId27" Type="http://schemas.openxmlformats.org/officeDocument/2006/relationships/ctrlProp" Target="../ctrlProps/ctrlProp64.xml"/><Relationship Id="rId30" Type="http://schemas.openxmlformats.org/officeDocument/2006/relationships/ctrlProp" Target="../ctrlProps/ctrlProp67.xml"/><Relationship Id="rId35" Type="http://schemas.openxmlformats.org/officeDocument/2006/relationships/ctrlProp" Target="../ctrlProps/ctrlProp7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pageSetUpPr fitToPage="1"/>
  </sheetPr>
  <dimension ref="A1:J57"/>
  <sheetViews>
    <sheetView showGridLines="0" tabSelected="1" workbookViewId="0">
      <selection activeCell="D44" sqref="D44"/>
    </sheetView>
    <sheetView tabSelected="1" workbookViewId="1">
      <selection activeCell="B9" sqref="B9"/>
    </sheetView>
  </sheetViews>
  <sheetFormatPr defaultColWidth="9.140625" defaultRowHeight="12.75" x14ac:dyDescent="0.2"/>
  <cols>
    <col min="1" max="1" width="11.28515625" style="32" customWidth="1"/>
    <col min="2" max="2" width="102" style="28" customWidth="1"/>
    <col min="3" max="3" width="11.85546875" style="33" customWidth="1"/>
    <col min="4" max="4" width="69.7109375" style="28" customWidth="1"/>
    <col min="5" max="5" width="11.5703125" style="28" customWidth="1"/>
    <col min="6" max="6" width="14.85546875" style="28" customWidth="1"/>
    <col min="7" max="8" width="9.140625" style="28"/>
    <col min="9" max="9" width="11.85546875" style="28" customWidth="1"/>
    <col min="10" max="11" width="9.140625" style="28"/>
    <col min="12" max="12" width="18.7109375" style="28" customWidth="1"/>
    <col min="13" max="13" width="9.140625" style="28"/>
    <col min="14" max="14" width="27.5703125" style="28" customWidth="1"/>
    <col min="15" max="15" width="13.7109375" style="28" customWidth="1"/>
    <col min="16" max="16384" width="9.140625" style="28"/>
  </cols>
  <sheetData>
    <row r="1" spans="1:10" s="16" customFormat="1" ht="24" customHeight="1" x14ac:dyDescent="0.2"/>
    <row r="2" spans="1:10" s="17" customFormat="1" ht="11.25" customHeight="1" x14ac:dyDescent="0.3"/>
    <row r="3" spans="1:10" s="16" customFormat="1" ht="26.25" x14ac:dyDescent="0.4">
      <c r="A3" s="17"/>
      <c r="B3" s="236" t="str">
        <f>'OSNOVNI PODATKI'!B3</f>
        <v>ARHIGRAM 6</v>
      </c>
      <c r="C3" s="17"/>
      <c r="D3" s="17"/>
      <c r="E3" s="17"/>
      <c r="F3" s="17"/>
      <c r="G3" s="17"/>
      <c r="H3" s="17"/>
      <c r="I3" s="18"/>
      <c r="J3" s="18"/>
    </row>
    <row r="4" spans="1:10" s="18" customFormat="1" ht="25.5" x14ac:dyDescent="0.25">
      <c r="A4" s="41"/>
      <c r="B4" s="229" t="str">
        <f>'OSNOVNI PODATKI'!B4</f>
        <v>Vrednotenje storitev na področju arhitekturnega 
in krajinskoarhitekturnega projektiranja</v>
      </c>
    </row>
    <row r="5" spans="1:10" s="18" customFormat="1" ht="15.75" x14ac:dyDescent="0.25">
      <c r="A5" s="40" t="str">
        <f>'OSNOVNI PODATKI'!$A$5</f>
        <v>V 6.12</v>
      </c>
      <c r="B5" s="319" t="str">
        <f>'OSNOVNI PODATKI'!B5</f>
        <v>julij 2023</v>
      </c>
    </row>
    <row r="6" spans="1:10" s="16" customFormat="1" x14ac:dyDescent="0.2">
      <c r="A6" s="488"/>
      <c r="B6" s="229"/>
    </row>
    <row r="7" spans="1:10" s="18" customFormat="1" ht="26.25" x14ac:dyDescent="0.25">
      <c r="A7" s="1" t="s">
        <v>211</v>
      </c>
      <c r="B7" s="230"/>
      <c r="C7" s="230"/>
      <c r="D7" s="230"/>
      <c r="E7" s="340"/>
      <c r="F7" s="230"/>
    </row>
    <row r="8" spans="1:10" s="18" customFormat="1" ht="15.75" x14ac:dyDescent="0.25">
      <c r="A8" s="41"/>
      <c r="B8" s="789"/>
      <c r="C8" s="229"/>
      <c r="D8" s="229"/>
      <c r="E8" s="229"/>
      <c r="F8" s="229"/>
    </row>
    <row r="9" spans="1:10" s="18" customFormat="1" ht="63.75" x14ac:dyDescent="0.25">
      <c r="A9" s="41"/>
      <c r="B9" s="789" t="s">
        <v>1092</v>
      </c>
      <c r="C9" s="229"/>
      <c r="D9" s="229"/>
      <c r="E9" s="229"/>
      <c r="F9" s="229"/>
    </row>
    <row r="10" spans="1:10" s="18" customFormat="1" ht="15.75" x14ac:dyDescent="0.25">
      <c r="A10" s="41"/>
      <c r="B10" s="789"/>
      <c r="C10" s="229"/>
      <c r="D10" s="229"/>
      <c r="E10" s="229"/>
      <c r="F10" s="229"/>
    </row>
    <row r="11" spans="1:10" s="18" customFormat="1" ht="38.25" x14ac:dyDescent="0.25">
      <c r="B11" s="789" t="s">
        <v>1082</v>
      </c>
      <c r="C11" s="229"/>
      <c r="D11" s="229"/>
      <c r="E11" s="229"/>
      <c r="F11" s="229"/>
    </row>
    <row r="12" spans="1:10" s="18" customFormat="1" ht="15.75" x14ac:dyDescent="0.25">
      <c r="B12" s="789"/>
      <c r="C12" s="229"/>
      <c r="D12" s="229"/>
      <c r="E12" s="229"/>
      <c r="F12" s="229"/>
    </row>
    <row r="13" spans="1:10" s="18" customFormat="1" ht="63.75" x14ac:dyDescent="0.25">
      <c r="B13" s="789" t="s">
        <v>1083</v>
      </c>
      <c r="C13" s="229"/>
      <c r="D13" s="229"/>
      <c r="E13" s="229"/>
      <c r="F13" s="229"/>
    </row>
    <row r="14" spans="1:10" s="18" customFormat="1" ht="15.75" x14ac:dyDescent="0.25">
      <c r="B14" s="789"/>
      <c r="C14" s="229"/>
      <c r="D14" s="229"/>
      <c r="E14" s="229"/>
      <c r="F14" s="229"/>
    </row>
    <row r="15" spans="1:10" s="18" customFormat="1" ht="38.25" x14ac:dyDescent="0.25">
      <c r="B15" s="789" t="s">
        <v>1084</v>
      </c>
      <c r="C15" s="229"/>
      <c r="D15" s="229"/>
      <c r="E15" s="229"/>
      <c r="F15" s="229"/>
    </row>
    <row r="16" spans="1:10" s="18" customFormat="1" ht="15.75" x14ac:dyDescent="0.25">
      <c r="B16" s="789"/>
      <c r="C16" s="229"/>
      <c r="D16" s="229"/>
      <c r="E16" s="229"/>
      <c r="F16" s="229"/>
    </row>
    <row r="17" spans="1:6" s="18" customFormat="1" ht="38.25" x14ac:dyDescent="0.25">
      <c r="B17" s="789" t="s">
        <v>1094</v>
      </c>
      <c r="C17" s="229"/>
      <c r="D17" s="229"/>
      <c r="E17" s="229"/>
      <c r="F17" s="229"/>
    </row>
    <row r="18" spans="1:6" s="18" customFormat="1" ht="15.75" x14ac:dyDescent="0.25">
      <c r="B18" s="789"/>
      <c r="C18" s="229"/>
      <c r="D18" s="229"/>
      <c r="E18" s="229"/>
      <c r="F18" s="229"/>
    </row>
    <row r="19" spans="1:6" s="18" customFormat="1" ht="76.5" x14ac:dyDescent="0.25">
      <c r="B19" s="789" t="s">
        <v>1085</v>
      </c>
      <c r="C19" s="229"/>
      <c r="D19" s="229"/>
      <c r="E19" s="229"/>
      <c r="F19" s="229"/>
    </row>
    <row r="20" spans="1:6" s="18" customFormat="1" ht="15.75" x14ac:dyDescent="0.25">
      <c r="B20" s="789"/>
      <c r="C20" s="229"/>
      <c r="D20" s="229"/>
      <c r="E20" s="229"/>
      <c r="F20" s="229"/>
    </row>
    <row r="21" spans="1:6" s="18" customFormat="1" ht="38.25" x14ac:dyDescent="0.25">
      <c r="A21" s="64"/>
      <c r="B21" s="789" t="s">
        <v>1086</v>
      </c>
      <c r="C21" s="229"/>
      <c r="D21" s="229"/>
      <c r="E21" s="229"/>
      <c r="F21" s="229"/>
    </row>
    <row r="22" spans="1:6" s="18" customFormat="1" ht="15.75" x14ac:dyDescent="0.25">
      <c r="B22" s="789"/>
      <c r="C22" s="229"/>
      <c r="D22" s="229"/>
      <c r="E22" s="229"/>
      <c r="F22" s="229"/>
    </row>
    <row r="23" spans="1:6" s="18" customFormat="1" ht="15.75" x14ac:dyDescent="0.25">
      <c r="A23" s="64"/>
      <c r="B23" s="789" t="s">
        <v>1151</v>
      </c>
      <c r="C23" s="229"/>
      <c r="D23" s="229"/>
      <c r="E23" s="229"/>
      <c r="F23" s="229"/>
    </row>
    <row r="24" spans="1:6" s="18" customFormat="1" ht="15.75" x14ac:dyDescent="0.25">
      <c r="A24" s="64"/>
      <c r="B24" s="791" t="s">
        <v>1100</v>
      </c>
      <c r="C24" s="229"/>
      <c r="D24" s="229"/>
      <c r="E24" s="229"/>
      <c r="F24" s="229"/>
    </row>
    <row r="25" spans="1:6" s="18" customFormat="1" ht="15.75" x14ac:dyDescent="0.25">
      <c r="A25" s="64"/>
      <c r="B25" s="791" t="s">
        <v>1101</v>
      </c>
      <c r="C25" s="229"/>
      <c r="D25" s="229"/>
      <c r="E25" s="229"/>
      <c r="F25" s="229"/>
    </row>
    <row r="26" spans="1:6" s="18" customFormat="1" ht="15.75" x14ac:dyDescent="0.25">
      <c r="A26" s="64"/>
      <c r="B26" s="789"/>
      <c r="C26" s="229"/>
      <c r="D26" s="229"/>
      <c r="E26" s="229"/>
      <c r="F26" s="229"/>
    </row>
    <row r="27" spans="1:6" s="18" customFormat="1" ht="18.75" x14ac:dyDescent="0.25">
      <c r="A27" s="1" t="s">
        <v>1096</v>
      </c>
      <c r="B27" s="789"/>
      <c r="C27" s="229"/>
      <c r="D27" s="229"/>
      <c r="E27" s="229"/>
      <c r="F27" s="229"/>
    </row>
    <row r="28" spans="1:6" s="18" customFormat="1" ht="15.75" x14ac:dyDescent="0.25">
      <c r="A28" s="776"/>
      <c r="B28" s="790"/>
      <c r="C28" s="229"/>
      <c r="D28" s="229"/>
      <c r="E28" s="229"/>
      <c r="F28" s="229"/>
    </row>
    <row r="29" spans="1:6" s="18" customFormat="1" ht="15.75" x14ac:dyDescent="0.25">
      <c r="A29" s="780" t="s">
        <v>221</v>
      </c>
      <c r="B29" s="789"/>
      <c r="C29" s="229"/>
      <c r="D29" s="229"/>
      <c r="E29" s="229"/>
      <c r="F29" s="229"/>
    </row>
    <row r="30" spans="1:6" s="18" customFormat="1" ht="15.75" x14ac:dyDescent="0.25">
      <c r="A30" s="64"/>
      <c r="B30" s="789" t="s">
        <v>1097</v>
      </c>
      <c r="C30" s="229"/>
      <c r="D30" s="229"/>
      <c r="E30" s="229"/>
      <c r="F30" s="229"/>
    </row>
    <row r="31" spans="1:6" s="18" customFormat="1" ht="15.75" x14ac:dyDescent="0.25">
      <c r="A31" s="776"/>
      <c r="B31" s="790"/>
      <c r="C31" s="229"/>
      <c r="D31" s="229"/>
      <c r="E31" s="229"/>
      <c r="F31" s="229"/>
    </row>
    <row r="32" spans="1:6" s="18" customFormat="1" ht="15.75" x14ac:dyDescent="0.25">
      <c r="A32" s="780" t="s">
        <v>1098</v>
      </c>
      <c r="B32" s="789"/>
      <c r="C32" s="229"/>
      <c r="D32" s="229"/>
      <c r="E32" s="229"/>
      <c r="F32" s="229"/>
    </row>
    <row r="33" spans="1:6" s="18" customFormat="1" ht="15.75" x14ac:dyDescent="0.25">
      <c r="A33" s="64"/>
      <c r="B33" s="789" t="s">
        <v>1099</v>
      </c>
      <c r="C33" s="229"/>
      <c r="D33" s="229"/>
      <c r="E33" s="229"/>
      <c r="F33" s="229"/>
    </row>
    <row r="34" spans="1:6" s="18" customFormat="1" ht="15.75" x14ac:dyDescent="0.25">
      <c r="A34" s="776"/>
      <c r="B34" s="790"/>
      <c r="C34" s="229"/>
      <c r="D34" s="229"/>
      <c r="E34" s="229"/>
      <c r="F34" s="229"/>
    </row>
    <row r="35" spans="1:6" s="18" customFormat="1" ht="15.75" x14ac:dyDescent="0.25">
      <c r="A35" s="780" t="s">
        <v>938</v>
      </c>
      <c r="B35" s="789"/>
      <c r="C35" s="229"/>
      <c r="D35" s="229"/>
      <c r="E35" s="229"/>
      <c r="F35" s="229"/>
    </row>
    <row r="36" spans="1:6" s="18" customFormat="1" ht="25.5" x14ac:dyDescent="0.25">
      <c r="A36" s="64"/>
      <c r="B36" s="789" t="s">
        <v>1117</v>
      </c>
      <c r="C36" s="229"/>
      <c r="D36" s="229"/>
      <c r="E36" s="229"/>
      <c r="F36" s="229"/>
    </row>
    <row r="37" spans="1:6" s="18" customFormat="1" ht="15.75" x14ac:dyDescent="0.25">
      <c r="A37" s="776"/>
      <c r="B37" s="790"/>
      <c r="C37" s="229"/>
      <c r="D37" s="229"/>
      <c r="E37" s="229"/>
      <c r="F37" s="229"/>
    </row>
    <row r="38" spans="1:6" s="18" customFormat="1" ht="15.75" x14ac:dyDescent="0.25">
      <c r="A38" s="780" t="s">
        <v>747</v>
      </c>
      <c r="B38" s="789"/>
      <c r="C38" s="229"/>
      <c r="D38" s="229"/>
      <c r="E38" s="229"/>
      <c r="F38" s="229"/>
    </row>
    <row r="39" spans="1:6" s="18" customFormat="1" ht="63.75" x14ac:dyDescent="0.25">
      <c r="A39" s="64"/>
      <c r="B39" s="789" t="s">
        <v>1118</v>
      </c>
      <c r="C39" s="229"/>
      <c r="D39" s="229"/>
      <c r="E39" s="229"/>
      <c r="F39" s="229"/>
    </row>
    <row r="40" spans="1:6" s="18" customFormat="1" ht="15.75" x14ac:dyDescent="0.25">
      <c r="A40" s="776"/>
      <c r="B40" s="790"/>
      <c r="C40" s="229"/>
      <c r="D40" s="229"/>
      <c r="E40" s="229"/>
      <c r="F40" s="229"/>
    </row>
    <row r="41" spans="1:6" s="18" customFormat="1" ht="15.75" x14ac:dyDescent="0.25">
      <c r="A41" s="780" t="s">
        <v>214</v>
      </c>
      <c r="B41" s="789"/>
      <c r="C41" s="229"/>
      <c r="D41" s="229"/>
      <c r="E41" s="229"/>
      <c r="F41" s="229"/>
    </row>
    <row r="42" spans="1:6" s="18" customFormat="1" ht="25.5" x14ac:dyDescent="0.25">
      <c r="A42" s="64"/>
      <c r="B42" s="789" t="s">
        <v>1119</v>
      </c>
      <c r="C42" s="229"/>
      <c r="D42" s="229"/>
      <c r="E42" s="229"/>
      <c r="F42" s="229"/>
    </row>
    <row r="43" spans="1:6" s="18" customFormat="1" ht="15.75" x14ac:dyDescent="0.25">
      <c r="A43" s="776"/>
      <c r="B43" s="790"/>
      <c r="C43" s="229"/>
      <c r="D43" s="229"/>
      <c r="E43" s="229"/>
      <c r="F43" s="229"/>
    </row>
    <row r="44" spans="1:6" s="18" customFormat="1" ht="15.75" x14ac:dyDescent="0.25">
      <c r="A44" s="780" t="s">
        <v>876</v>
      </c>
      <c r="B44" s="789"/>
      <c r="C44" s="229"/>
      <c r="D44" s="229"/>
      <c r="E44" s="229"/>
      <c r="F44" s="229"/>
    </row>
    <row r="45" spans="1:6" s="18" customFormat="1" ht="25.5" x14ac:dyDescent="0.25">
      <c r="A45" s="64"/>
      <c r="B45" s="789" t="s">
        <v>1113</v>
      </c>
      <c r="C45" s="229"/>
      <c r="D45" s="229"/>
      <c r="E45" s="229"/>
      <c r="F45" s="229"/>
    </row>
    <row r="46" spans="1:6" s="18" customFormat="1" ht="15.75" x14ac:dyDescent="0.25">
      <c r="A46" s="776"/>
      <c r="B46" s="790"/>
      <c r="C46" s="229"/>
      <c r="D46" s="229"/>
      <c r="E46" s="229"/>
      <c r="F46" s="229"/>
    </row>
    <row r="47" spans="1:6" s="18" customFormat="1" ht="15.75" x14ac:dyDescent="0.25">
      <c r="A47" s="780" t="s">
        <v>1115</v>
      </c>
      <c r="B47" s="789"/>
      <c r="C47" s="229"/>
      <c r="D47" s="229"/>
      <c r="E47" s="229"/>
      <c r="F47" s="229"/>
    </row>
    <row r="48" spans="1:6" s="18" customFormat="1" ht="25.5" x14ac:dyDescent="0.25">
      <c r="A48" s="64"/>
      <c r="B48" s="789" t="s">
        <v>1116</v>
      </c>
      <c r="C48" s="229"/>
      <c r="D48" s="229"/>
      <c r="E48" s="229"/>
      <c r="F48" s="229"/>
    </row>
    <row r="49" spans="1:6" s="18" customFormat="1" ht="15.75" x14ac:dyDescent="0.25">
      <c r="A49" s="64"/>
      <c r="B49" s="789"/>
      <c r="C49" s="229"/>
      <c r="D49" s="229"/>
      <c r="E49" s="229"/>
      <c r="F49" s="229"/>
    </row>
    <row r="50" spans="1:6" s="18" customFormat="1" ht="18.75" x14ac:dyDescent="0.25">
      <c r="A50" s="1" t="s">
        <v>1157</v>
      </c>
      <c r="B50" s="789"/>
      <c r="C50" s="229"/>
      <c r="D50" s="229"/>
      <c r="E50" s="229"/>
      <c r="F50" s="229"/>
    </row>
    <row r="51" spans="1:6" s="18" customFormat="1" ht="15.75" x14ac:dyDescent="0.25">
      <c r="A51" s="776"/>
      <c r="B51" s="790"/>
      <c r="C51" s="229"/>
      <c r="D51" s="229"/>
      <c r="E51" s="229"/>
      <c r="F51" s="229"/>
    </row>
    <row r="52" spans="1:6" s="18" customFormat="1" ht="15.75" x14ac:dyDescent="0.25">
      <c r="A52" s="1340" t="s">
        <v>1158</v>
      </c>
      <c r="B52" s="789"/>
      <c r="C52" s="229"/>
      <c r="D52" s="229"/>
      <c r="E52" s="229"/>
      <c r="F52" s="229"/>
    </row>
    <row r="53" spans="1:6" s="18" customFormat="1" ht="15.75" x14ac:dyDescent="0.25">
      <c r="A53" s="64"/>
      <c r="B53" s="789" t="s">
        <v>1159</v>
      </c>
      <c r="C53" s="229"/>
      <c r="D53" s="229"/>
      <c r="E53" s="229"/>
      <c r="F53" s="229"/>
    </row>
    <row r="54" spans="1:6" s="18" customFormat="1" ht="15.75" x14ac:dyDescent="0.25">
      <c r="A54" s="229"/>
      <c r="B54" s="229"/>
      <c r="C54" s="229"/>
      <c r="D54" s="229"/>
      <c r="E54" s="229"/>
      <c r="F54" s="229"/>
    </row>
    <row r="55" spans="1:6" s="18" customFormat="1" ht="15.75" x14ac:dyDescent="0.25">
      <c r="A55" s="229"/>
      <c r="B55" s="229"/>
      <c r="C55" s="229"/>
      <c r="D55" s="229"/>
      <c r="E55" s="229"/>
      <c r="F55" s="229"/>
    </row>
    <row r="57" spans="1:6" ht="15.75" x14ac:dyDescent="0.25">
      <c r="A57" s="31"/>
      <c r="B57" s="222" t="str">
        <f>'OSNOVNI PODATKI'!$B$409</f>
        <v>© 2023 ZAPS, vse pravice pridržane</v>
      </c>
      <c r="C57" s="26"/>
      <c r="D57" s="27"/>
    </row>
  </sheetData>
  <hyperlinks>
    <hyperlink ref="B24" r:id="rId1" xr:uid="{357F7C01-AB6D-4C4C-B531-A7E600749601}"/>
    <hyperlink ref="B25" r:id="rId2" xr:uid="{81154387-0E7E-47EF-9D67-9366A63CCE72}"/>
  </hyperlinks>
  <pageMargins left="0.7" right="0.7" top="0.75" bottom="0.75" header="0.3" footer="0.3"/>
  <pageSetup paperSize="8" fitToHeight="0"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X192"/>
  <sheetViews>
    <sheetView showGridLines="0" topLeftCell="A115" workbookViewId="0">
      <selection activeCell="B148" sqref="B148"/>
    </sheetView>
    <sheetView workbookViewId="1"/>
  </sheetViews>
  <sheetFormatPr defaultColWidth="9.140625" defaultRowHeight="12.75" x14ac:dyDescent="0.2"/>
  <cols>
    <col min="1" max="1" width="8.140625" style="76" customWidth="1"/>
    <col min="2" max="2" width="28.140625" style="76" customWidth="1"/>
    <col min="3" max="12" width="13.5703125" style="76" customWidth="1"/>
    <col min="13" max="17" width="9.140625" style="76"/>
    <col min="18" max="18" width="11" style="76" customWidth="1"/>
    <col min="19" max="23" width="9.140625" style="76"/>
    <col min="24" max="24" width="12.28515625" style="76" customWidth="1"/>
    <col min="25" max="16384" width="9.140625" style="76"/>
  </cols>
  <sheetData>
    <row r="1" spans="1:12" ht="26.25" x14ac:dyDescent="0.2">
      <c r="B1" s="5" t="s">
        <v>477</v>
      </c>
      <c r="C1" s="4"/>
      <c r="D1" s="4"/>
      <c r="E1" s="4"/>
      <c r="F1" s="4"/>
      <c r="G1" s="4"/>
      <c r="H1" s="4"/>
      <c r="I1"/>
      <c r="J1"/>
      <c r="K1"/>
      <c r="L1"/>
    </row>
    <row r="2" spans="1:12" ht="13.5" thickBot="1" x14ac:dyDescent="0.25"/>
    <row r="3" spans="1:12" s="78" customFormat="1" ht="18.75" x14ac:dyDescent="0.2">
      <c r="A3" s="831" t="s">
        <v>936</v>
      </c>
      <c r="B3" s="831"/>
      <c r="C3" s="831"/>
      <c r="D3" s="831"/>
      <c r="E3" s="831"/>
      <c r="F3" s="831"/>
      <c r="G3" s="831"/>
      <c r="H3" s="831"/>
      <c r="I3" s="831"/>
    </row>
    <row r="4" spans="1:12" s="78" customFormat="1" ht="18.75" x14ac:dyDescent="0.2">
      <c r="A4" s="882"/>
      <c r="B4" s="882"/>
      <c r="C4" s="882"/>
      <c r="D4" s="882"/>
      <c r="E4" s="882"/>
      <c r="F4" s="882"/>
      <c r="G4" s="882"/>
      <c r="H4" s="882"/>
      <c r="I4" s="882"/>
    </row>
    <row r="5" spans="1:12" s="78" customFormat="1" x14ac:dyDescent="0.2">
      <c r="A5" s="81"/>
      <c r="B5" s="550" t="s">
        <v>950</v>
      </c>
      <c r="C5" s="657">
        <f>'OSNOVNI PODATKI'!F231</f>
        <v>1</v>
      </c>
      <c r="D5" s="550" t="str">
        <f>IF(C5=1,'OSNOVNI PODATKI'!B231,'OSNOVNI PODATKI'!B232)</f>
        <v>MED SEBOJ POVEZANE UREDITVE (PRI IZRAČUNU POTREBNIH NU SE UPOŠTEVA SEŠTEVEK POVRŠIN)</v>
      </c>
      <c r="E5" s="509"/>
      <c r="F5" s="509"/>
      <c r="G5" s="210"/>
      <c r="H5" s="210"/>
      <c r="I5" s="210"/>
    </row>
    <row r="6" spans="1:12" s="78" customFormat="1" x14ac:dyDescent="0.2">
      <c r="A6" s="81"/>
      <c r="B6" s="550" t="s">
        <v>951</v>
      </c>
      <c r="C6" s="632">
        <f>'OSNOVNI PODATKI'!E344</f>
        <v>0</v>
      </c>
      <c r="D6" s="550"/>
      <c r="E6" s="509"/>
      <c r="F6" s="509"/>
      <c r="G6" s="210"/>
      <c r="H6" s="210"/>
      <c r="I6" s="210"/>
    </row>
    <row r="7" spans="1:12" s="78" customFormat="1" x14ac:dyDescent="0.2">
      <c r="A7" s="81"/>
      <c r="D7" s="212"/>
      <c r="E7" s="212"/>
      <c r="F7" s="212"/>
    </row>
    <row r="8" spans="1:12" s="78" customFormat="1" x14ac:dyDescent="0.2">
      <c r="A8" s="81"/>
      <c r="B8" s="212" t="str">
        <f>'OSNOVNI PODATKI'!A234</f>
        <v>OBJEKT 1 / DEL 1</v>
      </c>
      <c r="C8" s="553">
        <f>'OSNOVNI PODATKI'!E234</f>
        <v>0</v>
      </c>
      <c r="D8" s="212"/>
      <c r="E8" s="212"/>
      <c r="F8" s="212"/>
    </row>
    <row r="9" spans="1:12" s="78" customFormat="1" x14ac:dyDescent="0.2">
      <c r="A9" s="81"/>
      <c r="B9" s="205" t="s">
        <v>722</v>
      </c>
      <c r="C9" s="86">
        <f>'OSNOVNI PODATKI'!E235</f>
        <v>0</v>
      </c>
      <c r="D9" s="509"/>
      <c r="E9" s="509"/>
      <c r="F9" s="509"/>
      <c r="G9" s="509"/>
      <c r="H9" s="509"/>
      <c r="I9" s="509"/>
    </row>
    <row r="10" spans="1:12" s="78" customFormat="1" x14ac:dyDescent="0.2">
      <c r="A10" s="81"/>
      <c r="B10" s="205" t="s">
        <v>952</v>
      </c>
      <c r="C10" s="86">
        <f>'OSNOVNI PODATKI'!E236</f>
        <v>0</v>
      </c>
      <c r="D10" s="509"/>
      <c r="E10" s="509"/>
      <c r="F10" s="509"/>
      <c r="G10" s="509"/>
      <c r="H10" s="509"/>
      <c r="I10" s="509"/>
    </row>
    <row r="11" spans="1:12" s="78" customFormat="1" x14ac:dyDescent="0.2">
      <c r="A11" s="81"/>
      <c r="B11" s="205" t="s">
        <v>953</v>
      </c>
      <c r="C11" s="86">
        <f>IF($C$5=1,$C$6,C10)</f>
        <v>0</v>
      </c>
      <c r="D11" s="509"/>
      <c r="E11" s="509"/>
      <c r="F11" s="509"/>
      <c r="G11" s="509"/>
      <c r="H11" s="509"/>
      <c r="I11" s="509"/>
    </row>
    <row r="12" spans="1:12" s="78" customFormat="1" x14ac:dyDescent="0.2">
      <c r="A12" s="81"/>
      <c r="B12" s="550" t="s">
        <v>885</v>
      </c>
      <c r="C12" s="660" t="str">
        <f>'OSNOVNI PODATKI'!E239</f>
        <v/>
      </c>
      <c r="D12" s="509"/>
      <c r="E12" s="509"/>
      <c r="F12" s="509"/>
      <c r="G12" s="509"/>
      <c r="H12" s="509"/>
      <c r="I12" s="509"/>
    </row>
    <row r="13" spans="1:12" s="78" customFormat="1" x14ac:dyDescent="0.2">
      <c r="A13" s="81"/>
      <c r="B13" s="205" t="s">
        <v>117</v>
      </c>
      <c r="C13" s="86" t="str">
        <f>'OSNOVNI PODATKI'!E237</f>
        <v>Cenovni razred II</v>
      </c>
      <c r="D13" s="509"/>
      <c r="E13" s="509"/>
      <c r="F13" s="509"/>
      <c r="G13" s="509"/>
      <c r="H13" s="509"/>
      <c r="I13" s="509"/>
    </row>
    <row r="14" spans="1:12" s="78" customFormat="1" x14ac:dyDescent="0.2">
      <c r="A14" s="81"/>
      <c r="B14" s="542" t="s">
        <v>84</v>
      </c>
      <c r="C14" s="543" t="str">
        <f>IFERROR(0.0141*POWER(C11*(100+C12),0.8228)/C11,"/")</f>
        <v>/</v>
      </c>
      <c r="D14" s="544" t="s">
        <v>878</v>
      </c>
      <c r="E14" s="212"/>
      <c r="F14" s="212"/>
    </row>
    <row r="15" spans="1:12" s="78" customFormat="1" x14ac:dyDescent="0.2">
      <c r="A15" s="81"/>
      <c r="B15" s="545" t="s">
        <v>85</v>
      </c>
      <c r="C15" s="546" t="str">
        <f>IFERROR(0.0171*POWER(C11*(100+C12),0.8213)/C11,"/")</f>
        <v>/</v>
      </c>
      <c r="D15" s="508" t="s">
        <v>878</v>
      </c>
      <c r="E15" s="212"/>
      <c r="F15" s="212"/>
    </row>
    <row r="16" spans="1:12" s="78" customFormat="1" x14ac:dyDescent="0.2">
      <c r="A16" s="81"/>
      <c r="B16" s="545" t="s">
        <v>86</v>
      </c>
      <c r="C16" s="546" t="str">
        <f>IFERROR(0.0201*POWER(C11*(100+C12),0.8232)/C11,"/")</f>
        <v>/</v>
      </c>
      <c r="D16" s="508" t="s">
        <v>878</v>
      </c>
      <c r="E16" s="212"/>
      <c r="F16" s="212"/>
    </row>
    <row r="17" spans="1:9" s="78" customFormat="1" x14ac:dyDescent="0.2">
      <c r="A17" s="81"/>
      <c r="B17" s="545" t="s">
        <v>87</v>
      </c>
      <c r="C17" s="546" t="str">
        <f>IFERROR(0.0246*POWER(C11*(100+C12),0.8244)/C11,"/")</f>
        <v>/</v>
      </c>
      <c r="D17" s="508" t="s">
        <v>878</v>
      </c>
      <c r="E17" s="212"/>
      <c r="F17" s="212"/>
    </row>
    <row r="18" spans="1:9" s="78" customFormat="1" x14ac:dyDescent="0.2">
      <c r="A18" s="81"/>
      <c r="B18" s="545" t="s">
        <v>88</v>
      </c>
      <c r="C18" s="546" t="str">
        <f>IFERROR(0.0304*POWER(C11*(100+C12),0.818)/C11,"/")</f>
        <v>/</v>
      </c>
      <c r="D18" s="508" t="s">
        <v>878</v>
      </c>
      <c r="E18" s="212"/>
      <c r="F18" s="212"/>
    </row>
    <row r="19" spans="1:9" s="78" customFormat="1" x14ac:dyDescent="0.2">
      <c r="A19" s="81"/>
      <c r="B19" s="547" t="s">
        <v>884</v>
      </c>
      <c r="C19" s="546" t="str">
        <f>IFERROR(0.034*POWER(C11*(100+C12),0.8163)/C11,"/")</f>
        <v>/</v>
      </c>
      <c r="D19" s="506" t="s">
        <v>878</v>
      </c>
      <c r="E19" s="212"/>
      <c r="F19" s="212"/>
    </row>
    <row r="20" spans="1:9" s="78" customFormat="1" x14ac:dyDescent="0.2">
      <c r="A20" s="81"/>
      <c r="C20" s="86"/>
      <c r="D20" s="509"/>
      <c r="E20" s="509"/>
      <c r="F20" s="509"/>
      <c r="G20" s="509"/>
      <c r="H20" s="509"/>
      <c r="I20" s="509"/>
    </row>
    <row r="21" spans="1:9" s="78" customFormat="1" ht="14.25" x14ac:dyDescent="0.2">
      <c r="B21" s="86" t="s">
        <v>886</v>
      </c>
      <c r="C21" s="527" t="str">
        <f>IFERROR(LOOKUP(C13,B14:C18),"/")</f>
        <v>/</v>
      </c>
      <c r="D21" s="394" t="s">
        <v>877</v>
      </c>
      <c r="E21" s="509"/>
      <c r="F21" s="509"/>
      <c r="G21" s="509"/>
      <c r="H21" s="509"/>
      <c r="I21" s="509"/>
    </row>
    <row r="22" spans="1:9" s="78" customFormat="1" ht="14.25" x14ac:dyDescent="0.2">
      <c r="B22" s="86" t="s">
        <v>887</v>
      </c>
      <c r="C22" s="527" t="str" cm="1">
        <f t="array" ref="C22">IFERROR(INDEX(C14:C19,MATCH(C13,B14:B18)+1),"/")</f>
        <v>/</v>
      </c>
      <c r="D22" s="394" t="s">
        <v>877</v>
      </c>
      <c r="E22" s="509"/>
      <c r="F22" s="509"/>
      <c r="G22" s="509"/>
      <c r="H22" s="509"/>
      <c r="I22" s="509"/>
    </row>
    <row r="23" spans="1:9" s="78" customFormat="1" x14ac:dyDescent="0.2">
      <c r="B23" s="86" t="s">
        <v>737</v>
      </c>
      <c r="C23" s="551">
        <f>IFERROR(ROUND(C21*C10,0),0)</f>
        <v>0</v>
      </c>
      <c r="D23" s="394" t="s">
        <v>879</v>
      </c>
      <c r="E23" s="509"/>
      <c r="F23" s="509"/>
      <c r="G23" s="509"/>
      <c r="H23" s="509"/>
      <c r="I23" s="509"/>
    </row>
    <row r="24" spans="1:9" s="78" customFormat="1" x14ac:dyDescent="0.2">
      <c r="B24" s="86" t="s">
        <v>738</v>
      </c>
      <c r="C24" s="551">
        <f>IFERROR(ROUND(C22*C10,0),0)</f>
        <v>0</v>
      </c>
      <c r="D24" s="394" t="s">
        <v>879</v>
      </c>
      <c r="E24" s="509"/>
      <c r="F24" s="509"/>
      <c r="G24" s="509"/>
      <c r="H24" s="509"/>
      <c r="I24" s="509"/>
    </row>
    <row r="25" spans="1:9" s="78" customFormat="1" x14ac:dyDescent="0.2">
      <c r="A25" s="81"/>
      <c r="C25" s="300"/>
      <c r="D25" s="212"/>
      <c r="E25" s="212"/>
      <c r="F25" s="212"/>
    </row>
    <row r="26" spans="1:9" s="78" customFormat="1" x14ac:dyDescent="0.2">
      <c r="A26" s="81"/>
      <c r="B26" s="212" t="str">
        <f>'OSNOVNI PODATKI'!A252</f>
        <v>OBJEKT 2 / DEL 2</v>
      </c>
      <c r="C26" s="553">
        <f>'OSNOVNI PODATKI'!E252</f>
        <v>0</v>
      </c>
      <c r="D26" s="212"/>
      <c r="E26" s="212"/>
      <c r="F26" s="212"/>
    </row>
    <row r="27" spans="1:9" s="78" customFormat="1" x14ac:dyDescent="0.2">
      <c r="A27" s="81"/>
      <c r="B27" s="205" t="s">
        <v>722</v>
      </c>
      <c r="C27" s="86">
        <f>'OSNOVNI PODATKI'!E253</f>
        <v>0</v>
      </c>
      <c r="D27" s="509"/>
      <c r="E27" s="509"/>
      <c r="F27" s="509"/>
      <c r="G27" s="509"/>
      <c r="H27" s="509"/>
      <c r="I27" s="509"/>
    </row>
    <row r="28" spans="1:9" s="78" customFormat="1" x14ac:dyDescent="0.2">
      <c r="A28" s="81"/>
      <c r="B28" s="205" t="s">
        <v>952</v>
      </c>
      <c r="C28" s="86">
        <f>'OSNOVNI PODATKI'!E254</f>
        <v>0</v>
      </c>
      <c r="D28" s="509"/>
      <c r="E28" s="509"/>
      <c r="F28" s="509"/>
      <c r="G28" s="509"/>
      <c r="H28" s="509"/>
      <c r="I28" s="509"/>
    </row>
    <row r="29" spans="1:9" s="78" customFormat="1" x14ac:dyDescent="0.2">
      <c r="A29" s="81"/>
      <c r="B29" s="205" t="s">
        <v>953</v>
      </c>
      <c r="C29" s="86">
        <f>IF($C$5=1,$C$6,C28)</f>
        <v>0</v>
      </c>
      <c r="D29" s="509"/>
      <c r="E29" s="509"/>
      <c r="F29" s="509"/>
      <c r="G29" s="509"/>
      <c r="H29" s="509"/>
      <c r="I29" s="509"/>
    </row>
    <row r="30" spans="1:9" s="78" customFormat="1" x14ac:dyDescent="0.2">
      <c r="A30" s="81"/>
      <c r="B30" s="550" t="s">
        <v>885</v>
      </c>
      <c r="C30" s="660" t="str">
        <f>'OSNOVNI PODATKI'!E257</f>
        <v/>
      </c>
      <c r="D30" s="509"/>
      <c r="E30" s="509"/>
      <c r="F30" s="509"/>
      <c r="G30" s="509"/>
      <c r="H30" s="509"/>
      <c r="I30" s="509"/>
    </row>
    <row r="31" spans="1:9" s="78" customFormat="1" x14ac:dyDescent="0.2">
      <c r="A31" s="81"/>
      <c r="B31" s="205" t="s">
        <v>117</v>
      </c>
      <c r="C31" s="86" t="str">
        <f>'OSNOVNI PODATKI'!E255</f>
        <v>Cenovni razred II</v>
      </c>
      <c r="D31" s="509"/>
      <c r="E31" s="509"/>
      <c r="F31" s="509"/>
      <c r="G31" s="509"/>
      <c r="H31" s="509"/>
      <c r="I31" s="509"/>
    </row>
    <row r="32" spans="1:9" s="78" customFormat="1" x14ac:dyDescent="0.2">
      <c r="A32" s="81"/>
      <c r="B32" s="542" t="s">
        <v>84</v>
      </c>
      <c r="C32" s="543" t="str">
        <f>IFERROR(0.0141*POWER(C29*(100+C30),0.8228)/C29,"/")</f>
        <v>/</v>
      </c>
      <c r="D32" s="544" t="s">
        <v>878</v>
      </c>
      <c r="E32" s="212"/>
      <c r="F32" s="212"/>
    </row>
    <row r="33" spans="1:9" s="78" customFormat="1" x14ac:dyDescent="0.2">
      <c r="A33" s="81"/>
      <c r="B33" s="545" t="s">
        <v>85</v>
      </c>
      <c r="C33" s="546" t="str">
        <f>IFERROR(0.0171*POWER(C29*(100+C30),0.8213)/C29,"/")</f>
        <v>/</v>
      </c>
      <c r="D33" s="508" t="s">
        <v>878</v>
      </c>
      <c r="E33" s="212"/>
      <c r="F33" s="212"/>
    </row>
    <row r="34" spans="1:9" s="78" customFormat="1" x14ac:dyDescent="0.2">
      <c r="A34" s="81"/>
      <c r="B34" s="545" t="s">
        <v>86</v>
      </c>
      <c r="C34" s="546" t="str">
        <f>IFERROR(0.0201*POWER(C29*(100+C30),0.8232)/C29,"/")</f>
        <v>/</v>
      </c>
      <c r="D34" s="508" t="s">
        <v>878</v>
      </c>
      <c r="E34" s="212"/>
      <c r="F34" s="212"/>
    </row>
    <row r="35" spans="1:9" s="78" customFormat="1" x14ac:dyDescent="0.2">
      <c r="A35" s="81"/>
      <c r="B35" s="545" t="s">
        <v>87</v>
      </c>
      <c r="C35" s="546" t="str">
        <f>IFERROR(0.0246*POWER(C29*(100+C30),0.8244)/C29,"/")</f>
        <v>/</v>
      </c>
      <c r="D35" s="508" t="s">
        <v>878</v>
      </c>
      <c r="E35" s="212"/>
      <c r="F35" s="212"/>
    </row>
    <row r="36" spans="1:9" s="78" customFormat="1" x14ac:dyDescent="0.2">
      <c r="A36" s="81"/>
      <c r="B36" s="545" t="s">
        <v>88</v>
      </c>
      <c r="C36" s="546" t="str">
        <f>IFERROR(0.0304*POWER(C29*(100+C30),0.818)/C29,"/")</f>
        <v>/</v>
      </c>
      <c r="D36" s="508" t="s">
        <v>878</v>
      </c>
      <c r="E36" s="212"/>
      <c r="F36" s="212"/>
    </row>
    <row r="37" spans="1:9" s="78" customFormat="1" x14ac:dyDescent="0.2">
      <c r="A37" s="81"/>
      <c r="B37" s="547" t="s">
        <v>884</v>
      </c>
      <c r="C37" s="546" t="str">
        <f>IFERROR(0.034*POWER(C29*(100+C30),0.8163)/C29,"/")</f>
        <v>/</v>
      </c>
      <c r="D37" s="506" t="s">
        <v>878</v>
      </c>
      <c r="E37" s="212"/>
      <c r="F37" s="212"/>
    </row>
    <row r="38" spans="1:9" s="78" customFormat="1" x14ac:dyDescent="0.2">
      <c r="A38" s="81"/>
      <c r="C38" s="86"/>
      <c r="D38" s="509"/>
      <c r="E38" s="509"/>
      <c r="F38" s="509"/>
      <c r="G38" s="509"/>
      <c r="H38" s="509"/>
      <c r="I38" s="509"/>
    </row>
    <row r="39" spans="1:9" s="78" customFormat="1" ht="14.25" x14ac:dyDescent="0.2">
      <c r="B39" s="86" t="s">
        <v>886</v>
      </c>
      <c r="C39" s="527" t="str">
        <f>IFERROR(LOOKUP(C31,B32:C36),"/")</f>
        <v>/</v>
      </c>
      <c r="D39" s="394" t="s">
        <v>877</v>
      </c>
      <c r="E39" s="509"/>
      <c r="F39" s="509"/>
      <c r="G39" s="509"/>
      <c r="H39" s="509"/>
      <c r="I39" s="509"/>
    </row>
    <row r="40" spans="1:9" s="78" customFormat="1" ht="14.25" x14ac:dyDescent="0.2">
      <c r="B40" s="86" t="s">
        <v>887</v>
      </c>
      <c r="C40" s="527" t="str" cm="1">
        <f t="array" ref="C40">IFERROR(INDEX(C32:C37,MATCH(C31,B32:B36)+1),"/")</f>
        <v>/</v>
      </c>
      <c r="D40" s="394" t="s">
        <v>877</v>
      </c>
      <c r="E40" s="509"/>
      <c r="F40" s="509"/>
      <c r="G40" s="509"/>
      <c r="H40" s="509"/>
      <c r="I40" s="509"/>
    </row>
    <row r="41" spans="1:9" s="78" customFormat="1" x14ac:dyDescent="0.2">
      <c r="B41" s="86" t="s">
        <v>737</v>
      </c>
      <c r="C41" s="551">
        <f>IFERROR(ROUND(C39*C28,0),0)</f>
        <v>0</v>
      </c>
      <c r="D41" s="394" t="s">
        <v>879</v>
      </c>
      <c r="E41" s="509"/>
      <c r="F41" s="509"/>
      <c r="G41" s="509"/>
      <c r="H41" s="509"/>
      <c r="I41" s="509"/>
    </row>
    <row r="42" spans="1:9" s="78" customFormat="1" x14ac:dyDescent="0.2">
      <c r="B42" s="86" t="s">
        <v>738</v>
      </c>
      <c r="C42" s="551">
        <f>IFERROR(ROUND(C40*C28,0),0)</f>
        <v>0</v>
      </c>
      <c r="D42" s="394" t="s">
        <v>879</v>
      </c>
      <c r="E42" s="509"/>
      <c r="F42" s="509"/>
      <c r="G42" s="509"/>
      <c r="H42" s="509"/>
      <c r="I42" s="509"/>
    </row>
    <row r="43" spans="1:9" s="78" customFormat="1" x14ac:dyDescent="0.2">
      <c r="A43" s="81"/>
      <c r="C43" s="212"/>
      <c r="D43" s="212"/>
      <c r="E43" s="212"/>
      <c r="F43" s="212"/>
    </row>
    <row r="44" spans="1:9" s="78" customFormat="1" x14ac:dyDescent="0.2">
      <c r="A44" s="81"/>
      <c r="B44" s="212" t="str">
        <f>'OSNOVNI PODATKI'!A270</f>
        <v>OBJEKT 3 / DEL 3</v>
      </c>
      <c r="C44" s="553">
        <f>'OSNOVNI PODATKI'!E270</f>
        <v>0</v>
      </c>
      <c r="D44" s="212"/>
      <c r="E44" s="212"/>
      <c r="F44" s="212"/>
    </row>
    <row r="45" spans="1:9" s="78" customFormat="1" x14ac:dyDescent="0.2">
      <c r="A45" s="81"/>
      <c r="B45" s="205" t="s">
        <v>722</v>
      </c>
      <c r="C45" s="86">
        <f>'OSNOVNI PODATKI'!E271</f>
        <v>0</v>
      </c>
      <c r="D45" s="509"/>
      <c r="E45" s="509"/>
      <c r="F45" s="509"/>
      <c r="G45" s="509"/>
      <c r="H45" s="509"/>
      <c r="I45" s="509"/>
    </row>
    <row r="46" spans="1:9" s="78" customFormat="1" x14ac:dyDescent="0.2">
      <c r="A46" s="81"/>
      <c r="B46" s="205" t="s">
        <v>952</v>
      </c>
      <c r="C46" s="86">
        <f>'OSNOVNI PODATKI'!E272</f>
        <v>0</v>
      </c>
      <c r="D46" s="509"/>
      <c r="E46" s="509"/>
      <c r="F46" s="509"/>
      <c r="G46" s="509"/>
      <c r="H46" s="509"/>
      <c r="I46" s="509"/>
    </row>
    <row r="47" spans="1:9" s="78" customFormat="1" x14ac:dyDescent="0.2">
      <c r="A47" s="81"/>
      <c r="B47" s="205" t="s">
        <v>953</v>
      </c>
      <c r="C47" s="86">
        <f>IF($C$5=1,$C$6,C46)</f>
        <v>0</v>
      </c>
      <c r="D47" s="509"/>
      <c r="E47" s="509"/>
      <c r="F47" s="509"/>
      <c r="G47" s="509"/>
      <c r="H47" s="509"/>
      <c r="I47" s="509"/>
    </row>
    <row r="48" spans="1:9" s="78" customFormat="1" x14ac:dyDescent="0.2">
      <c r="A48" s="81"/>
      <c r="B48" s="550" t="s">
        <v>885</v>
      </c>
      <c r="C48" s="660" t="str">
        <f>'OSNOVNI PODATKI'!E275</f>
        <v/>
      </c>
      <c r="D48" s="509"/>
      <c r="E48" s="509"/>
      <c r="F48" s="509"/>
      <c r="G48" s="509"/>
      <c r="H48" s="509"/>
      <c r="I48" s="509"/>
    </row>
    <row r="49" spans="1:9" s="78" customFormat="1" x14ac:dyDescent="0.2">
      <c r="A49" s="81"/>
      <c r="B49" s="205" t="s">
        <v>117</v>
      </c>
      <c r="C49" s="86" t="str">
        <f>'OSNOVNI PODATKI'!E273</f>
        <v>Cenovni razred II</v>
      </c>
      <c r="D49" s="509"/>
      <c r="E49" s="509"/>
      <c r="F49" s="509"/>
      <c r="G49" s="509"/>
      <c r="H49" s="509"/>
      <c r="I49" s="509"/>
    </row>
    <row r="50" spans="1:9" s="78" customFormat="1" x14ac:dyDescent="0.2">
      <c r="A50" s="81"/>
      <c r="B50" s="542" t="s">
        <v>84</v>
      </c>
      <c r="C50" s="543" t="str">
        <f>IFERROR(0.0141*POWER(C47*(100+C48),0.8228)/C47,"/")</f>
        <v>/</v>
      </c>
      <c r="D50" s="544" t="s">
        <v>878</v>
      </c>
      <c r="E50" s="212"/>
      <c r="F50" s="212"/>
    </row>
    <row r="51" spans="1:9" s="78" customFormat="1" x14ac:dyDescent="0.2">
      <c r="A51" s="81"/>
      <c r="B51" s="545" t="s">
        <v>85</v>
      </c>
      <c r="C51" s="546" t="str">
        <f>IFERROR(0.0171*POWER(C47*(100+C48),0.8213)/C47,"/")</f>
        <v>/</v>
      </c>
      <c r="D51" s="508" t="s">
        <v>878</v>
      </c>
      <c r="E51" s="212"/>
      <c r="F51" s="212"/>
    </row>
    <row r="52" spans="1:9" s="78" customFormat="1" x14ac:dyDescent="0.2">
      <c r="A52" s="81"/>
      <c r="B52" s="545" t="s">
        <v>86</v>
      </c>
      <c r="C52" s="546" t="str">
        <f>IFERROR(0.0201*POWER(C47*(100+C48),0.8232)/C47,"/")</f>
        <v>/</v>
      </c>
      <c r="D52" s="508" t="s">
        <v>878</v>
      </c>
      <c r="E52" s="212"/>
      <c r="F52" s="212"/>
    </row>
    <row r="53" spans="1:9" s="78" customFormat="1" x14ac:dyDescent="0.2">
      <c r="A53" s="81"/>
      <c r="B53" s="545" t="s">
        <v>87</v>
      </c>
      <c r="C53" s="546" t="str">
        <f>IFERROR(0.0246*POWER(C47*(100+C48),0.8244)/C47,"/")</f>
        <v>/</v>
      </c>
      <c r="D53" s="508" t="s">
        <v>878</v>
      </c>
      <c r="E53" s="212"/>
      <c r="F53" s="212"/>
    </row>
    <row r="54" spans="1:9" s="78" customFormat="1" x14ac:dyDescent="0.2">
      <c r="A54" s="81"/>
      <c r="B54" s="545" t="s">
        <v>88</v>
      </c>
      <c r="C54" s="546" t="str">
        <f>IFERROR(0.0304*POWER(C47*(100+C48),0.818)/C47,"/")</f>
        <v>/</v>
      </c>
      <c r="D54" s="508" t="s">
        <v>878</v>
      </c>
      <c r="E54" s="212"/>
      <c r="F54" s="212"/>
    </row>
    <row r="55" spans="1:9" s="78" customFormat="1" x14ac:dyDescent="0.2">
      <c r="A55" s="81"/>
      <c r="B55" s="547" t="s">
        <v>884</v>
      </c>
      <c r="C55" s="546" t="str">
        <f>IFERROR(0.034*POWER(C47*(100+C48),0.8163)/C47,"/")</f>
        <v>/</v>
      </c>
      <c r="D55" s="506" t="s">
        <v>878</v>
      </c>
      <c r="E55" s="212"/>
      <c r="F55" s="212"/>
    </row>
    <row r="56" spans="1:9" s="78" customFormat="1" x14ac:dyDescent="0.2">
      <c r="A56" s="81"/>
      <c r="C56" s="86"/>
      <c r="D56" s="509"/>
      <c r="E56" s="509"/>
      <c r="F56" s="509"/>
      <c r="G56" s="509"/>
      <c r="H56" s="509"/>
      <c r="I56" s="509"/>
    </row>
    <row r="57" spans="1:9" s="78" customFormat="1" ht="14.25" x14ac:dyDescent="0.2">
      <c r="B57" s="86" t="s">
        <v>886</v>
      </c>
      <c r="C57" s="527" t="str">
        <f>IFERROR(LOOKUP(C49,B50:C54),"/")</f>
        <v>/</v>
      </c>
      <c r="D57" s="394" t="s">
        <v>877</v>
      </c>
      <c r="E57" s="509"/>
      <c r="F57" s="509"/>
      <c r="G57" s="509"/>
      <c r="H57" s="509"/>
      <c r="I57" s="509"/>
    </row>
    <row r="58" spans="1:9" s="78" customFormat="1" ht="14.25" x14ac:dyDescent="0.2">
      <c r="B58" s="86" t="s">
        <v>887</v>
      </c>
      <c r="C58" s="527" t="str" cm="1">
        <f t="array" ref="C58">IFERROR(INDEX(C50:C55,MATCH(C49,B50:B54)+1),"/")</f>
        <v>/</v>
      </c>
      <c r="D58" s="394" t="s">
        <v>877</v>
      </c>
      <c r="E58" s="509"/>
      <c r="F58" s="509"/>
      <c r="G58" s="509"/>
      <c r="H58" s="509"/>
      <c r="I58" s="509"/>
    </row>
    <row r="59" spans="1:9" s="78" customFormat="1" x14ac:dyDescent="0.2">
      <c r="B59" s="86" t="s">
        <v>737</v>
      </c>
      <c r="C59" s="551">
        <f>IFERROR(ROUND(C57*C46,0),0)</f>
        <v>0</v>
      </c>
      <c r="D59" s="394" t="s">
        <v>879</v>
      </c>
      <c r="E59" s="509"/>
      <c r="F59" s="509"/>
      <c r="G59" s="509"/>
      <c r="H59" s="509"/>
      <c r="I59" s="509"/>
    </row>
    <row r="60" spans="1:9" s="78" customFormat="1" x14ac:dyDescent="0.2">
      <c r="B60" s="86" t="s">
        <v>738</v>
      </c>
      <c r="C60" s="551">
        <f>IFERROR(ROUND(C58*C46,0),0)</f>
        <v>0</v>
      </c>
      <c r="D60" s="394" t="s">
        <v>879</v>
      </c>
      <c r="E60" s="509"/>
      <c r="F60" s="509"/>
      <c r="G60" s="509"/>
      <c r="H60" s="509"/>
      <c r="I60" s="509"/>
    </row>
    <row r="61" spans="1:9" s="78" customFormat="1" x14ac:dyDescent="0.2">
      <c r="A61" s="81"/>
      <c r="C61" s="212"/>
      <c r="D61" s="212"/>
      <c r="E61" s="212"/>
      <c r="F61" s="212"/>
    </row>
    <row r="62" spans="1:9" s="78" customFormat="1" x14ac:dyDescent="0.2">
      <c r="A62" s="81"/>
      <c r="B62" s="212" t="str">
        <f>'OSNOVNI PODATKI'!A288</f>
        <v>OBJEKT 4 / DEL 4</v>
      </c>
      <c r="C62" s="553">
        <f>'OSNOVNI PODATKI'!E288</f>
        <v>0</v>
      </c>
      <c r="D62" s="212"/>
      <c r="E62" s="212"/>
      <c r="F62" s="212"/>
    </row>
    <row r="63" spans="1:9" s="78" customFormat="1" x14ac:dyDescent="0.2">
      <c r="A63" s="81"/>
      <c r="B63" s="205" t="s">
        <v>722</v>
      </c>
      <c r="C63" s="86">
        <f>'OSNOVNI PODATKI'!E289</f>
        <v>0</v>
      </c>
      <c r="D63" s="509"/>
      <c r="E63" s="509"/>
      <c r="F63" s="509"/>
      <c r="G63" s="509"/>
      <c r="H63" s="509"/>
      <c r="I63" s="509"/>
    </row>
    <row r="64" spans="1:9" s="78" customFormat="1" x14ac:dyDescent="0.2">
      <c r="A64" s="81"/>
      <c r="B64" s="205" t="s">
        <v>952</v>
      </c>
      <c r="C64" s="86">
        <f>'OSNOVNI PODATKI'!E290</f>
        <v>0</v>
      </c>
      <c r="D64" s="509"/>
      <c r="E64" s="509"/>
      <c r="F64" s="509"/>
      <c r="G64" s="509"/>
      <c r="H64" s="509"/>
      <c r="I64" s="509"/>
    </row>
    <row r="65" spans="1:9" s="78" customFormat="1" x14ac:dyDescent="0.2">
      <c r="A65" s="81"/>
      <c r="B65" s="205" t="s">
        <v>953</v>
      </c>
      <c r="C65" s="86">
        <f>IF($C$5=1,$C$6,C64)</f>
        <v>0</v>
      </c>
      <c r="D65" s="509"/>
      <c r="E65" s="509"/>
      <c r="F65" s="509"/>
      <c r="G65" s="509"/>
      <c r="H65" s="509"/>
      <c r="I65" s="509"/>
    </row>
    <row r="66" spans="1:9" s="78" customFormat="1" x14ac:dyDescent="0.2">
      <c r="A66" s="81"/>
      <c r="B66" s="550" t="s">
        <v>885</v>
      </c>
      <c r="C66" s="660" t="str">
        <f>'OSNOVNI PODATKI'!E293</f>
        <v/>
      </c>
      <c r="D66" s="509"/>
      <c r="E66" s="509"/>
      <c r="F66" s="509"/>
      <c r="G66" s="509"/>
      <c r="H66" s="509"/>
      <c r="I66" s="509"/>
    </row>
    <row r="67" spans="1:9" s="78" customFormat="1" x14ac:dyDescent="0.2">
      <c r="A67" s="81"/>
      <c r="B67" s="205" t="s">
        <v>117</v>
      </c>
      <c r="C67" s="86" t="str">
        <f>'OSNOVNI PODATKI'!E291</f>
        <v>Cenovni razred II</v>
      </c>
      <c r="D67" s="509"/>
      <c r="E67" s="509"/>
      <c r="F67" s="509"/>
      <c r="G67" s="509"/>
      <c r="H67" s="509"/>
      <c r="I67" s="509"/>
    </row>
    <row r="68" spans="1:9" s="78" customFormat="1" x14ac:dyDescent="0.2">
      <c r="A68" s="81"/>
      <c r="B68" s="542" t="s">
        <v>84</v>
      </c>
      <c r="C68" s="543" t="str">
        <f>IFERROR(0.0141*POWER(C65*(100+C66),0.8228)/C65,"/")</f>
        <v>/</v>
      </c>
      <c r="D68" s="544" t="s">
        <v>878</v>
      </c>
      <c r="E68" s="212"/>
      <c r="F68" s="212"/>
    </row>
    <row r="69" spans="1:9" s="78" customFormat="1" x14ac:dyDescent="0.2">
      <c r="A69" s="81"/>
      <c r="B69" s="545" t="s">
        <v>85</v>
      </c>
      <c r="C69" s="546" t="str">
        <f>IFERROR(0.0171*POWER(C65*(100+C66),0.8213)/C65,"/")</f>
        <v>/</v>
      </c>
      <c r="D69" s="508" t="s">
        <v>878</v>
      </c>
      <c r="E69" s="212"/>
      <c r="F69" s="212"/>
    </row>
    <row r="70" spans="1:9" s="78" customFormat="1" x14ac:dyDescent="0.2">
      <c r="A70" s="81"/>
      <c r="B70" s="545" t="s">
        <v>86</v>
      </c>
      <c r="C70" s="546" t="str">
        <f>IFERROR(0.0201*POWER(C65*(100+C66),0.8232)/C65,"/")</f>
        <v>/</v>
      </c>
      <c r="D70" s="508" t="s">
        <v>878</v>
      </c>
      <c r="E70" s="212"/>
      <c r="F70" s="212"/>
    </row>
    <row r="71" spans="1:9" s="78" customFormat="1" x14ac:dyDescent="0.2">
      <c r="A71" s="81"/>
      <c r="B71" s="545" t="s">
        <v>87</v>
      </c>
      <c r="C71" s="546" t="str">
        <f>IFERROR(0.0246*POWER(C65*(100+C66),0.8244)/C65,"/")</f>
        <v>/</v>
      </c>
      <c r="D71" s="508" t="s">
        <v>878</v>
      </c>
      <c r="E71" s="212"/>
      <c r="F71" s="212"/>
    </row>
    <row r="72" spans="1:9" s="78" customFormat="1" x14ac:dyDescent="0.2">
      <c r="A72" s="81"/>
      <c r="B72" s="545" t="s">
        <v>88</v>
      </c>
      <c r="C72" s="546" t="str">
        <f>IFERROR(0.0304*POWER(C65*(100+C66),0.818)/C65,"/")</f>
        <v>/</v>
      </c>
      <c r="D72" s="508" t="s">
        <v>878</v>
      </c>
      <c r="E72" s="212"/>
      <c r="F72" s="212"/>
    </row>
    <row r="73" spans="1:9" s="78" customFormat="1" x14ac:dyDescent="0.2">
      <c r="A73" s="81"/>
      <c r="B73" s="547" t="s">
        <v>884</v>
      </c>
      <c r="C73" s="546" t="str">
        <f>IFERROR(0.034*POWER(C65*(100+C66),0.8163)/C65,"/")</f>
        <v>/</v>
      </c>
      <c r="D73" s="506" t="s">
        <v>878</v>
      </c>
      <c r="E73" s="212"/>
      <c r="F73" s="212"/>
    </row>
    <row r="74" spans="1:9" s="78" customFormat="1" x14ac:dyDescent="0.2">
      <c r="A74" s="81"/>
      <c r="C74" s="86"/>
      <c r="D74" s="509"/>
      <c r="E74" s="509"/>
      <c r="F74" s="509"/>
      <c r="G74" s="509"/>
      <c r="H74" s="509"/>
      <c r="I74" s="509"/>
    </row>
    <row r="75" spans="1:9" s="78" customFormat="1" ht="14.25" x14ac:dyDescent="0.2">
      <c r="B75" s="86" t="s">
        <v>886</v>
      </c>
      <c r="C75" s="527" t="str">
        <f>IFERROR(LOOKUP(C67,B68:C72),"/")</f>
        <v>/</v>
      </c>
      <c r="D75" s="394" t="s">
        <v>877</v>
      </c>
      <c r="E75" s="509"/>
      <c r="F75" s="509"/>
      <c r="G75" s="509"/>
      <c r="H75" s="509"/>
      <c r="I75" s="509"/>
    </row>
    <row r="76" spans="1:9" s="78" customFormat="1" ht="14.25" x14ac:dyDescent="0.2">
      <c r="B76" s="86" t="s">
        <v>887</v>
      </c>
      <c r="C76" s="527" t="str" cm="1">
        <f t="array" ref="C76">IFERROR(INDEX(C68:C73,MATCH(C67,B68:B72)+1),"/")</f>
        <v>/</v>
      </c>
      <c r="D76" s="394" t="s">
        <v>877</v>
      </c>
      <c r="E76" s="509"/>
      <c r="F76" s="509"/>
      <c r="G76" s="509"/>
      <c r="H76" s="509"/>
      <c r="I76" s="509"/>
    </row>
    <row r="77" spans="1:9" s="78" customFormat="1" x14ac:dyDescent="0.2">
      <c r="B77" s="86" t="s">
        <v>737</v>
      </c>
      <c r="C77" s="551">
        <f>IFERROR(ROUND(C75*C64,0),0)</f>
        <v>0</v>
      </c>
      <c r="D77" s="394" t="s">
        <v>879</v>
      </c>
      <c r="E77" s="509"/>
      <c r="F77" s="509"/>
      <c r="G77" s="509"/>
      <c r="H77" s="509"/>
      <c r="I77" s="509"/>
    </row>
    <row r="78" spans="1:9" s="78" customFormat="1" x14ac:dyDescent="0.2">
      <c r="B78" s="86" t="s">
        <v>738</v>
      </c>
      <c r="C78" s="551">
        <f>IFERROR(ROUND(C76*C64,0),0)</f>
        <v>0</v>
      </c>
      <c r="D78" s="394" t="s">
        <v>879</v>
      </c>
      <c r="E78" s="509"/>
      <c r="F78" s="509"/>
      <c r="G78" s="509"/>
      <c r="H78" s="509"/>
      <c r="I78" s="509"/>
    </row>
    <row r="79" spans="1:9" s="78" customFormat="1" x14ac:dyDescent="0.2">
      <c r="A79" s="81"/>
      <c r="C79" s="212"/>
      <c r="D79" s="212"/>
      <c r="E79" s="212"/>
      <c r="F79" s="212"/>
    </row>
    <row r="80" spans="1:9" s="78" customFormat="1" x14ac:dyDescent="0.2">
      <c r="A80" s="81"/>
      <c r="B80" s="212" t="str">
        <f>'OSNOVNI PODATKI'!A306</f>
        <v>OBJEKT 5 / DEL 5</v>
      </c>
      <c r="C80" s="553">
        <f>'OSNOVNI PODATKI'!E306</f>
        <v>0</v>
      </c>
      <c r="D80" s="212"/>
      <c r="E80" s="212"/>
      <c r="F80" s="212"/>
    </row>
    <row r="81" spans="1:9" s="78" customFormat="1" x14ac:dyDescent="0.2">
      <c r="A81" s="81"/>
      <c r="B81" s="205" t="s">
        <v>722</v>
      </c>
      <c r="C81" s="86">
        <f>'OSNOVNI PODATKI'!E307</f>
        <v>0</v>
      </c>
      <c r="D81" s="509"/>
      <c r="E81" s="509"/>
      <c r="F81" s="509"/>
      <c r="G81" s="509"/>
      <c r="H81" s="509"/>
      <c r="I81" s="509"/>
    </row>
    <row r="82" spans="1:9" s="78" customFormat="1" x14ac:dyDescent="0.2">
      <c r="A82" s="81"/>
      <c r="B82" s="205" t="s">
        <v>952</v>
      </c>
      <c r="C82" s="86">
        <f>'OSNOVNI PODATKI'!E308</f>
        <v>0</v>
      </c>
      <c r="D82" s="509"/>
      <c r="E82" s="509"/>
      <c r="F82" s="509"/>
      <c r="G82" s="509"/>
      <c r="H82" s="509"/>
      <c r="I82" s="509"/>
    </row>
    <row r="83" spans="1:9" s="78" customFormat="1" x14ac:dyDescent="0.2">
      <c r="A83" s="81"/>
      <c r="B83" s="205" t="s">
        <v>92</v>
      </c>
      <c r="C83" s="86">
        <f>IF($C$5=1,$C$6,C82)</f>
        <v>0</v>
      </c>
      <c r="D83" s="509"/>
      <c r="E83" s="509"/>
      <c r="F83" s="509"/>
      <c r="G83" s="509"/>
      <c r="H83" s="509"/>
      <c r="I83" s="509"/>
    </row>
    <row r="84" spans="1:9" s="78" customFormat="1" x14ac:dyDescent="0.2">
      <c r="A84" s="81"/>
      <c r="B84" s="550" t="s">
        <v>885</v>
      </c>
      <c r="C84" s="660" t="str">
        <f>'OSNOVNI PODATKI'!E311</f>
        <v/>
      </c>
      <c r="D84" s="509"/>
      <c r="E84" s="509"/>
      <c r="F84" s="509"/>
      <c r="G84" s="509"/>
      <c r="H84" s="509"/>
      <c r="I84" s="509"/>
    </row>
    <row r="85" spans="1:9" s="78" customFormat="1" x14ac:dyDescent="0.2">
      <c r="A85" s="81"/>
      <c r="B85" s="205" t="s">
        <v>117</v>
      </c>
      <c r="C85" s="86" t="str">
        <f>'OSNOVNI PODATKI'!E309</f>
        <v>Cenovni razred II</v>
      </c>
      <c r="D85" s="509"/>
      <c r="E85" s="509"/>
      <c r="F85" s="509"/>
      <c r="G85" s="509"/>
      <c r="H85" s="509"/>
      <c r="I85" s="509"/>
    </row>
    <row r="86" spans="1:9" s="78" customFormat="1" x14ac:dyDescent="0.2">
      <c r="A86" s="81"/>
      <c r="B86" s="542" t="s">
        <v>84</v>
      </c>
      <c r="C86" s="543" t="str">
        <f>IFERROR(0.0141*POWER(C83*(100+C84),0.8228)/C83,"/")</f>
        <v>/</v>
      </c>
      <c r="D86" s="544" t="s">
        <v>878</v>
      </c>
      <c r="E86" s="212"/>
      <c r="F86" s="212"/>
    </row>
    <row r="87" spans="1:9" s="78" customFormat="1" x14ac:dyDescent="0.2">
      <c r="A87" s="81"/>
      <c r="B87" s="545" t="s">
        <v>85</v>
      </c>
      <c r="C87" s="546" t="str">
        <f>IFERROR(0.0171*POWER(C83*(100+C84),0.8213)/C83,"/")</f>
        <v>/</v>
      </c>
      <c r="D87" s="508" t="s">
        <v>878</v>
      </c>
      <c r="E87" s="212"/>
      <c r="F87" s="212"/>
    </row>
    <row r="88" spans="1:9" s="78" customFormat="1" x14ac:dyDescent="0.2">
      <c r="A88" s="81"/>
      <c r="B88" s="545" t="s">
        <v>86</v>
      </c>
      <c r="C88" s="546" t="str">
        <f>IFERROR(0.0201*POWER(C83*(100+C84),0.8232)/C83,"/")</f>
        <v>/</v>
      </c>
      <c r="D88" s="508" t="s">
        <v>878</v>
      </c>
      <c r="E88" s="212"/>
      <c r="F88" s="212"/>
    </row>
    <row r="89" spans="1:9" s="78" customFormat="1" x14ac:dyDescent="0.2">
      <c r="A89" s="81"/>
      <c r="B89" s="545" t="s">
        <v>87</v>
      </c>
      <c r="C89" s="546" t="str">
        <f>IFERROR(0.0246*POWER(C83*(100+C84),0.8244)/C83,"/")</f>
        <v>/</v>
      </c>
      <c r="D89" s="508" t="s">
        <v>878</v>
      </c>
      <c r="E89" s="212"/>
      <c r="F89" s="212"/>
    </row>
    <row r="90" spans="1:9" s="78" customFormat="1" x14ac:dyDescent="0.2">
      <c r="A90" s="81"/>
      <c r="B90" s="545" t="s">
        <v>88</v>
      </c>
      <c r="C90" s="546" t="str">
        <f>IFERROR(0.0304*POWER(C83*(100+C84),0.818)/C83,"/")</f>
        <v>/</v>
      </c>
      <c r="D90" s="508" t="s">
        <v>878</v>
      </c>
      <c r="E90" s="212"/>
      <c r="F90" s="212"/>
    </row>
    <row r="91" spans="1:9" s="78" customFormat="1" x14ac:dyDescent="0.2">
      <c r="A91" s="81"/>
      <c r="B91" s="547" t="s">
        <v>884</v>
      </c>
      <c r="C91" s="546" t="str">
        <f>IFERROR(0.034*POWER(C83*(100+C84),0.8163)/C83,"/")</f>
        <v>/</v>
      </c>
      <c r="D91" s="506" t="s">
        <v>878</v>
      </c>
      <c r="E91" s="212"/>
      <c r="F91" s="212"/>
    </row>
    <row r="92" spans="1:9" s="78" customFormat="1" x14ac:dyDescent="0.2">
      <c r="A92" s="81"/>
      <c r="C92" s="86"/>
      <c r="D92" s="509"/>
      <c r="E92" s="509"/>
      <c r="F92" s="509"/>
      <c r="G92" s="509"/>
      <c r="H92" s="509"/>
      <c r="I92" s="509"/>
    </row>
    <row r="93" spans="1:9" s="78" customFormat="1" ht="14.25" x14ac:dyDescent="0.2">
      <c r="B93" s="86" t="s">
        <v>886</v>
      </c>
      <c r="C93" s="527" t="str">
        <f>IFERROR(LOOKUP(C85,B86:C90),"/")</f>
        <v>/</v>
      </c>
      <c r="D93" s="394" t="s">
        <v>877</v>
      </c>
      <c r="E93" s="509"/>
      <c r="F93" s="509"/>
      <c r="G93" s="509"/>
      <c r="H93" s="509"/>
      <c r="I93" s="509"/>
    </row>
    <row r="94" spans="1:9" s="78" customFormat="1" ht="14.25" x14ac:dyDescent="0.2">
      <c r="B94" s="86" t="s">
        <v>887</v>
      </c>
      <c r="C94" s="527" t="str" cm="1">
        <f t="array" ref="C94">IFERROR(INDEX(C86:C91,MATCH(C85,B86:B90)+1),"/")</f>
        <v>/</v>
      </c>
      <c r="D94" s="394" t="s">
        <v>877</v>
      </c>
      <c r="E94" s="509"/>
      <c r="F94" s="509"/>
      <c r="G94" s="509"/>
      <c r="H94" s="509"/>
      <c r="I94" s="509"/>
    </row>
    <row r="95" spans="1:9" s="78" customFormat="1" x14ac:dyDescent="0.2">
      <c r="B95" s="86" t="s">
        <v>737</v>
      </c>
      <c r="C95" s="551">
        <f>IFERROR(ROUND(C93*C82,0),0)</f>
        <v>0</v>
      </c>
      <c r="D95" s="394" t="s">
        <v>879</v>
      </c>
      <c r="E95" s="509"/>
      <c r="F95" s="509"/>
      <c r="G95" s="509"/>
      <c r="H95" s="509"/>
      <c r="I95" s="509"/>
    </row>
    <row r="96" spans="1:9" s="78" customFormat="1" x14ac:dyDescent="0.2">
      <c r="B96" s="86" t="s">
        <v>738</v>
      </c>
      <c r="C96" s="551">
        <f>IFERROR(ROUND(C94*C82,0),0)</f>
        <v>0</v>
      </c>
      <c r="D96" s="394" t="s">
        <v>879</v>
      </c>
      <c r="E96" s="509"/>
      <c r="F96" s="509"/>
      <c r="G96" s="509"/>
      <c r="H96" s="509"/>
      <c r="I96" s="509"/>
    </row>
    <row r="97" spans="1:6" s="78" customFormat="1" x14ac:dyDescent="0.2">
      <c r="A97" s="81"/>
      <c r="C97" s="212"/>
      <c r="D97" s="212"/>
      <c r="E97" s="212"/>
      <c r="F97" s="212"/>
    </row>
    <row r="99" spans="1:6" s="12" customFormat="1" ht="14.25" x14ac:dyDescent="0.25">
      <c r="A99" s="13"/>
    </row>
    <row r="100" spans="1:6" s="13" customFormat="1" ht="14.25" x14ac:dyDescent="0.2"/>
    <row r="101" spans="1:6" s="13" customFormat="1" ht="14.25" x14ac:dyDescent="0.2"/>
    <row r="102" spans="1:6" s="13" customFormat="1" ht="14.25" x14ac:dyDescent="0.2"/>
    <row r="103" spans="1:6" s="13" customFormat="1" ht="14.25" x14ac:dyDescent="0.2"/>
    <row r="104" spans="1:6" s="13" customFormat="1" ht="14.25" x14ac:dyDescent="0.2"/>
    <row r="105" spans="1:6" s="13" customFormat="1" ht="14.25" x14ac:dyDescent="0.2"/>
    <row r="106" spans="1:6" s="13" customFormat="1" ht="14.25" x14ac:dyDescent="0.2"/>
    <row r="107" spans="1:6" s="13" customFormat="1" ht="14.25" x14ac:dyDescent="0.2"/>
    <row r="108" spans="1:6" s="13" customFormat="1" ht="14.25" x14ac:dyDescent="0.2"/>
    <row r="109" spans="1:6" s="13" customFormat="1" ht="14.25" x14ac:dyDescent="0.2"/>
    <row r="110" spans="1:6" s="13" customFormat="1" ht="14.25" x14ac:dyDescent="0.2"/>
    <row r="111" spans="1:6" s="13" customFormat="1" ht="14.25" x14ac:dyDescent="0.2"/>
    <row r="112" spans="1:6" s="13" customFormat="1" ht="14.25" x14ac:dyDescent="0.2"/>
    <row r="113" spans="1:24" s="13" customFormat="1" ht="14.25" x14ac:dyDescent="0.2"/>
    <row r="114" spans="1:24" s="13" customFormat="1" ht="14.25" x14ac:dyDescent="0.2"/>
    <row r="115" spans="1:24" s="13" customFormat="1" ht="14.25" x14ac:dyDescent="0.2"/>
    <row r="116" spans="1:24" s="13" customFormat="1" ht="14.25" x14ac:dyDescent="0.2"/>
    <row r="117" spans="1:24" s="13" customFormat="1" ht="14.25" x14ac:dyDescent="0.2"/>
    <row r="118" spans="1:24" s="13" customFormat="1" ht="15" thickBot="1" x14ac:dyDescent="0.25"/>
    <row r="119" spans="1:24" s="78" customFormat="1" ht="18.75" x14ac:dyDescent="0.3">
      <c r="A119" s="831" t="s">
        <v>939</v>
      </c>
      <c r="B119" s="831"/>
      <c r="C119" s="831"/>
      <c r="D119" s="831"/>
      <c r="E119" s="831"/>
      <c r="F119" s="831"/>
      <c r="G119" s="831"/>
      <c r="H119" s="832"/>
      <c r="I119" s="832"/>
      <c r="J119" s="832"/>
      <c r="K119" s="832"/>
      <c r="L119" s="832"/>
      <c r="M119" s="832"/>
      <c r="N119" s="832"/>
      <c r="O119" s="832"/>
      <c r="P119" s="832"/>
      <c r="Q119" s="832"/>
      <c r="R119" s="832"/>
      <c r="S119" s="832"/>
      <c r="T119" s="832"/>
      <c r="U119" s="832"/>
      <c r="V119" s="832"/>
      <c r="W119" s="832"/>
      <c r="X119" s="832"/>
    </row>
    <row r="120" spans="1:24" s="2" customFormat="1" x14ac:dyDescent="0.2">
      <c r="A120" s="208"/>
      <c r="B120" s="208"/>
      <c r="C120" s="208"/>
      <c r="D120" s="208"/>
      <c r="E120" s="208"/>
      <c r="F120" s="208"/>
      <c r="G120" s="208"/>
      <c r="H120" s="208"/>
    </row>
    <row r="121" spans="1:24" s="78" customFormat="1" x14ac:dyDescent="0.2">
      <c r="A121" s="212"/>
      <c r="B121" s="86" t="s">
        <v>875</v>
      </c>
      <c r="C121" s="212"/>
      <c r="D121" s="212"/>
      <c r="E121" s="212"/>
      <c r="F121" s="507">
        <f>'OSNOVNI PODATKI'!G380</f>
        <v>0</v>
      </c>
      <c r="G121" s="212"/>
      <c r="H121" s="212"/>
    </row>
    <row r="122" spans="1:24" s="78" customFormat="1" x14ac:dyDescent="0.2">
      <c r="A122" s="212"/>
      <c r="B122" s="86" t="s">
        <v>876</v>
      </c>
      <c r="C122" s="210"/>
      <c r="D122" s="85"/>
      <c r="E122" s="85"/>
      <c r="F122" s="493">
        <f>'ARHIGRAM 6'!I16</f>
        <v>46</v>
      </c>
      <c r="G122" s="210"/>
      <c r="H122" s="210"/>
    </row>
    <row r="123" spans="1:24" s="78" customFormat="1" x14ac:dyDescent="0.2">
      <c r="A123" s="212"/>
      <c r="B123" s="212"/>
      <c r="C123" s="212"/>
      <c r="D123" s="212"/>
      <c r="E123" s="212"/>
      <c r="G123" s="212"/>
      <c r="H123" s="212"/>
    </row>
    <row r="124" spans="1:24" s="78" customFormat="1" x14ac:dyDescent="0.2">
      <c r="B124" s="86" t="str">
        <f>'OSNOVNI PODATKI'!$B$394</f>
        <v>PRIBITEK ZA PRENOVO</v>
      </c>
      <c r="C124" s="210"/>
      <c r="D124" s="85"/>
      <c r="E124" s="85"/>
      <c r="F124" s="314">
        <f>'OSNOVNI PODATKI'!$F$394</f>
        <v>0</v>
      </c>
      <c r="G124" s="210" t="str">
        <f>'OSNOVNI PODATKI'!G394</f>
        <v>upošteva se v vseh fazah, samo za storitve projektiranja</v>
      </c>
      <c r="H124" s="210"/>
    </row>
    <row r="125" spans="1:24" s="78" customFormat="1" x14ac:dyDescent="0.2">
      <c r="B125" s="86" t="str">
        <f>'OSNOVNI PODATKI'!$B$395</f>
        <v>PRIBITEK ZA VKLJUČEVANJE DRUGIH IZVAJALCEV V POGODBO</v>
      </c>
      <c r="C125" s="210"/>
      <c r="D125" s="85"/>
      <c r="E125" s="85"/>
      <c r="F125" s="314">
        <f>'OSNOVNI PODATKI'!$F$395</f>
        <v>0</v>
      </c>
      <c r="G125" s="210" t="str">
        <f>'OSNOVNI PODATKI'!G395</f>
        <v>upošteva se v vseh fazah, samo za storitve vodenja in koordinacije</v>
      </c>
      <c r="H125" s="210"/>
    </row>
    <row r="126" spans="1:24" s="78" customFormat="1" x14ac:dyDescent="0.2">
      <c r="A126" s="212"/>
      <c r="B126" s="86" t="s">
        <v>971</v>
      </c>
      <c r="C126" s="210"/>
      <c r="D126" s="85"/>
      <c r="E126" s="85"/>
      <c r="F126" s="662" t="str">
        <f>IF('OSNOVNI PODATKI'!A376=TRUE,"DA","NE")</f>
        <v>DA</v>
      </c>
      <c r="G126" s="212"/>
      <c r="H126" s="212"/>
      <c r="O126" s="652"/>
    </row>
    <row r="127" spans="1:24" s="78" customFormat="1" x14ac:dyDescent="0.2">
      <c r="B127" s="86" t="str">
        <f>'OSNOVNI PODATKI'!$B397</f>
        <v>ZASTOPANJE INVESTITORJA V UPRAVNIH POSTOPKIH</v>
      </c>
      <c r="C127" s="210"/>
      <c r="D127" s="85"/>
      <c r="E127" s="85"/>
      <c r="F127" s="662" t="str">
        <f>IF('OSNOVNI PODATKI'!F397=TRUE,"DA","NE")</f>
        <v>NE</v>
      </c>
      <c r="G127" s="664"/>
      <c r="H127" s="210"/>
    </row>
    <row r="128" spans="1:24" s="78" customFormat="1" x14ac:dyDescent="0.2">
      <c r="B128" s="86" t="str">
        <f>'OSNOVNI PODATKI'!$B398</f>
        <v>PROJEKTANTSKI PREDRAČUN</v>
      </c>
      <c r="C128" s="210"/>
      <c r="D128" s="85"/>
      <c r="E128" s="85"/>
      <c r="F128" s="662" t="str">
        <f>IF('OSNOVNI PODATKI'!F398=TRUE,"DA","NE")</f>
        <v>NE</v>
      </c>
      <c r="G128" s="210"/>
      <c r="H128" s="210"/>
    </row>
    <row r="129" spans="1:24" s="78" customFormat="1" x14ac:dyDescent="0.2">
      <c r="B129" s="86" t="str">
        <f>'OSNOVNI PODATKI'!$B399</f>
        <v>IZDELAVA RAZPISNE DOKUMENTACIJE</v>
      </c>
      <c r="C129" s="210"/>
      <c r="D129" s="85"/>
      <c r="E129" s="85"/>
      <c r="F129" s="662" t="str">
        <f>IF('OSNOVNI PODATKI'!F399=TRUE,"DA","NE")</f>
        <v>NE</v>
      </c>
      <c r="G129" s="210"/>
      <c r="H129" s="210"/>
    </row>
    <row r="130" spans="1:24" s="78" customFormat="1" x14ac:dyDescent="0.2">
      <c r="B130" s="86" t="str">
        <f>'OSNOVNI PODATKI'!$B400</f>
        <v>IZVEDBA RAZPISOV ZA ODDAJO DEL</v>
      </c>
      <c r="C130" s="210"/>
      <c r="D130" s="85"/>
      <c r="E130" s="85"/>
      <c r="F130" s="662" t="str">
        <f>IF('OSNOVNI PODATKI'!F400=TRUE,"DA","NE")</f>
        <v>NE</v>
      </c>
      <c r="G130" s="210"/>
      <c r="H130" s="210"/>
    </row>
    <row r="131" spans="1:24" s="78" customFormat="1" x14ac:dyDescent="0.2">
      <c r="B131" s="86" t="str">
        <f>'OSNOVNI PODATKI'!$B$401</f>
        <v>GRADBENI NADZOR</v>
      </c>
      <c r="C131" s="210"/>
      <c r="D131" s="85"/>
      <c r="E131" s="85"/>
      <c r="F131" s="662" t="str">
        <f>IF('OSNOVNI PODATKI'!F401=TRUE,"DA","NE")</f>
        <v>NE</v>
      </c>
      <c r="G131" s="210"/>
      <c r="H131" s="210"/>
    </row>
    <row r="132" spans="1:24" s="78" customFormat="1" x14ac:dyDescent="0.2">
      <c r="B132" s="300"/>
      <c r="C132" s="301"/>
      <c r="D132" s="302"/>
      <c r="E132" s="302"/>
      <c r="F132" s="315"/>
    </row>
    <row r="133" spans="1:24" s="13" customFormat="1" ht="14.25" x14ac:dyDescent="0.2">
      <c r="B133" s="213" t="s">
        <v>1128</v>
      </c>
      <c r="C133" s="213"/>
      <c r="D133" s="213"/>
      <c r="E133" s="213"/>
      <c r="F133" s="213"/>
      <c r="G133" s="213"/>
      <c r="H133" s="213"/>
      <c r="K133" s="213" t="s">
        <v>971</v>
      </c>
      <c r="L133" s="213"/>
      <c r="M133" s="213"/>
      <c r="N133" s="213"/>
      <c r="O133" s="213"/>
      <c r="P133" s="213"/>
      <c r="Q133" s="213"/>
      <c r="R133" s="213"/>
      <c r="S133"/>
      <c r="T133" s="489"/>
      <c r="U133" s="489"/>
    </row>
    <row r="134" spans="1:24" s="13" customFormat="1" ht="63.75" x14ac:dyDescent="0.2">
      <c r="B134" s="108"/>
      <c r="C134" s="108"/>
      <c r="D134" s="108"/>
      <c r="E134" s="109" t="s">
        <v>25</v>
      </c>
      <c r="F134" s="303" t="s">
        <v>484</v>
      </c>
      <c r="G134" s="620" t="s">
        <v>57</v>
      </c>
      <c r="H134" s="110" t="s">
        <v>70</v>
      </c>
      <c r="I134" s="421" t="s">
        <v>940</v>
      </c>
      <c r="K134" s="107"/>
      <c r="L134" s="108"/>
      <c r="M134" s="108"/>
      <c r="N134" s="108"/>
      <c r="O134" s="109" t="s">
        <v>25</v>
      </c>
      <c r="P134" s="303" t="s">
        <v>916</v>
      </c>
      <c r="Q134" s="769" t="s">
        <v>57</v>
      </c>
      <c r="R134" s="110" t="s">
        <v>70</v>
      </c>
      <c r="S134" s="421" t="s">
        <v>940</v>
      </c>
      <c r="U134" s="303" t="s">
        <v>1132</v>
      </c>
      <c r="V134" s="303" t="s">
        <v>1133</v>
      </c>
      <c r="W134" s="769" t="s">
        <v>1134</v>
      </c>
      <c r="X134" s="110" t="s">
        <v>1135</v>
      </c>
    </row>
    <row r="135" spans="1:24" s="13" customFormat="1" ht="14.25" x14ac:dyDescent="0.2">
      <c r="A135" s="103" t="s">
        <v>29</v>
      </c>
      <c r="B135" s="104" t="s">
        <v>30</v>
      </c>
      <c r="C135" s="104"/>
      <c r="D135" s="104"/>
      <c r="E135" s="105"/>
      <c r="F135" s="105"/>
      <c r="G135" s="621"/>
      <c r="H135" s="106"/>
      <c r="K135" s="103" t="s">
        <v>29</v>
      </c>
      <c r="L135" s="104" t="s">
        <v>30</v>
      </c>
      <c r="M135" s="104"/>
      <c r="N135" s="104"/>
      <c r="O135" s="105"/>
      <c r="P135" s="105"/>
      <c r="Q135" s="621"/>
      <c r="R135" s="106"/>
      <c r="U135" s="105"/>
      <c r="V135" s="105"/>
      <c r="W135" s="621"/>
      <c r="X135" s="859"/>
    </row>
    <row r="136" spans="1:24" s="13" customFormat="1" ht="14.25" x14ac:dyDescent="0.2">
      <c r="A136" s="87" t="s">
        <v>31</v>
      </c>
      <c r="B136" s="99" t="s">
        <v>65</v>
      </c>
      <c r="C136" s="99"/>
      <c r="D136" s="99"/>
      <c r="E136" s="88"/>
      <c r="F136" s="88"/>
      <c r="G136" s="622"/>
      <c r="H136" s="89"/>
      <c r="K136" s="87" t="s">
        <v>31</v>
      </c>
      <c r="L136" s="99" t="s">
        <v>65</v>
      </c>
      <c r="M136" s="99"/>
      <c r="N136" s="99"/>
      <c r="O136" s="88"/>
      <c r="P136" s="88"/>
      <c r="Q136" s="622"/>
      <c r="R136" s="89"/>
      <c r="U136" s="88"/>
      <c r="V136" s="88"/>
      <c r="W136" s="622"/>
      <c r="X136" s="860"/>
    </row>
    <row r="137" spans="1:24" s="13" customFormat="1" ht="14.25" x14ac:dyDescent="0.2">
      <c r="A137" s="112" t="s">
        <v>32</v>
      </c>
      <c r="B137" s="113" t="s">
        <v>66</v>
      </c>
      <c r="C137" s="113"/>
      <c r="D137" s="113"/>
      <c r="E137" s="114"/>
      <c r="F137" s="114"/>
      <c r="G137" s="623"/>
      <c r="H137" s="93"/>
      <c r="K137" s="112" t="s">
        <v>32</v>
      </c>
      <c r="L137" s="113" t="s">
        <v>66</v>
      </c>
      <c r="M137" s="113"/>
      <c r="N137" s="113"/>
      <c r="O137" s="114"/>
      <c r="P137" s="114"/>
      <c r="Q137" s="623"/>
      <c r="R137" s="93"/>
      <c r="U137" s="114"/>
      <c r="V137" s="114"/>
      <c r="W137" s="623"/>
      <c r="X137" s="851"/>
    </row>
    <row r="138" spans="1:24" s="13" customFormat="1" ht="14.25" x14ac:dyDescent="0.2">
      <c r="A138" s="111" t="s">
        <v>33</v>
      </c>
      <c r="B138" s="104" t="s">
        <v>34</v>
      </c>
      <c r="C138" s="104"/>
      <c r="D138" s="104"/>
      <c r="E138" s="306">
        <f>SUM(E139:E141)</f>
        <v>0.01</v>
      </c>
      <c r="F138" s="306">
        <f>SUM(F139:F141)</f>
        <v>0.01</v>
      </c>
      <c r="G138" s="627">
        <f>SUM(G139:G141)</f>
        <v>0</v>
      </c>
      <c r="H138" s="106">
        <f>SUM(H139:H141)</f>
        <v>0</v>
      </c>
      <c r="I138" s="127">
        <f>IFERROR(H138/'OSNOVNI PODATKI'!$E$347,0)</f>
        <v>0</v>
      </c>
      <c r="K138" s="111" t="s">
        <v>33</v>
      </c>
      <c r="L138" s="104" t="s">
        <v>34</v>
      </c>
      <c r="M138" s="104"/>
      <c r="N138" s="104"/>
      <c r="O138" s="306">
        <f>SUM(O139:O141)</f>
        <v>0.02</v>
      </c>
      <c r="P138" s="306">
        <f>SUM(P139:P141)</f>
        <v>0.02</v>
      </c>
      <c r="Q138" s="627">
        <f>SUM(Q139:Q141)</f>
        <v>0</v>
      </c>
      <c r="R138" s="106">
        <f>SUM(R139:R141)</f>
        <v>0</v>
      </c>
      <c r="S138" s="127">
        <f>IFERROR(R138/'OSNOVNI PODATKI'!$E$347,0)</f>
        <v>0</v>
      </c>
      <c r="U138" s="306">
        <f>SUM(U139:U141)</f>
        <v>0.03</v>
      </c>
      <c r="V138" s="306">
        <f>SUM(V139:V141)</f>
        <v>0.03</v>
      </c>
      <c r="W138" s="627">
        <f>SUM(W139:W141)</f>
        <v>0</v>
      </c>
      <c r="X138" s="106">
        <f>SUM(X139:X141)</f>
        <v>0</v>
      </c>
    </row>
    <row r="139" spans="1:24" s="13" customFormat="1" ht="14.25" x14ac:dyDescent="0.2">
      <c r="A139" s="90" t="s">
        <v>35</v>
      </c>
      <c r="B139" s="98" t="s">
        <v>67</v>
      </c>
      <c r="C139" s="98"/>
      <c r="D139" s="98"/>
      <c r="E139" s="304">
        <v>5.0000000000000001E-3</v>
      </c>
      <c r="F139" s="304">
        <f>E139*(100%+$F$124)</f>
        <v>5.0000000000000001E-3</v>
      </c>
      <c r="G139" s="628">
        <f>F139*$F$121</f>
        <v>0</v>
      </c>
      <c r="H139" s="89">
        <f>+G139*$F$122</f>
        <v>0</v>
      </c>
      <c r="K139" s="90" t="s">
        <v>35</v>
      </c>
      <c r="L139" s="98" t="s">
        <v>67</v>
      </c>
      <c r="M139" s="98"/>
      <c r="N139" s="98"/>
      <c r="O139" s="304">
        <v>5.0000000000000001E-3</v>
      </c>
      <c r="P139" s="304">
        <f>O139*(100%+$F$125)</f>
        <v>5.0000000000000001E-3</v>
      </c>
      <c r="Q139" s="628">
        <f>IF($F$126="DA",P139*$F$121,0)</f>
        <v>0</v>
      </c>
      <c r="R139" s="89">
        <f>+Q139*$F$122</f>
        <v>0</v>
      </c>
      <c r="U139" s="491">
        <f t="shared" ref="U139:W141" si="0">+E139+O139</f>
        <v>0.01</v>
      </c>
      <c r="V139" s="491">
        <f t="shared" si="0"/>
        <v>0.01</v>
      </c>
      <c r="W139" s="628">
        <f t="shared" si="0"/>
        <v>0</v>
      </c>
      <c r="X139" s="89">
        <f>+W139*$F$122</f>
        <v>0</v>
      </c>
    </row>
    <row r="140" spans="1:24" s="13" customFormat="1" ht="14.25" x14ac:dyDescent="0.2">
      <c r="A140" s="90" t="s">
        <v>36</v>
      </c>
      <c r="B140" s="98" t="s">
        <v>68</v>
      </c>
      <c r="C140" s="98"/>
      <c r="D140" s="98"/>
      <c r="E140" s="304">
        <v>5.0000000000000001E-3</v>
      </c>
      <c r="F140" s="304">
        <f>E140*(100%+$F$124)</f>
        <v>5.0000000000000001E-3</v>
      </c>
      <c r="G140" s="628">
        <f>F140*$F$121</f>
        <v>0</v>
      </c>
      <c r="H140" s="89">
        <f>+G140*$F$122</f>
        <v>0</v>
      </c>
      <c r="K140" s="90" t="s">
        <v>36</v>
      </c>
      <c r="L140" s="98" t="s">
        <v>68</v>
      </c>
      <c r="M140" s="98"/>
      <c r="N140" s="98"/>
      <c r="O140" s="304">
        <v>5.0000000000000001E-3</v>
      </c>
      <c r="P140" s="304">
        <f t="shared" ref="P140:P141" si="1">O140*(100%+$F$125)</f>
        <v>5.0000000000000001E-3</v>
      </c>
      <c r="Q140" s="628">
        <f>IF($F$126="DA",P140*$F$121,0)</f>
        <v>0</v>
      </c>
      <c r="R140" s="89">
        <f t="shared" ref="R140:R141" si="2">+Q140*$F$122</f>
        <v>0</v>
      </c>
      <c r="U140" s="491">
        <f t="shared" si="0"/>
        <v>0.01</v>
      </c>
      <c r="V140" s="491">
        <f t="shared" si="0"/>
        <v>0.01</v>
      </c>
      <c r="W140" s="628">
        <f t="shared" si="0"/>
        <v>0</v>
      </c>
      <c r="X140" s="89">
        <f t="shared" ref="X140:X141" si="3">+W140*$F$122</f>
        <v>0</v>
      </c>
    </row>
    <row r="141" spans="1:24" s="13" customFormat="1" ht="14.25" x14ac:dyDescent="0.2">
      <c r="A141" s="116" t="s">
        <v>37</v>
      </c>
      <c r="B141" s="117" t="s">
        <v>844</v>
      </c>
      <c r="C141" s="117"/>
      <c r="D141" s="117"/>
      <c r="E141" s="490"/>
      <c r="F141" s="490"/>
      <c r="G141" s="629"/>
      <c r="H141" s="93">
        <f>+G141*$F$122</f>
        <v>0</v>
      </c>
      <c r="K141" s="116" t="s">
        <v>37</v>
      </c>
      <c r="L141" s="117" t="s">
        <v>844</v>
      </c>
      <c r="M141" s="117"/>
      <c r="N141" s="117"/>
      <c r="O141" s="490">
        <v>0.01</v>
      </c>
      <c r="P141" s="490">
        <f t="shared" si="1"/>
        <v>0.01</v>
      </c>
      <c r="Q141" s="629">
        <f>IF($F$126="DA",P141*$F$121,0)</f>
        <v>0</v>
      </c>
      <c r="R141" s="93">
        <f t="shared" si="2"/>
        <v>0</v>
      </c>
      <c r="U141" s="492">
        <f t="shared" si="0"/>
        <v>0.01</v>
      </c>
      <c r="V141" s="492">
        <f t="shared" si="0"/>
        <v>0.01</v>
      </c>
      <c r="W141" s="629">
        <f t="shared" si="0"/>
        <v>0</v>
      </c>
      <c r="X141" s="93">
        <f t="shared" si="3"/>
        <v>0</v>
      </c>
    </row>
    <row r="142" spans="1:24" s="13" customFormat="1" ht="14.25" x14ac:dyDescent="0.2">
      <c r="A142" s="115">
        <v>2</v>
      </c>
      <c r="B142" s="104" t="s">
        <v>38</v>
      </c>
      <c r="C142" s="104"/>
      <c r="D142" s="104"/>
      <c r="E142" s="306">
        <f>SUM(E143:E152)</f>
        <v>0.52500000000000002</v>
      </c>
      <c r="F142" s="306">
        <f>SUM(F143:F152)</f>
        <v>0.52500000000000002</v>
      </c>
      <c r="G142" s="630">
        <f>SUM(G143:G152)</f>
        <v>0</v>
      </c>
      <c r="H142" s="106">
        <f>SUM(H143:H152)</f>
        <v>0</v>
      </c>
      <c r="I142" s="127">
        <f>IFERROR(H142/'OSNOVNI PODATKI'!$E$347,0)</f>
        <v>0</v>
      </c>
      <c r="K142" s="115">
        <v>2</v>
      </c>
      <c r="L142" s="104" t="s">
        <v>38</v>
      </c>
      <c r="M142" s="104"/>
      <c r="N142" s="104"/>
      <c r="O142" s="306">
        <f>SUM(O143:O152)</f>
        <v>9.5000000000000001E-2</v>
      </c>
      <c r="P142" s="306">
        <f>SUM(P143:P152)</f>
        <v>9.5000000000000001E-2</v>
      </c>
      <c r="Q142" s="630">
        <f>SUM(Q143:Q152)</f>
        <v>0</v>
      </c>
      <c r="R142" s="106">
        <f>SUM(R143:R152)</f>
        <v>0</v>
      </c>
      <c r="S142" s="127">
        <f>IFERROR(R142/'OSNOVNI PODATKI'!$E$347,0)</f>
        <v>0</v>
      </c>
      <c r="U142" s="306">
        <f>SUM(U143:U152)</f>
        <v>0.62000000000000011</v>
      </c>
      <c r="V142" s="306">
        <f>SUM(V143:V152)</f>
        <v>0.62000000000000011</v>
      </c>
      <c r="W142" s="630">
        <f>SUM(W143:W152)</f>
        <v>0</v>
      </c>
      <c r="X142" s="106">
        <f>SUM(X143:X152)</f>
        <v>0</v>
      </c>
    </row>
    <row r="143" spans="1:24" s="13" customFormat="1" ht="14.25" x14ac:dyDescent="0.2">
      <c r="A143" s="90" t="s">
        <v>51</v>
      </c>
      <c r="B143" s="98" t="s">
        <v>95</v>
      </c>
      <c r="C143" s="98"/>
      <c r="D143" s="98"/>
      <c r="E143" s="491">
        <v>9.5000000000000001E-2</v>
      </c>
      <c r="F143" s="491">
        <f>E143*(100%+$F$124)</f>
        <v>9.5000000000000001E-2</v>
      </c>
      <c r="G143" s="628">
        <f>F143*$F$121</f>
        <v>0</v>
      </c>
      <c r="H143" s="89">
        <f>+G143*$F$122</f>
        <v>0</v>
      </c>
      <c r="K143" s="90" t="s">
        <v>51</v>
      </c>
      <c r="L143" s="98" t="s">
        <v>95</v>
      </c>
      <c r="M143" s="98"/>
      <c r="N143" s="98"/>
      <c r="O143" s="491">
        <v>5.0000000000000001E-3</v>
      </c>
      <c r="P143" s="304">
        <f t="shared" ref="P143:P144" si="4">O143*(100%+$F$125)</f>
        <v>5.0000000000000001E-3</v>
      </c>
      <c r="Q143" s="628">
        <f>IF($F$126="DA",P143*$F$121,0)</f>
        <v>0</v>
      </c>
      <c r="R143" s="89">
        <f t="shared" ref="R143:R150" si="5">+Q143*$F$122</f>
        <v>0</v>
      </c>
      <c r="U143" s="491">
        <f t="shared" ref="U143:W145" si="6">+E143+O143</f>
        <v>0.1</v>
      </c>
      <c r="V143" s="491">
        <f t="shared" si="6"/>
        <v>0.1</v>
      </c>
      <c r="W143" s="628">
        <f t="shared" si="6"/>
        <v>0</v>
      </c>
      <c r="X143" s="89">
        <f t="shared" ref="X143:X150" si="7">+W143*$F$122</f>
        <v>0</v>
      </c>
    </row>
    <row r="144" spans="1:24" s="13" customFormat="1" ht="14.25" x14ac:dyDescent="0.2">
      <c r="A144" s="91" t="s">
        <v>52</v>
      </c>
      <c r="B144" s="102" t="s">
        <v>744</v>
      </c>
      <c r="C144" s="102"/>
      <c r="D144" s="102"/>
      <c r="E144" s="491">
        <v>0.14249999999999999</v>
      </c>
      <c r="F144" s="491">
        <f>E144*(100%+$F$124)</f>
        <v>0.14249999999999999</v>
      </c>
      <c r="G144" s="628">
        <f>F144*$F$121</f>
        <v>0</v>
      </c>
      <c r="H144" s="89">
        <f>+G144*$F$122</f>
        <v>0</v>
      </c>
      <c r="K144" s="91" t="s">
        <v>52</v>
      </c>
      <c r="L144" s="102" t="s">
        <v>744</v>
      </c>
      <c r="M144" s="102"/>
      <c r="N144" s="102"/>
      <c r="O144" s="491">
        <v>7.4999999999999997E-3</v>
      </c>
      <c r="P144" s="304">
        <f t="shared" si="4"/>
        <v>7.4999999999999997E-3</v>
      </c>
      <c r="Q144" s="628">
        <f>IF($F$126="DA",P144*$F$121,0)</f>
        <v>0</v>
      </c>
      <c r="R144" s="89">
        <f t="shared" si="5"/>
        <v>0</v>
      </c>
      <c r="U144" s="491">
        <f t="shared" si="6"/>
        <v>0.15</v>
      </c>
      <c r="V144" s="491">
        <f t="shared" si="6"/>
        <v>0.15</v>
      </c>
      <c r="W144" s="628">
        <f t="shared" si="6"/>
        <v>0</v>
      </c>
      <c r="X144" s="89">
        <f t="shared" si="7"/>
        <v>0</v>
      </c>
    </row>
    <row r="145" spans="1:24" s="13" customFormat="1" ht="14.25" x14ac:dyDescent="0.2">
      <c r="A145" s="91" t="s">
        <v>53</v>
      </c>
      <c r="B145" s="102" t="s">
        <v>848</v>
      </c>
      <c r="C145" s="102"/>
      <c r="D145" s="102"/>
      <c r="E145" s="491"/>
      <c r="F145" s="491"/>
      <c r="G145" s="628"/>
      <c r="H145" s="89"/>
      <c r="K145" s="91" t="s">
        <v>53</v>
      </c>
      <c r="L145" s="102" t="s">
        <v>848</v>
      </c>
      <c r="M145" s="102"/>
      <c r="N145" s="102"/>
      <c r="O145" s="491"/>
      <c r="P145" s="304"/>
      <c r="Q145" s="628"/>
      <c r="R145" s="89"/>
      <c r="U145" s="491">
        <f t="shared" si="6"/>
        <v>0</v>
      </c>
      <c r="V145" s="491">
        <f t="shared" si="6"/>
        <v>0</v>
      </c>
      <c r="W145" s="628">
        <f t="shared" si="6"/>
        <v>0</v>
      </c>
      <c r="X145" s="89">
        <f t="shared" si="7"/>
        <v>0</v>
      </c>
    </row>
    <row r="146" spans="1:24" s="13" customFormat="1" ht="14.25" x14ac:dyDescent="0.2">
      <c r="A146" s="91"/>
      <c r="B146" s="102" t="s">
        <v>851</v>
      </c>
      <c r="C146" s="102"/>
      <c r="D146" s="102"/>
      <c r="E146" s="491"/>
      <c r="F146" s="304"/>
      <c r="G146" s="628"/>
      <c r="H146" s="89"/>
      <c r="K146" s="91"/>
      <c r="L146" s="102" t="s">
        <v>851</v>
      </c>
      <c r="M146" s="102"/>
      <c r="N146" s="102"/>
      <c r="O146" s="491">
        <v>6.0000000000000001E-3</v>
      </c>
      <c r="P146" s="304">
        <f t="shared" ref="P146:P150" si="8">O146*(100%+$F$125)</f>
        <v>6.0000000000000001E-3</v>
      </c>
      <c r="Q146" s="628">
        <f>IF($F$126="DA",P146*$F$121,0)</f>
        <v>0</v>
      </c>
      <c r="R146" s="89">
        <f t="shared" si="5"/>
        <v>0</v>
      </c>
      <c r="U146" s="491">
        <f t="shared" ref="U146:W148" si="9">+E146+O146</f>
        <v>6.0000000000000001E-3</v>
      </c>
      <c r="V146" s="491">
        <f t="shared" si="9"/>
        <v>6.0000000000000001E-3</v>
      </c>
      <c r="W146" s="628">
        <f t="shared" si="9"/>
        <v>0</v>
      </c>
      <c r="X146" s="89">
        <f t="shared" si="7"/>
        <v>0</v>
      </c>
    </row>
    <row r="147" spans="1:24" s="13" customFormat="1" ht="14.25" x14ac:dyDescent="0.2">
      <c r="A147" s="91"/>
      <c r="B147" s="102" t="s">
        <v>852</v>
      </c>
      <c r="C147" s="102"/>
      <c r="D147" s="102"/>
      <c r="E147" s="491"/>
      <c r="F147" s="304"/>
      <c r="G147" s="628"/>
      <c r="H147" s="89"/>
      <c r="K147" s="91"/>
      <c r="L147" s="102" t="s">
        <v>852</v>
      </c>
      <c r="M147" s="102"/>
      <c r="N147" s="102"/>
      <c r="O147" s="491">
        <v>2.4E-2</v>
      </c>
      <c r="P147" s="304">
        <f t="shared" si="8"/>
        <v>2.4E-2</v>
      </c>
      <c r="Q147" s="628">
        <f>IF($F$126="DA",P147*$F$121,0)</f>
        <v>0</v>
      </c>
      <c r="R147" s="89">
        <f t="shared" si="5"/>
        <v>0</v>
      </c>
      <c r="U147" s="491">
        <f t="shared" si="9"/>
        <v>2.4E-2</v>
      </c>
      <c r="V147" s="491">
        <f t="shared" si="9"/>
        <v>2.4E-2</v>
      </c>
      <c r="W147" s="628">
        <f t="shared" si="9"/>
        <v>0</v>
      </c>
      <c r="X147" s="89">
        <f t="shared" si="7"/>
        <v>0</v>
      </c>
    </row>
    <row r="148" spans="1:24" s="800" customFormat="1" ht="14.25" x14ac:dyDescent="0.2">
      <c r="A148" s="795"/>
      <c r="B148" s="796" t="s">
        <v>1053</v>
      </c>
      <c r="C148" s="796"/>
      <c r="D148" s="796"/>
      <c r="E148" s="794"/>
      <c r="F148" s="797"/>
      <c r="G148" s="798"/>
      <c r="H148" s="799"/>
      <c r="K148" s="795"/>
      <c r="L148" s="796" t="s">
        <v>1053</v>
      </c>
      <c r="M148" s="796"/>
      <c r="N148" s="796"/>
      <c r="O148" s="794">
        <v>0.02</v>
      </c>
      <c r="P148" s="304">
        <f t="shared" si="8"/>
        <v>0.02</v>
      </c>
      <c r="Q148" s="628">
        <f>IF($F$126="DA",P148*$F$121,0)</f>
        <v>0</v>
      </c>
      <c r="R148" s="803">
        <f t="shared" si="5"/>
        <v>0</v>
      </c>
      <c r="U148" s="794">
        <f t="shared" si="9"/>
        <v>0.02</v>
      </c>
      <c r="V148" s="794">
        <f t="shared" si="9"/>
        <v>0.02</v>
      </c>
      <c r="W148" s="628">
        <f t="shared" si="9"/>
        <v>0</v>
      </c>
      <c r="X148" s="803">
        <f t="shared" si="7"/>
        <v>0</v>
      </c>
    </row>
    <row r="149" spans="1:24" ht="14.25" x14ac:dyDescent="0.2">
      <c r="A149" s="91" t="s">
        <v>96</v>
      </c>
      <c r="B149" s="102" t="s">
        <v>745</v>
      </c>
      <c r="C149" s="102"/>
      <c r="D149" s="102"/>
      <c r="E149" s="491">
        <v>0.23499999999999999</v>
      </c>
      <c r="F149" s="491">
        <f>E149*(100%+$F$124)</f>
        <v>0.23499999999999999</v>
      </c>
      <c r="G149" s="628">
        <f>F149*$F$121</f>
        <v>0</v>
      </c>
      <c r="H149" s="89">
        <f>+G149*$F$122</f>
        <v>0</v>
      </c>
      <c r="I149" s="13"/>
      <c r="K149" s="91" t="s">
        <v>96</v>
      </c>
      <c r="L149" s="102" t="s">
        <v>745</v>
      </c>
      <c r="M149" s="102"/>
      <c r="N149" s="102"/>
      <c r="O149" s="491">
        <v>1.4999999999999999E-2</v>
      </c>
      <c r="P149" s="304">
        <f t="shared" si="8"/>
        <v>1.4999999999999999E-2</v>
      </c>
      <c r="Q149" s="628">
        <f>IF($F$126="DA",P149*$F$121,0)</f>
        <v>0</v>
      </c>
      <c r="R149" s="89">
        <f t="shared" si="5"/>
        <v>0</v>
      </c>
      <c r="S149" s="13"/>
      <c r="U149" s="491">
        <f t="shared" ref="U149:W150" si="10">+E149+O149</f>
        <v>0.25</v>
      </c>
      <c r="V149" s="491">
        <f t="shared" si="10"/>
        <v>0.25</v>
      </c>
      <c r="W149" s="628">
        <f t="shared" si="10"/>
        <v>0</v>
      </c>
      <c r="X149" s="89">
        <f t="shared" si="7"/>
        <v>0</v>
      </c>
    </row>
    <row r="150" spans="1:24" ht="14.25" x14ac:dyDescent="0.2">
      <c r="A150" s="119" t="s">
        <v>97</v>
      </c>
      <c r="B150" s="120" t="s">
        <v>845</v>
      </c>
      <c r="C150" s="120"/>
      <c r="D150" s="120"/>
      <c r="E150" s="492">
        <v>3.7499999999999999E-2</v>
      </c>
      <c r="F150" s="491">
        <f>E150*(100%+$F$124)</f>
        <v>3.7499999999999999E-2</v>
      </c>
      <c r="G150" s="629">
        <f>F150*$F$121</f>
        <v>0</v>
      </c>
      <c r="H150" s="93">
        <f>+G150*$F$122</f>
        <v>0</v>
      </c>
      <c r="I150" s="13"/>
      <c r="K150" s="91" t="s">
        <v>97</v>
      </c>
      <c r="L150" s="102" t="s">
        <v>845</v>
      </c>
      <c r="M150" s="102"/>
      <c r="N150" s="102"/>
      <c r="O150" s="491">
        <v>2.5000000000000001E-3</v>
      </c>
      <c r="P150" s="304">
        <f t="shared" si="8"/>
        <v>2.5000000000000001E-3</v>
      </c>
      <c r="Q150" s="628">
        <f>IF($F$126="DA",P150*$F$121,0)</f>
        <v>0</v>
      </c>
      <c r="R150" s="89">
        <f t="shared" si="5"/>
        <v>0</v>
      </c>
      <c r="S150" s="13"/>
      <c r="U150" s="491">
        <f t="shared" si="10"/>
        <v>0.04</v>
      </c>
      <c r="V150" s="491">
        <f t="shared" si="10"/>
        <v>0.04</v>
      </c>
      <c r="W150" s="628">
        <f t="shared" si="10"/>
        <v>0</v>
      </c>
      <c r="X150" s="89">
        <f t="shared" si="7"/>
        <v>0</v>
      </c>
    </row>
    <row r="151" spans="1:24" s="800" customFormat="1" ht="14.25" x14ac:dyDescent="0.2">
      <c r="A151" s="804"/>
      <c r="B151" s="805" t="s">
        <v>965</v>
      </c>
      <c r="C151" s="805"/>
      <c r="D151" s="805"/>
      <c r="E151" s="806">
        <v>1.4999999999999999E-2</v>
      </c>
      <c r="F151" s="491">
        <f>E151*(100%+$F$124)</f>
        <v>1.4999999999999999E-2</v>
      </c>
      <c r="G151" s="802">
        <f t="shared" ref="G151" si="11">F151*$F$121</f>
        <v>0</v>
      </c>
      <c r="H151" s="803">
        <f t="shared" ref="H151" si="12">+G151*$F$122</f>
        <v>0</v>
      </c>
      <c r="K151" s="804"/>
      <c r="L151" s="805" t="s">
        <v>965</v>
      </c>
      <c r="M151" s="805"/>
      <c r="N151" s="805"/>
      <c r="O151" s="806"/>
      <c r="P151" s="808"/>
      <c r="Q151" s="809"/>
      <c r="R151" s="810"/>
      <c r="U151" s="806">
        <f t="shared" ref="U151:W152" si="13">+E151+O151</f>
        <v>1.4999999999999999E-2</v>
      </c>
      <c r="V151" s="806">
        <f t="shared" si="13"/>
        <v>1.4999999999999999E-2</v>
      </c>
      <c r="W151" s="809">
        <f t="shared" si="13"/>
        <v>0</v>
      </c>
      <c r="X151" s="858">
        <f t="shared" ref="X151:X152" si="14">+W151*$F$122</f>
        <v>0</v>
      </c>
    </row>
    <row r="152" spans="1:24" s="800" customFormat="1" ht="14.25" x14ac:dyDescent="0.2">
      <c r="A152" s="811"/>
      <c r="B152" s="812" t="s">
        <v>1041</v>
      </c>
      <c r="C152" s="812"/>
      <c r="D152" s="812"/>
      <c r="E152" s="813"/>
      <c r="F152" s="814"/>
      <c r="G152" s="815"/>
      <c r="H152" s="816"/>
      <c r="K152" s="811"/>
      <c r="L152" s="812" t="s">
        <v>1041</v>
      </c>
      <c r="M152" s="812"/>
      <c r="N152" s="812"/>
      <c r="O152" s="813">
        <v>1.4999999999999999E-2</v>
      </c>
      <c r="P152" s="490">
        <f>O152*(100%+$F$125)</f>
        <v>1.4999999999999999E-2</v>
      </c>
      <c r="Q152" s="629">
        <f>IF($F$126="DA",P152*$F$121,0)</f>
        <v>0</v>
      </c>
      <c r="R152" s="844">
        <f t="shared" ref="R152" si="15">+Q152*$F$122</f>
        <v>0</v>
      </c>
      <c r="U152" s="813">
        <f t="shared" si="13"/>
        <v>1.4999999999999999E-2</v>
      </c>
      <c r="V152" s="813">
        <f t="shared" si="13"/>
        <v>1.4999999999999999E-2</v>
      </c>
      <c r="W152" s="629">
        <f t="shared" si="13"/>
        <v>0</v>
      </c>
      <c r="X152" s="844">
        <f t="shared" si="14"/>
        <v>0</v>
      </c>
    </row>
    <row r="153" spans="1:24" x14ac:dyDescent="0.2">
      <c r="A153" s="118" t="s">
        <v>39</v>
      </c>
      <c r="B153" s="104" t="s">
        <v>122</v>
      </c>
      <c r="C153" s="104"/>
      <c r="D153" s="104"/>
      <c r="E153" s="306">
        <f>SUM(E154:E157)</f>
        <v>0.01</v>
      </c>
      <c r="F153" s="306">
        <f>SUM(F154:F157)</f>
        <v>0.01</v>
      </c>
      <c r="G153" s="627">
        <f>SUM(G154:G157)</f>
        <v>0</v>
      </c>
      <c r="H153" s="106">
        <f>SUM(H154:H157)</f>
        <v>0</v>
      </c>
      <c r="I153" s="127">
        <f>IFERROR(H153/'OSNOVNI PODATKI'!$E$347,0)</f>
        <v>0</v>
      </c>
      <c r="K153" s="118" t="s">
        <v>39</v>
      </c>
      <c r="L153" s="104" t="s">
        <v>122</v>
      </c>
      <c r="M153" s="104"/>
      <c r="N153" s="104"/>
      <c r="O153" s="306">
        <f>SUM(O154:O157)</f>
        <v>0.02</v>
      </c>
      <c r="P153" s="306">
        <f>SUM(P154:P157)</f>
        <v>0.02</v>
      </c>
      <c r="Q153" s="627">
        <f>SUM(Q154:Q157)</f>
        <v>0</v>
      </c>
      <c r="R153" s="106">
        <f>SUM(R154:R157)</f>
        <v>0</v>
      </c>
      <c r="S153" s="127">
        <f>IFERROR(R153/'OSNOVNI PODATKI'!$E$347,0)</f>
        <v>0</v>
      </c>
      <c r="U153" s="306">
        <f>SUM(U154:U157)</f>
        <v>0.03</v>
      </c>
      <c r="V153" s="306">
        <f>SUM(V154:V157)</f>
        <v>0.03</v>
      </c>
      <c r="W153" s="627">
        <f>SUM(W154:W157)</f>
        <v>0</v>
      </c>
      <c r="X153" s="106">
        <f>SUM(X154:X157)</f>
        <v>0</v>
      </c>
    </row>
    <row r="154" spans="1:24" ht="14.25" x14ac:dyDescent="0.2">
      <c r="A154" s="91" t="s">
        <v>40</v>
      </c>
      <c r="B154" s="97" t="s">
        <v>846</v>
      </c>
      <c r="C154" s="97"/>
      <c r="D154" s="97"/>
      <c r="E154" s="304">
        <v>5.0000000000000001E-3</v>
      </c>
      <c r="F154" s="491">
        <f>E154*(100%+$F$124)</f>
        <v>5.0000000000000001E-3</v>
      </c>
      <c r="G154" s="628">
        <f>F154*$F$121</f>
        <v>0</v>
      </c>
      <c r="H154" s="89">
        <f>+G154*$F$122</f>
        <v>0</v>
      </c>
      <c r="I154" s="13"/>
      <c r="K154" s="91" t="s">
        <v>40</v>
      </c>
      <c r="L154" s="97" t="s">
        <v>846</v>
      </c>
      <c r="M154" s="97"/>
      <c r="N154" s="97"/>
      <c r="O154" s="304">
        <v>2.5000000000000001E-3</v>
      </c>
      <c r="P154" s="304">
        <f t="shared" ref="P154:P157" si="16">O154*(100%+$F$125)</f>
        <v>2.5000000000000001E-3</v>
      </c>
      <c r="Q154" s="628">
        <f>IF($F$126="DA",P154*$F$121,0)</f>
        <v>0</v>
      </c>
      <c r="R154" s="89">
        <f t="shared" ref="R154:R157" si="17">+Q154*$F$122</f>
        <v>0</v>
      </c>
      <c r="S154" s="13"/>
      <c r="U154" s="491">
        <f>+E154+O154</f>
        <v>7.4999999999999997E-3</v>
      </c>
      <c r="V154" s="491">
        <f>+F154+P154</f>
        <v>7.4999999999999997E-3</v>
      </c>
      <c r="W154" s="628">
        <f>+G154+Q154</f>
        <v>0</v>
      </c>
      <c r="X154" s="89">
        <f t="shared" ref="X154:X157" si="18">+W154*$F$122</f>
        <v>0</v>
      </c>
    </row>
    <row r="155" spans="1:24" s="800" customFormat="1" ht="14.25" x14ac:dyDescent="0.2">
      <c r="A155" s="804"/>
      <c r="B155" s="805" t="s">
        <v>1042</v>
      </c>
      <c r="C155" s="805"/>
      <c r="D155" s="805"/>
      <c r="E155" s="806"/>
      <c r="F155" s="807"/>
      <c r="G155" s="809"/>
      <c r="H155" s="810"/>
      <c r="K155" s="795"/>
      <c r="L155" s="805" t="s">
        <v>1042</v>
      </c>
      <c r="M155" s="796"/>
      <c r="N155" s="796"/>
      <c r="O155" s="794">
        <v>5.0000000000000001E-3</v>
      </c>
      <c r="P155" s="304">
        <f t="shared" si="16"/>
        <v>5.0000000000000001E-3</v>
      </c>
      <c r="Q155" s="628">
        <f>IF($F$126="DA",P155*$F$121,0)</f>
        <v>0</v>
      </c>
      <c r="R155" s="803">
        <f t="shared" si="17"/>
        <v>0</v>
      </c>
      <c r="U155" s="794">
        <f t="shared" ref="U155:W155" si="19">+E155+O155</f>
        <v>5.0000000000000001E-3</v>
      </c>
      <c r="V155" s="794">
        <f t="shared" si="19"/>
        <v>5.0000000000000001E-3</v>
      </c>
      <c r="W155" s="628">
        <f t="shared" si="19"/>
        <v>0</v>
      </c>
      <c r="X155" s="803">
        <f t="shared" si="18"/>
        <v>0</v>
      </c>
    </row>
    <row r="156" spans="1:24" ht="14.25" x14ac:dyDescent="0.2">
      <c r="A156" s="119" t="s">
        <v>41</v>
      </c>
      <c r="B156" s="92" t="s">
        <v>202</v>
      </c>
      <c r="C156" s="92"/>
      <c r="D156" s="92"/>
      <c r="E156" s="490">
        <v>5.0000000000000001E-3</v>
      </c>
      <c r="F156" s="491">
        <f>E156*(100%+$F$124)</f>
        <v>5.0000000000000001E-3</v>
      </c>
      <c r="G156" s="629">
        <f>F156*$F$121</f>
        <v>0</v>
      </c>
      <c r="H156" s="93">
        <f>+G156*$F$122</f>
        <v>0</v>
      </c>
      <c r="I156" s="13"/>
      <c r="K156" s="91" t="s">
        <v>41</v>
      </c>
      <c r="L156" s="97" t="s">
        <v>202</v>
      </c>
      <c r="M156" s="97"/>
      <c r="N156" s="97"/>
      <c r="O156" s="304">
        <v>2.5000000000000001E-3</v>
      </c>
      <c r="P156" s="304">
        <f t="shared" si="16"/>
        <v>2.5000000000000001E-3</v>
      </c>
      <c r="Q156" s="628">
        <f>IF($F$126="DA",P156*$F$121,0)</f>
        <v>0</v>
      </c>
      <c r="R156" s="89">
        <f t="shared" si="17"/>
        <v>0</v>
      </c>
      <c r="S156" s="13"/>
      <c r="U156" s="491">
        <f>+E156+O156</f>
        <v>7.4999999999999997E-3</v>
      </c>
      <c r="V156" s="491">
        <f>+F156+P156</f>
        <v>7.4999999999999997E-3</v>
      </c>
      <c r="W156" s="628">
        <f>+G156+Q156</f>
        <v>0</v>
      </c>
      <c r="X156" s="89">
        <f t="shared" si="18"/>
        <v>0</v>
      </c>
    </row>
    <row r="157" spans="1:24" s="800" customFormat="1" ht="14.25" x14ac:dyDescent="0.2">
      <c r="A157" s="811"/>
      <c r="B157" s="812" t="s">
        <v>1042</v>
      </c>
      <c r="C157" s="812"/>
      <c r="D157" s="812"/>
      <c r="E157" s="813"/>
      <c r="F157" s="817"/>
      <c r="G157" s="815"/>
      <c r="H157" s="816"/>
      <c r="K157" s="852"/>
      <c r="L157" s="853" t="s">
        <v>1042</v>
      </c>
      <c r="M157" s="853"/>
      <c r="N157" s="853"/>
      <c r="O157" s="854">
        <v>0.01</v>
      </c>
      <c r="P157" s="855">
        <f t="shared" si="16"/>
        <v>0.01</v>
      </c>
      <c r="Q157" s="856">
        <f>IF($F$126="DA",P157*$F$121,0)</f>
        <v>0</v>
      </c>
      <c r="R157" s="857">
        <f t="shared" si="17"/>
        <v>0</v>
      </c>
      <c r="U157" s="854">
        <f t="shared" ref="U157:W157" si="20">+E157+O157</f>
        <v>0.01</v>
      </c>
      <c r="V157" s="854">
        <f t="shared" si="20"/>
        <v>0.01</v>
      </c>
      <c r="W157" s="856">
        <f t="shared" si="20"/>
        <v>0</v>
      </c>
      <c r="X157" s="857">
        <f t="shared" si="18"/>
        <v>0</v>
      </c>
    </row>
    <row r="158" spans="1:24" x14ac:dyDescent="0.2">
      <c r="A158" s="122">
        <v>4</v>
      </c>
      <c r="B158" s="104" t="s">
        <v>60</v>
      </c>
      <c r="C158" s="104"/>
      <c r="D158" s="104"/>
      <c r="E158" s="306">
        <f>SUM(E159:E166)</f>
        <v>0.26</v>
      </c>
      <c r="F158" s="306">
        <f>SUM(F159:F166)</f>
        <v>0.26</v>
      </c>
      <c r="G158" s="627">
        <f>SUM(G159:G166)</f>
        <v>0</v>
      </c>
      <c r="H158" s="106">
        <f>SUM(H159:H166)</f>
        <v>0</v>
      </c>
      <c r="I158" s="127">
        <f>IFERROR(H158/'OSNOVNI PODATKI'!$E$347,0)</f>
        <v>0</v>
      </c>
      <c r="K158" s="122">
        <v>4</v>
      </c>
      <c r="L158" s="104" t="s">
        <v>60</v>
      </c>
      <c r="M158" s="104"/>
      <c r="N158" s="104"/>
      <c r="O158" s="306">
        <f>SUM(O159:O166)</f>
        <v>0.04</v>
      </c>
      <c r="P158" s="306">
        <f>SUM(P159:P166)</f>
        <v>0.04</v>
      </c>
      <c r="Q158" s="627">
        <f>SUM(Q159:Q166)</f>
        <v>0</v>
      </c>
      <c r="R158" s="106">
        <f>SUM(R159:R166)</f>
        <v>0</v>
      </c>
      <c r="S158" s="127">
        <f>IFERROR(R158/'OSNOVNI PODATKI'!$E$347,0)</f>
        <v>0</v>
      </c>
      <c r="U158" s="306">
        <f>SUM(U159:U166)</f>
        <v>0.30000000000000004</v>
      </c>
      <c r="V158" s="306">
        <f>SUM(V159:V166)</f>
        <v>0.30000000000000004</v>
      </c>
      <c r="W158" s="627">
        <f>SUM(W159:W166)</f>
        <v>0</v>
      </c>
      <c r="X158" s="106">
        <f>SUM(X159:X166)</f>
        <v>0</v>
      </c>
    </row>
    <row r="159" spans="1:24" ht="14.25" x14ac:dyDescent="0.2">
      <c r="A159" s="91" t="s">
        <v>42</v>
      </c>
      <c r="B159" s="97" t="s">
        <v>203</v>
      </c>
      <c r="C159" s="97"/>
      <c r="D159" s="97"/>
      <c r="E159" s="304"/>
      <c r="F159" s="304"/>
      <c r="G159" s="628">
        <f>F159*$F$121</f>
        <v>0</v>
      </c>
      <c r="H159" s="89">
        <f>+G159*$F$122</f>
        <v>0</v>
      </c>
      <c r="I159" s="13"/>
      <c r="K159" s="91" t="s">
        <v>42</v>
      </c>
      <c r="L159" s="97" t="s">
        <v>203</v>
      </c>
      <c r="M159" s="97"/>
      <c r="N159" s="97"/>
      <c r="O159" s="304">
        <v>0.01</v>
      </c>
      <c r="P159" s="304">
        <f t="shared" ref="P159:P166" si="21">O159*(100%+$F$125)</f>
        <v>0.01</v>
      </c>
      <c r="Q159" s="628">
        <f t="shared" ref="Q159:Q166" si="22">IF($F$126="DA",P159*$F$121,0)</f>
        <v>0</v>
      </c>
      <c r="R159" s="89">
        <f t="shared" ref="R159:R166" si="23">+Q159*$F$122</f>
        <v>0</v>
      </c>
      <c r="S159" s="13"/>
      <c r="U159" s="491">
        <f t="shared" ref="U159:W160" si="24">+E159+O159</f>
        <v>0.01</v>
      </c>
      <c r="V159" s="491">
        <f t="shared" si="24"/>
        <v>0.01</v>
      </c>
      <c r="W159" s="628">
        <f t="shared" si="24"/>
        <v>0</v>
      </c>
      <c r="X159" s="89">
        <f t="shared" ref="X159:X166" si="25">+W159*$F$122</f>
        <v>0</v>
      </c>
    </row>
    <row r="160" spans="1:24" ht="14.25" x14ac:dyDescent="0.2">
      <c r="A160" s="91" t="s">
        <v>43</v>
      </c>
      <c r="B160" s="97" t="s">
        <v>865</v>
      </c>
      <c r="C160" s="97"/>
      <c r="D160" s="97"/>
      <c r="E160" s="304">
        <v>5.5E-2</v>
      </c>
      <c r="F160" s="491">
        <f t="shared" ref="F160:F166" si="26">E160*(100%+$F$124)</f>
        <v>5.5E-2</v>
      </c>
      <c r="G160" s="628">
        <f>F160*$F$121</f>
        <v>0</v>
      </c>
      <c r="H160" s="89">
        <f>+G160*$F$122</f>
        <v>0</v>
      </c>
      <c r="I160" s="13"/>
      <c r="K160" s="91" t="s">
        <v>43</v>
      </c>
      <c r="L160" s="97" t="s">
        <v>865</v>
      </c>
      <c r="M160" s="97"/>
      <c r="N160" s="97"/>
      <c r="O160" s="304">
        <v>5.0000000000000001E-3</v>
      </c>
      <c r="P160" s="304">
        <f t="shared" si="21"/>
        <v>5.0000000000000001E-3</v>
      </c>
      <c r="Q160" s="628">
        <f t="shared" si="22"/>
        <v>0</v>
      </c>
      <c r="R160" s="89">
        <f t="shared" si="23"/>
        <v>0</v>
      </c>
      <c r="S160" s="13"/>
      <c r="U160" s="491">
        <f t="shared" si="24"/>
        <v>0.06</v>
      </c>
      <c r="V160" s="491">
        <f t="shared" si="24"/>
        <v>0.06</v>
      </c>
      <c r="W160" s="628">
        <f t="shared" si="24"/>
        <v>0</v>
      </c>
      <c r="X160" s="89">
        <f t="shared" si="25"/>
        <v>0</v>
      </c>
    </row>
    <row r="161" spans="1:24" s="800" customFormat="1" ht="14.25" x14ac:dyDescent="0.2">
      <c r="A161" s="795"/>
      <c r="B161" s="796" t="s">
        <v>505</v>
      </c>
      <c r="C161" s="796"/>
      <c r="D161" s="796"/>
      <c r="E161" s="794">
        <v>0.16500000000000001</v>
      </c>
      <c r="F161" s="491">
        <f t="shared" si="26"/>
        <v>0.16500000000000001</v>
      </c>
      <c r="G161" s="802">
        <f t="shared" ref="G161" si="27">F161*$F$121</f>
        <v>0</v>
      </c>
      <c r="H161" s="803">
        <f t="shared" ref="H161" si="28">+G161*$F$122</f>
        <v>0</v>
      </c>
      <c r="K161" s="795"/>
      <c r="L161" s="796" t="s">
        <v>505</v>
      </c>
      <c r="M161" s="796"/>
      <c r="N161" s="796"/>
      <c r="O161" s="794">
        <v>1.4999999999999999E-2</v>
      </c>
      <c r="P161" s="304">
        <f t="shared" si="21"/>
        <v>1.4999999999999999E-2</v>
      </c>
      <c r="Q161" s="628">
        <f t="shared" si="22"/>
        <v>0</v>
      </c>
      <c r="R161" s="803">
        <f t="shared" si="23"/>
        <v>0</v>
      </c>
      <c r="U161" s="794">
        <f t="shared" ref="U161:W161" si="29">+E161+O161</f>
        <v>0.18</v>
      </c>
      <c r="V161" s="794">
        <f t="shared" si="29"/>
        <v>0.18</v>
      </c>
      <c r="W161" s="628">
        <f t="shared" si="29"/>
        <v>0</v>
      </c>
      <c r="X161" s="803">
        <f t="shared" si="25"/>
        <v>0</v>
      </c>
    </row>
    <row r="162" spans="1:24" ht="14.25" x14ac:dyDescent="0.2">
      <c r="A162" s="91" t="s">
        <v>44</v>
      </c>
      <c r="B162" s="97" t="s">
        <v>963</v>
      </c>
      <c r="C162" s="97"/>
      <c r="D162" s="97"/>
      <c r="E162" s="304">
        <v>4.0000000000000001E-3</v>
      </c>
      <c r="F162" s="491">
        <f t="shared" si="26"/>
        <v>4.0000000000000001E-3</v>
      </c>
      <c r="G162" s="628">
        <f>F162*$F$121</f>
        <v>0</v>
      </c>
      <c r="H162" s="89">
        <f>+G162*$F$122</f>
        <v>0</v>
      </c>
      <c r="I162" s="13"/>
      <c r="K162" s="91" t="s">
        <v>44</v>
      </c>
      <c r="L162" s="97" t="s">
        <v>963</v>
      </c>
      <c r="M162" s="97"/>
      <c r="N162" s="97"/>
      <c r="O162" s="304">
        <v>1E-3</v>
      </c>
      <c r="P162" s="304">
        <f t="shared" si="21"/>
        <v>1E-3</v>
      </c>
      <c r="Q162" s="628">
        <f t="shared" si="22"/>
        <v>0</v>
      </c>
      <c r="R162" s="89">
        <f t="shared" si="23"/>
        <v>0</v>
      </c>
      <c r="S162" s="13"/>
      <c r="U162" s="491">
        <f>+E162+O162</f>
        <v>5.0000000000000001E-3</v>
      </c>
      <c r="V162" s="491">
        <f>+F162+P162</f>
        <v>5.0000000000000001E-3</v>
      </c>
      <c r="W162" s="628">
        <f>+G162+Q162</f>
        <v>0</v>
      </c>
      <c r="X162" s="89">
        <f t="shared" si="25"/>
        <v>0</v>
      </c>
    </row>
    <row r="163" spans="1:24" s="800" customFormat="1" ht="14.25" x14ac:dyDescent="0.2">
      <c r="A163" s="795"/>
      <c r="B163" s="796" t="s">
        <v>505</v>
      </c>
      <c r="C163" s="796"/>
      <c r="D163" s="796"/>
      <c r="E163" s="794">
        <v>3.5000000000000001E-3</v>
      </c>
      <c r="F163" s="491">
        <f t="shared" si="26"/>
        <v>3.5000000000000001E-3</v>
      </c>
      <c r="G163" s="802">
        <f t="shared" ref="G163" si="30">F163*$F$121</f>
        <v>0</v>
      </c>
      <c r="H163" s="803">
        <f t="shared" ref="H163" si="31">+G163*$F$122</f>
        <v>0</v>
      </c>
      <c r="K163" s="795"/>
      <c r="L163" s="796" t="s">
        <v>505</v>
      </c>
      <c r="M163" s="796"/>
      <c r="N163" s="796"/>
      <c r="O163" s="794">
        <v>1.5E-3</v>
      </c>
      <c r="P163" s="304">
        <f t="shared" si="21"/>
        <v>1.5E-3</v>
      </c>
      <c r="Q163" s="628">
        <f t="shared" si="22"/>
        <v>0</v>
      </c>
      <c r="R163" s="803">
        <f t="shared" si="23"/>
        <v>0</v>
      </c>
      <c r="U163" s="794">
        <f t="shared" ref="U163:W163" si="32">+E163+O163</f>
        <v>5.0000000000000001E-3</v>
      </c>
      <c r="V163" s="794">
        <f t="shared" si="32"/>
        <v>5.0000000000000001E-3</v>
      </c>
      <c r="W163" s="628">
        <f t="shared" si="32"/>
        <v>0</v>
      </c>
      <c r="X163" s="803">
        <f t="shared" si="25"/>
        <v>0</v>
      </c>
    </row>
    <row r="164" spans="1:24" ht="14.25" x14ac:dyDescent="0.2">
      <c r="A164" s="91" t="s">
        <v>45</v>
      </c>
      <c r="B164" s="97" t="s">
        <v>866</v>
      </c>
      <c r="C164" s="97"/>
      <c r="D164" s="97"/>
      <c r="E164" s="304">
        <v>4.0000000000000001E-3</v>
      </c>
      <c r="F164" s="491">
        <f t="shared" si="26"/>
        <v>4.0000000000000001E-3</v>
      </c>
      <c r="G164" s="628">
        <f>F164*$F$121</f>
        <v>0</v>
      </c>
      <c r="H164" s="89">
        <f>+G164*$F$122</f>
        <v>0</v>
      </c>
      <c r="I164" s="13"/>
      <c r="K164" s="91" t="s">
        <v>45</v>
      </c>
      <c r="L164" s="97" t="s">
        <v>866</v>
      </c>
      <c r="M164" s="97"/>
      <c r="N164" s="97"/>
      <c r="O164" s="304">
        <v>1E-3</v>
      </c>
      <c r="P164" s="304">
        <f t="shared" si="21"/>
        <v>1E-3</v>
      </c>
      <c r="Q164" s="628">
        <f t="shared" si="22"/>
        <v>0</v>
      </c>
      <c r="R164" s="89">
        <f t="shared" si="23"/>
        <v>0</v>
      </c>
      <c r="S164" s="13"/>
      <c r="U164" s="491">
        <f>+E164+O164</f>
        <v>5.0000000000000001E-3</v>
      </c>
      <c r="V164" s="491">
        <f>+F164+P164</f>
        <v>5.0000000000000001E-3</v>
      </c>
      <c r="W164" s="628">
        <f>+G164+Q164</f>
        <v>0</v>
      </c>
      <c r="X164" s="89">
        <f t="shared" si="25"/>
        <v>0</v>
      </c>
    </row>
    <row r="165" spans="1:24" s="800" customFormat="1" ht="14.25" x14ac:dyDescent="0.2">
      <c r="A165" s="795"/>
      <c r="B165" s="796" t="s">
        <v>505</v>
      </c>
      <c r="C165" s="796"/>
      <c r="D165" s="796"/>
      <c r="E165" s="794">
        <v>3.5000000000000001E-3</v>
      </c>
      <c r="F165" s="491">
        <f t="shared" si="26"/>
        <v>3.5000000000000001E-3</v>
      </c>
      <c r="G165" s="802">
        <f t="shared" ref="G165" si="33">F165*$F$121</f>
        <v>0</v>
      </c>
      <c r="H165" s="803">
        <f t="shared" ref="H165" si="34">+G165*$F$122</f>
        <v>0</v>
      </c>
      <c r="K165" s="795"/>
      <c r="L165" s="796" t="s">
        <v>505</v>
      </c>
      <c r="M165" s="796"/>
      <c r="N165" s="796"/>
      <c r="O165" s="794">
        <v>1.5E-3</v>
      </c>
      <c r="P165" s="304">
        <f t="shared" si="21"/>
        <v>1.5E-3</v>
      </c>
      <c r="Q165" s="628">
        <f t="shared" si="22"/>
        <v>0</v>
      </c>
      <c r="R165" s="803">
        <f t="shared" si="23"/>
        <v>0</v>
      </c>
      <c r="U165" s="794">
        <f t="shared" ref="U165:W165" si="35">+E165+O165</f>
        <v>5.0000000000000001E-3</v>
      </c>
      <c r="V165" s="794">
        <f t="shared" si="35"/>
        <v>5.0000000000000001E-3</v>
      </c>
      <c r="W165" s="628">
        <f t="shared" si="35"/>
        <v>0</v>
      </c>
      <c r="X165" s="803">
        <f t="shared" si="25"/>
        <v>0</v>
      </c>
    </row>
    <row r="166" spans="1:24" ht="14.25" x14ac:dyDescent="0.2">
      <c r="A166" s="119" t="s">
        <v>46</v>
      </c>
      <c r="B166" s="92" t="s">
        <v>847</v>
      </c>
      <c r="C166" s="92"/>
      <c r="D166" s="92"/>
      <c r="E166" s="490">
        <v>2.5000000000000001E-2</v>
      </c>
      <c r="F166" s="492">
        <f t="shared" si="26"/>
        <v>2.5000000000000001E-2</v>
      </c>
      <c r="G166" s="629">
        <f>F166*$F$121</f>
        <v>0</v>
      </c>
      <c r="H166" s="93">
        <f>+G166*$F$122</f>
        <v>0</v>
      </c>
      <c r="I166" s="13"/>
      <c r="K166" s="119" t="s">
        <v>46</v>
      </c>
      <c r="L166" s="92" t="s">
        <v>847</v>
      </c>
      <c r="M166" s="92"/>
      <c r="N166" s="92"/>
      <c r="O166" s="490">
        <v>5.0000000000000001E-3</v>
      </c>
      <c r="P166" s="304">
        <f t="shared" si="21"/>
        <v>5.0000000000000001E-3</v>
      </c>
      <c r="Q166" s="629">
        <f t="shared" si="22"/>
        <v>0</v>
      </c>
      <c r="R166" s="93">
        <f t="shared" si="23"/>
        <v>0</v>
      </c>
      <c r="S166" s="13"/>
      <c r="U166" s="492">
        <f>+E166+O166</f>
        <v>3.0000000000000002E-2</v>
      </c>
      <c r="V166" s="492">
        <f>+F166+P166</f>
        <v>3.0000000000000002E-2</v>
      </c>
      <c r="W166" s="629">
        <f>+G166+Q166</f>
        <v>0</v>
      </c>
      <c r="X166" s="93">
        <f t="shared" si="25"/>
        <v>0</v>
      </c>
    </row>
    <row r="167" spans="1:24" x14ac:dyDescent="0.2">
      <c r="A167" s="123">
        <v>5</v>
      </c>
      <c r="B167" s="104" t="s">
        <v>47</v>
      </c>
      <c r="C167" s="104"/>
      <c r="D167" s="104"/>
      <c r="E167" s="306">
        <f>SUM(E168:E169)</f>
        <v>1.4999999999999999E-2</v>
      </c>
      <c r="F167" s="306">
        <f>SUM(F168:F169)</f>
        <v>1.4999999999999999E-2</v>
      </c>
      <c r="G167" s="627">
        <f>SUM(G168:G169)</f>
        <v>0</v>
      </c>
      <c r="H167" s="106">
        <f>SUM(H168:H169)</f>
        <v>0</v>
      </c>
      <c r="I167" s="127">
        <f>IFERROR(H167/'OSNOVNI PODATKI'!$E$347,0)</f>
        <v>0</v>
      </c>
      <c r="K167" s="123">
        <v>5</v>
      </c>
      <c r="L167" s="104" t="s">
        <v>47</v>
      </c>
      <c r="M167" s="104"/>
      <c r="N167" s="104"/>
      <c r="O167" s="306">
        <f>SUM(O168:O169)</f>
        <v>5.0000000000000001E-3</v>
      </c>
      <c r="P167" s="308">
        <f>SUM(P168:P169)</f>
        <v>5.0000000000000001E-3</v>
      </c>
      <c r="Q167" s="627">
        <f>SUM(Q168:Q169)</f>
        <v>0</v>
      </c>
      <c r="R167" s="106">
        <f>SUM(R168:R169)</f>
        <v>0</v>
      </c>
      <c r="S167" s="127">
        <f>IFERROR(R167/'OSNOVNI PODATKI'!$E$347,0)</f>
        <v>0</v>
      </c>
      <c r="U167" s="306">
        <f>SUM(U168:U169)</f>
        <v>0.02</v>
      </c>
      <c r="V167" s="306">
        <f>SUM(V168:V169)</f>
        <v>0.02</v>
      </c>
      <c r="W167" s="627">
        <f>SUM(W168:W169)</f>
        <v>0</v>
      </c>
      <c r="X167" s="106">
        <f>SUM(X168:X169)</f>
        <v>0</v>
      </c>
    </row>
    <row r="168" spans="1:24" ht="14.25" x14ac:dyDescent="0.2">
      <c r="A168" s="91" t="s">
        <v>48</v>
      </c>
      <c r="B168" s="100" t="s">
        <v>205</v>
      </c>
      <c r="C168" s="100"/>
      <c r="D168" s="100"/>
      <c r="E168" s="304">
        <v>7.4999999999999997E-3</v>
      </c>
      <c r="F168" s="491">
        <f t="shared" ref="F168:F169" si="36">E168*(100%+$F$124)</f>
        <v>7.4999999999999997E-3</v>
      </c>
      <c r="G168" s="628">
        <f>F168*$F$121</f>
        <v>0</v>
      </c>
      <c r="H168" s="89">
        <f>+G168*$F$122</f>
        <v>0</v>
      </c>
      <c r="I168" s="13"/>
      <c r="K168" s="91" t="s">
        <v>48</v>
      </c>
      <c r="L168" s="100" t="s">
        <v>205</v>
      </c>
      <c r="M168" s="100"/>
      <c r="N168" s="100"/>
      <c r="O168" s="304">
        <v>2.5000000000000001E-3</v>
      </c>
      <c r="P168" s="304">
        <f t="shared" ref="P168:P169" si="37">O168*(100%+$F$125)</f>
        <v>2.5000000000000001E-3</v>
      </c>
      <c r="Q168" s="628">
        <f>IF($F$126="DA",P168*$F$121,0)</f>
        <v>0</v>
      </c>
      <c r="R168" s="89">
        <f t="shared" ref="R168:R169" si="38">+Q168*$F$122</f>
        <v>0</v>
      </c>
      <c r="S168" s="13"/>
      <c r="U168" s="491">
        <f t="shared" ref="U168:W169" si="39">+E168+O168</f>
        <v>0.01</v>
      </c>
      <c r="V168" s="491">
        <f t="shared" si="39"/>
        <v>0.01</v>
      </c>
      <c r="W168" s="628">
        <f t="shared" si="39"/>
        <v>0</v>
      </c>
      <c r="X168" s="89">
        <f t="shared" ref="X168:X169" si="40">+W168*$F$122</f>
        <v>0</v>
      </c>
    </row>
    <row r="169" spans="1:24" ht="14.25" x14ac:dyDescent="0.2">
      <c r="A169" s="119" t="s">
        <v>49</v>
      </c>
      <c r="B169" s="125" t="s">
        <v>206</v>
      </c>
      <c r="C169" s="125"/>
      <c r="D169" s="125"/>
      <c r="E169" s="490">
        <v>7.4999999999999997E-3</v>
      </c>
      <c r="F169" s="492">
        <f t="shared" si="36"/>
        <v>7.4999999999999997E-3</v>
      </c>
      <c r="G169" s="629">
        <f>F169*$F$121</f>
        <v>0</v>
      </c>
      <c r="H169" s="93">
        <f>+G169*$F$122</f>
        <v>0</v>
      </c>
      <c r="I169" s="13"/>
      <c r="K169" s="119" t="s">
        <v>49</v>
      </c>
      <c r="L169" s="125" t="s">
        <v>206</v>
      </c>
      <c r="M169" s="125"/>
      <c r="N169" s="125"/>
      <c r="O169" s="490">
        <v>2.5000000000000001E-3</v>
      </c>
      <c r="P169" s="304">
        <f t="shared" si="37"/>
        <v>2.5000000000000001E-3</v>
      </c>
      <c r="Q169" s="629">
        <f>IF($F$126="DA",P169*$F$121,0)</f>
        <v>0</v>
      </c>
      <c r="R169" s="93">
        <f t="shared" si="38"/>
        <v>0</v>
      </c>
      <c r="S169" s="13"/>
      <c r="U169" s="492">
        <f t="shared" si="39"/>
        <v>0.01</v>
      </c>
      <c r="V169" s="492">
        <f t="shared" si="39"/>
        <v>0.01</v>
      </c>
      <c r="W169" s="629">
        <f t="shared" si="39"/>
        <v>0</v>
      </c>
      <c r="X169" s="93">
        <f t="shared" si="40"/>
        <v>0</v>
      </c>
    </row>
    <row r="170" spans="1:24" ht="14.25" x14ac:dyDescent="0.2">
      <c r="A170" s="124">
        <v>6</v>
      </c>
      <c r="B170" s="104" t="s">
        <v>50</v>
      </c>
      <c r="C170" s="104"/>
      <c r="D170" s="104"/>
      <c r="E170" s="105"/>
      <c r="F170" s="105"/>
      <c r="G170" s="621"/>
      <c r="H170" s="106"/>
      <c r="I170" s="13"/>
      <c r="K170" s="124">
        <v>6</v>
      </c>
      <c r="L170" s="104" t="s">
        <v>50</v>
      </c>
      <c r="M170" s="104"/>
      <c r="N170" s="104"/>
      <c r="O170" s="105"/>
      <c r="P170" s="309"/>
      <c r="Q170" s="621"/>
      <c r="R170" s="106"/>
      <c r="S170" s="13"/>
      <c r="U170" s="105"/>
      <c r="V170" s="105"/>
      <c r="W170" s="621"/>
      <c r="X170" s="106"/>
    </row>
    <row r="171" spans="1:24" ht="14.25" x14ac:dyDescent="0.2">
      <c r="A171" s="91" t="s">
        <v>54</v>
      </c>
      <c r="B171" s="100" t="s">
        <v>207</v>
      </c>
      <c r="C171" s="100"/>
      <c r="D171" s="100"/>
      <c r="E171" s="88"/>
      <c r="F171" s="88"/>
      <c r="G171" s="622"/>
      <c r="H171" s="89"/>
      <c r="I171" s="13"/>
      <c r="K171" s="91" t="s">
        <v>54</v>
      </c>
      <c r="L171" s="100" t="s">
        <v>207</v>
      </c>
      <c r="M171" s="100"/>
      <c r="N171" s="100"/>
      <c r="O171" s="88"/>
      <c r="P171" s="88"/>
      <c r="Q171" s="622"/>
      <c r="R171" s="89"/>
      <c r="S171" s="13"/>
      <c r="U171" s="88"/>
      <c r="V171" s="88"/>
      <c r="W171" s="622"/>
      <c r="X171" s="89"/>
    </row>
    <row r="172" spans="1:24" ht="14.25" x14ac:dyDescent="0.2">
      <c r="A172" s="91" t="s">
        <v>55</v>
      </c>
      <c r="B172" s="100" t="s">
        <v>208</v>
      </c>
      <c r="C172" s="100"/>
      <c r="D172" s="100"/>
      <c r="E172" s="88"/>
      <c r="F172" s="88"/>
      <c r="G172" s="622"/>
      <c r="H172" s="89"/>
      <c r="I172" s="13"/>
      <c r="K172" s="91" t="s">
        <v>55</v>
      </c>
      <c r="L172" s="100" t="s">
        <v>208</v>
      </c>
      <c r="M172" s="100"/>
      <c r="N172" s="100"/>
      <c r="O172" s="88"/>
      <c r="P172" s="88"/>
      <c r="Q172" s="622"/>
      <c r="R172" s="89"/>
      <c r="S172" s="13"/>
      <c r="U172" s="88"/>
      <c r="V172" s="88"/>
      <c r="W172" s="622"/>
      <c r="X172" s="89"/>
    </row>
    <row r="173" spans="1:24" ht="14.25" x14ac:dyDescent="0.2">
      <c r="A173" s="119" t="s">
        <v>56</v>
      </c>
      <c r="B173" s="125" t="s">
        <v>209</v>
      </c>
      <c r="C173" s="125"/>
      <c r="D173" s="125"/>
      <c r="E173" s="114"/>
      <c r="F173" s="114"/>
      <c r="G173" s="623"/>
      <c r="H173" s="93"/>
      <c r="I173" s="13"/>
      <c r="K173" s="119" t="s">
        <v>56</v>
      </c>
      <c r="L173" s="125" t="s">
        <v>209</v>
      </c>
      <c r="M173" s="125"/>
      <c r="N173" s="125"/>
      <c r="O173" s="114"/>
      <c r="P173" s="114"/>
      <c r="Q173" s="623"/>
      <c r="R173" s="93"/>
      <c r="S173" s="13"/>
      <c r="U173" s="114"/>
      <c r="V173" s="114"/>
      <c r="W173" s="623"/>
      <c r="X173" s="93"/>
    </row>
    <row r="174" spans="1:24" ht="14.25" x14ac:dyDescent="0.2">
      <c r="A174" s="94"/>
      <c r="B174" s="95"/>
      <c r="C174" s="95"/>
      <c r="D174" s="95"/>
      <c r="E174" s="96"/>
      <c r="F174" s="96"/>
      <c r="G174" s="624"/>
      <c r="H174" s="95"/>
      <c r="I174" s="13"/>
      <c r="K174" s="94"/>
      <c r="L174" s="95"/>
      <c r="M174" s="95"/>
      <c r="N174" s="95"/>
      <c r="O174" s="96"/>
      <c r="P174" s="96"/>
      <c r="Q174" s="624"/>
      <c r="R174" s="95"/>
      <c r="S174" s="13"/>
      <c r="U174" s="96"/>
      <c r="V174" s="96"/>
      <c r="W174" s="624"/>
      <c r="X174" s="95"/>
    </row>
    <row r="175" spans="1:24" x14ac:dyDescent="0.2">
      <c r="A175" s="128"/>
      <c r="B175" s="129" t="s">
        <v>1</v>
      </c>
      <c r="C175" s="129"/>
      <c r="D175" s="129"/>
      <c r="E175" s="130">
        <f>E135+E138+E142+E153+E158+E167+E170</f>
        <v>0.82000000000000006</v>
      </c>
      <c r="F175" s="130">
        <f>F135+F138+F142+F153+F158+F167+F170</f>
        <v>0.82000000000000006</v>
      </c>
      <c r="G175" s="625">
        <f>G135+G138+G142+G153+G158+G167+G170</f>
        <v>0</v>
      </c>
      <c r="H175" s="131">
        <f>H135+H138+H142+H153+H158+H167+H170</f>
        <v>0</v>
      </c>
      <c r="I175" s="127">
        <f>IFERROR(H175/'OSNOVNI PODATKI'!$E$347,0)</f>
        <v>0</v>
      </c>
      <c r="K175" s="128"/>
      <c r="L175" s="129" t="s">
        <v>0</v>
      </c>
      <c r="M175" s="129"/>
      <c r="N175" s="129"/>
      <c r="O175" s="130">
        <f>O135+O138+O142+O153+O158+O167+O170</f>
        <v>0.18000000000000002</v>
      </c>
      <c r="P175" s="130">
        <f>P135+P138+P142+P153+P158+P167+P170</f>
        <v>0.18000000000000002</v>
      </c>
      <c r="Q175" s="625">
        <f>Q135+Q138+Q142+Q153+Q158+Q167+Q170</f>
        <v>0</v>
      </c>
      <c r="R175" s="131">
        <f>R135+R138+R142+R153+R158+R167+R170</f>
        <v>0</v>
      </c>
      <c r="S175" s="127">
        <f>IFERROR(R175/'OSNOVNI PODATKI'!$E$347,0)</f>
        <v>0</v>
      </c>
      <c r="U175" s="130">
        <f>U135+U138+U142+U153+U158+U167+U170</f>
        <v>1.0000000000000002</v>
      </c>
      <c r="V175" s="130">
        <f>V135+V138+V142+V153+V158+V167+V170</f>
        <v>1.0000000000000002</v>
      </c>
      <c r="W175" s="625">
        <f>W135+W138+W142+W153+W158+W167+W170</f>
        <v>0</v>
      </c>
      <c r="X175" s="131">
        <f>X135+X138+X142+X153+X158+X167+X170</f>
        <v>0</v>
      </c>
    </row>
    <row r="183" spans="3:11" x14ac:dyDescent="0.2">
      <c r="I183" s="240">
        <f t="shared" ref="I183:J183" si="41">SUM(I184:I191)</f>
        <v>0.26</v>
      </c>
      <c r="J183" s="240">
        <f t="shared" si="41"/>
        <v>0.04</v>
      </c>
      <c r="K183" s="240">
        <f>SUM(K184:K191)</f>
        <v>0.30000000000000004</v>
      </c>
    </row>
    <row r="184" spans="3:11" x14ac:dyDescent="0.2">
      <c r="C184" s="76">
        <f>1+52.5+1+26+1.5</f>
        <v>82</v>
      </c>
      <c r="E184" s="735">
        <v>9.5000000000000001E-2</v>
      </c>
      <c r="F184" s="735">
        <v>5.0000000000000001E-3</v>
      </c>
      <c r="G184" s="740">
        <f>SUM(E184:F184)</f>
        <v>0.1</v>
      </c>
      <c r="I184" s="741">
        <v>0</v>
      </c>
      <c r="J184" s="741">
        <v>0.01</v>
      </c>
      <c r="K184" s="742">
        <f>SUM(I184:J184)</f>
        <v>0.01</v>
      </c>
    </row>
    <row r="185" spans="3:11" x14ac:dyDescent="0.2">
      <c r="E185" s="736">
        <v>0.14249999999999999</v>
      </c>
      <c r="F185" s="736">
        <v>7.4999999999999997E-3</v>
      </c>
      <c r="G185" s="740">
        <f t="shared" ref="G185:G191" si="42">SUM(E185:F185)</f>
        <v>0.15</v>
      </c>
      <c r="I185" s="736">
        <v>5.5E-2</v>
      </c>
      <c r="J185" s="736">
        <v>5.0000000000000001E-3</v>
      </c>
      <c r="K185" s="742">
        <f>SUM(I185:J185)</f>
        <v>0.06</v>
      </c>
    </row>
    <row r="186" spans="3:11" x14ac:dyDescent="0.2">
      <c r="E186" s="737">
        <v>0</v>
      </c>
      <c r="F186" s="737">
        <v>0.03</v>
      </c>
      <c r="G186" s="740">
        <f t="shared" si="42"/>
        <v>0.03</v>
      </c>
      <c r="I186" s="739">
        <v>0.16500000000000001</v>
      </c>
      <c r="J186" s="739">
        <v>1.4999999999999999E-2</v>
      </c>
      <c r="K186" s="743">
        <f>SUM(I186:J186)</f>
        <v>0.18</v>
      </c>
    </row>
    <row r="187" spans="3:11" x14ac:dyDescent="0.2">
      <c r="E187" s="738">
        <v>0</v>
      </c>
      <c r="F187" s="738">
        <v>0.02</v>
      </c>
      <c r="G187" s="740">
        <f t="shared" si="42"/>
        <v>0.02</v>
      </c>
      <c r="I187" s="736">
        <v>4.0000000000000001E-3</v>
      </c>
      <c r="J187" s="736">
        <v>1E-3</v>
      </c>
      <c r="K187" s="742">
        <v>5.0000000000000001E-3</v>
      </c>
    </row>
    <row r="188" spans="3:11" x14ac:dyDescent="0.2">
      <c r="E188" s="736">
        <v>0.23499999999999999</v>
      </c>
      <c r="F188" s="736">
        <v>1.4999999999999999E-2</v>
      </c>
      <c r="G188" s="740">
        <f t="shared" si="42"/>
        <v>0.25</v>
      </c>
      <c r="I188" s="739">
        <v>3.5000000000000001E-3</v>
      </c>
      <c r="J188" s="739">
        <v>1.5E-3</v>
      </c>
      <c r="K188" s="743">
        <v>5.0000000000000001E-3</v>
      </c>
    </row>
    <row r="189" spans="3:11" x14ac:dyDescent="0.2">
      <c r="E189" s="736">
        <v>3.7499999999999999E-2</v>
      </c>
      <c r="F189" s="736">
        <v>2.5000000000000001E-3</v>
      </c>
      <c r="G189" s="740">
        <f t="shared" si="42"/>
        <v>0.04</v>
      </c>
      <c r="I189" s="736">
        <v>4.0000000000000001E-3</v>
      </c>
      <c r="J189" s="736">
        <v>1E-3</v>
      </c>
      <c r="K189" s="742">
        <v>1.4999999999999999E-2</v>
      </c>
    </row>
    <row r="190" spans="3:11" x14ac:dyDescent="0.2">
      <c r="E190" s="739">
        <v>1.4999999999999999E-2</v>
      </c>
      <c r="F190" s="738">
        <v>0</v>
      </c>
      <c r="G190" s="740">
        <f t="shared" si="42"/>
        <v>1.4999999999999999E-2</v>
      </c>
      <c r="I190" s="739">
        <v>3.5000000000000001E-3</v>
      </c>
      <c r="J190" s="739">
        <v>1.5E-3</v>
      </c>
      <c r="K190" s="743">
        <v>5.0000000000000001E-3</v>
      </c>
    </row>
    <row r="191" spans="3:11" x14ac:dyDescent="0.2">
      <c r="E191" s="738">
        <v>0</v>
      </c>
      <c r="F191" s="739">
        <v>1.4999999999999999E-2</v>
      </c>
      <c r="G191" s="740">
        <f t="shared" si="42"/>
        <v>1.4999999999999999E-2</v>
      </c>
      <c r="I191" s="736">
        <v>2.5000000000000001E-2</v>
      </c>
      <c r="J191" s="736">
        <v>5.0000000000000001E-3</v>
      </c>
      <c r="K191" s="742">
        <v>0.02</v>
      </c>
    </row>
    <row r="192" spans="3:11" x14ac:dyDescent="0.2">
      <c r="E192" s="740">
        <f>SUM(E184:E191)</f>
        <v>0.52500000000000002</v>
      </c>
      <c r="F192" s="740">
        <f>SUM(F184:F191)</f>
        <v>9.5000000000000001E-2</v>
      </c>
    </row>
  </sheetData>
  <sheetProtection algorithmName="SHA-512" hashValue="n1ZmPRJMm9J9YVQib0JoInKIJr9pk72Ntlrbv3bNPn8pjUcm7MwgMOOr1qwKkXQrcmNdq5gV+Uk+dfwnzjpKrQ==" saltValue="tVK3V8HVyf1v+IY2hwobfQ=="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Q177"/>
  <sheetViews>
    <sheetView showGridLines="0" topLeftCell="A109" workbookViewId="0">
      <selection activeCell="F142" sqref="F142"/>
    </sheetView>
    <sheetView workbookViewId="1"/>
  </sheetViews>
  <sheetFormatPr defaultColWidth="9.140625" defaultRowHeight="12.75" x14ac:dyDescent="0.2"/>
  <cols>
    <col min="1" max="1" width="8.140625" style="76" customWidth="1"/>
    <col min="2" max="2" width="26.28515625" style="76" customWidth="1"/>
    <col min="3" max="12" width="13.5703125" style="76" customWidth="1"/>
    <col min="13" max="16384" width="9.140625" style="76"/>
  </cols>
  <sheetData>
    <row r="1" spans="1:17" ht="26.25" x14ac:dyDescent="0.2">
      <c r="B1" s="5" t="s">
        <v>91</v>
      </c>
      <c r="C1" s="4"/>
      <c r="D1" s="4"/>
      <c r="E1" s="4"/>
      <c r="F1" s="4"/>
      <c r="G1" s="4"/>
      <c r="H1" s="4"/>
      <c r="I1"/>
      <c r="J1"/>
      <c r="K1"/>
      <c r="L1"/>
      <c r="Q1" s="5"/>
    </row>
    <row r="2" spans="1:17" ht="15" thickBot="1" x14ac:dyDescent="0.25">
      <c r="B2" s="11"/>
    </row>
    <row r="3" spans="1:17" s="78" customFormat="1" ht="18.75" x14ac:dyDescent="0.2">
      <c r="A3" s="831" t="s">
        <v>942</v>
      </c>
      <c r="B3" s="831"/>
      <c r="C3" s="831"/>
      <c r="D3" s="831"/>
      <c r="E3" s="831"/>
      <c r="F3" s="831"/>
      <c r="G3" s="831"/>
      <c r="H3" s="831"/>
      <c r="I3" s="831"/>
    </row>
    <row r="4" spans="1:17" s="78" customFormat="1" ht="18.75" x14ac:dyDescent="0.2">
      <c r="A4" s="882"/>
      <c r="B4" s="882"/>
      <c r="C4" s="882"/>
      <c r="D4" s="882"/>
      <c r="E4" s="882"/>
      <c r="F4" s="882"/>
      <c r="G4" s="882"/>
      <c r="H4" s="882"/>
      <c r="I4" s="882"/>
    </row>
    <row r="5" spans="1:17" s="78" customFormat="1" x14ac:dyDescent="0.2">
      <c r="A5" s="81"/>
      <c r="B5" s="550" t="s">
        <v>950</v>
      </c>
      <c r="C5" s="657">
        <f>'OSNOVNI PODATKI'!F11</f>
        <v>1</v>
      </c>
      <c r="D5" s="550" t="str">
        <f>IF(C5=1,'OSNOVNI PODATKI'!B11,'OSNOVNI PODATKI'!B12)</f>
        <v>ENA STAVBA Z RAZLIČNIMI DELI (PRI IZRAČUNU POTREBNIH NU SE UPOŠTEVA SEŠTEVEK POVRŠIN VSEH DELOV)</v>
      </c>
      <c r="E5" s="509"/>
      <c r="F5" s="509"/>
      <c r="G5" s="210"/>
      <c r="H5" s="210"/>
      <c r="I5" s="210"/>
    </row>
    <row r="6" spans="1:17" s="78" customFormat="1" x14ac:dyDescent="0.2">
      <c r="A6" s="81"/>
      <c r="B6" s="550" t="s">
        <v>951</v>
      </c>
      <c r="C6" s="632">
        <f>'OSNOVNI PODATKI'!E326</f>
        <v>0</v>
      </c>
      <c r="D6" s="550"/>
      <c r="E6" s="509"/>
      <c r="F6" s="509"/>
      <c r="G6" s="210"/>
      <c r="H6" s="210"/>
      <c r="I6" s="210"/>
    </row>
    <row r="7" spans="1:17" s="78" customFormat="1" x14ac:dyDescent="0.2">
      <c r="A7" s="81"/>
      <c r="D7" s="212"/>
      <c r="E7" s="212"/>
      <c r="F7" s="212"/>
    </row>
    <row r="8" spans="1:17" s="78" customFormat="1" x14ac:dyDescent="0.2">
      <c r="A8" s="81"/>
      <c r="B8" s="212" t="str">
        <f>'OSNOVNI PODATKI'!A14</f>
        <v>STAVBA 1 / DEL 1</v>
      </c>
      <c r="C8" s="553">
        <f>'OSNOVNI PODATKI'!E14</f>
        <v>0</v>
      </c>
      <c r="D8" s="212"/>
      <c r="E8" s="212"/>
      <c r="F8" s="212"/>
    </row>
    <row r="9" spans="1:17" s="78" customFormat="1" x14ac:dyDescent="0.2">
      <c r="A9" s="81"/>
      <c r="B9" s="205" t="s">
        <v>722</v>
      </c>
      <c r="C9" s="86">
        <f>'OSNOVNI PODATKI'!E15</f>
        <v>0</v>
      </c>
      <c r="D9" s="509"/>
      <c r="E9" s="509"/>
      <c r="F9" s="509"/>
      <c r="G9" s="509"/>
      <c r="H9" s="509"/>
      <c r="I9" s="509"/>
    </row>
    <row r="10" spans="1:17" s="78" customFormat="1" x14ac:dyDescent="0.2">
      <c r="A10" s="81"/>
      <c r="B10" s="205" t="s">
        <v>952</v>
      </c>
      <c r="C10" s="86">
        <f>'OSNOVNI PODATKI'!E16</f>
        <v>0</v>
      </c>
      <c r="D10" s="509"/>
      <c r="E10" s="509"/>
      <c r="F10" s="509"/>
      <c r="G10" s="509"/>
      <c r="H10" s="509"/>
      <c r="I10" s="509"/>
    </row>
    <row r="11" spans="1:17" s="78" customFormat="1" x14ac:dyDescent="0.2">
      <c r="A11" s="81"/>
      <c r="B11" s="205" t="s">
        <v>953</v>
      </c>
      <c r="C11" s="86">
        <f>IF($C$5=1,$C$6,C10)</f>
        <v>0</v>
      </c>
      <c r="D11" s="509"/>
      <c r="E11" s="509"/>
      <c r="F11" s="509"/>
      <c r="G11" s="509"/>
      <c r="H11" s="509"/>
      <c r="I11" s="509"/>
    </row>
    <row r="12" spans="1:17" s="78" customFormat="1" x14ac:dyDescent="0.2">
      <c r="A12" s="81"/>
      <c r="B12" s="550" t="s">
        <v>885</v>
      </c>
      <c r="C12" s="549" t="str">
        <f>'OSNOVNI PODATKI'!E26</f>
        <v>/</v>
      </c>
      <c r="D12" s="509"/>
      <c r="E12" s="509"/>
      <c r="F12" s="509"/>
      <c r="G12" s="509"/>
      <c r="H12" s="509"/>
      <c r="I12" s="509"/>
    </row>
    <row r="13" spans="1:17" s="78" customFormat="1" x14ac:dyDescent="0.2">
      <c r="A13" s="81"/>
      <c r="B13" s="205" t="s">
        <v>117</v>
      </c>
      <c r="C13" s="86" t="str">
        <f>'OSNOVNI PODATKI'!E18</f>
        <v>Cenovni razred II</v>
      </c>
      <c r="D13" s="509"/>
      <c r="E13" s="509"/>
      <c r="F13" s="509"/>
      <c r="G13" s="509"/>
      <c r="H13" s="509"/>
      <c r="I13" s="509"/>
    </row>
    <row r="14" spans="1:17" s="78" customFormat="1" x14ac:dyDescent="0.2">
      <c r="A14" s="81"/>
      <c r="B14" s="542" t="s">
        <v>84</v>
      </c>
      <c r="C14" s="543">
        <f>IFERROR(0.0132*POWER((45%*C20+10%)*C11*(1000+C12),0.7854)/C11,0)</f>
        <v>0</v>
      </c>
      <c r="D14" s="544" t="s">
        <v>878</v>
      </c>
      <c r="E14" s="212"/>
      <c r="F14" s="212"/>
    </row>
    <row r="15" spans="1:17" s="78" customFormat="1" x14ac:dyDescent="0.2">
      <c r="A15" s="81"/>
      <c r="B15" s="545" t="s">
        <v>85</v>
      </c>
      <c r="C15" s="546">
        <f>IFERROR(0.0147*POWER((45%*C20+10%)*C11*(1000+C12),0.7854)/C11,0)</f>
        <v>0</v>
      </c>
      <c r="D15" s="508" t="s">
        <v>878</v>
      </c>
      <c r="E15" s="212"/>
      <c r="F15" s="212"/>
    </row>
    <row r="16" spans="1:17" s="78" customFormat="1" x14ac:dyDescent="0.2">
      <c r="A16" s="81"/>
      <c r="B16" s="545" t="s">
        <v>86</v>
      </c>
      <c r="C16" s="546">
        <f>IFERROR(0.019*POWER((45%*C20+10%)*C11*(1000+C12),0.7841)/C11,0)</f>
        <v>0</v>
      </c>
      <c r="D16" s="508" t="s">
        <v>878</v>
      </c>
      <c r="E16" s="212"/>
      <c r="F16" s="212"/>
    </row>
    <row r="17" spans="1:9" s="78" customFormat="1" x14ac:dyDescent="0.2">
      <c r="A17" s="81"/>
      <c r="B17" s="545" t="s">
        <v>87</v>
      </c>
      <c r="C17" s="546">
        <f>IFERROR(0.0232*POWER((45%*C20+10%)*C11*(1000+C12),0.7856)/C11,0)</f>
        <v>0</v>
      </c>
      <c r="D17" s="508" t="s">
        <v>878</v>
      </c>
      <c r="E17" s="212"/>
      <c r="F17" s="212"/>
    </row>
    <row r="18" spans="1:9" s="78" customFormat="1" x14ac:dyDescent="0.2">
      <c r="A18" s="81"/>
      <c r="B18" s="545" t="s">
        <v>88</v>
      </c>
      <c r="C18" s="546">
        <f>IFERROR(0.0277*POWER((45%*C20+10%)*C11*(1000+C12),0.7843)/C11,0)</f>
        <v>0</v>
      </c>
      <c r="D18" s="508" t="s">
        <v>878</v>
      </c>
      <c r="E18" s="212"/>
      <c r="F18" s="212"/>
    </row>
    <row r="19" spans="1:9" s="78" customFormat="1" x14ac:dyDescent="0.2">
      <c r="A19" s="81"/>
      <c r="B19" s="547" t="s">
        <v>884</v>
      </c>
      <c r="C19" s="548">
        <f>IFERROR(0.0291*POWER((45%*C20+10%)*C11*(1000+C12),0.7843)/C11,0)</f>
        <v>0</v>
      </c>
      <c r="D19" s="506" t="s">
        <v>878</v>
      </c>
      <c r="E19" s="212"/>
      <c r="F19" s="212"/>
    </row>
    <row r="20" spans="1:9" s="78" customFormat="1" x14ac:dyDescent="0.2">
      <c r="A20" s="81"/>
      <c r="B20" s="545" t="str">
        <f>'OSNOVNI PODATKI'!B68</f>
        <v>GRADBENO OBRTNIŠKA DELA (GO)</v>
      </c>
      <c r="C20" s="651">
        <f>'OSNOVNI PODATKI'!D37</f>
        <v>0</v>
      </c>
      <c r="D20" s="649"/>
      <c r="E20" s="876" t="e">
        <f>C20*$C$11*(1000+$C$12)</f>
        <v>#VALUE!</v>
      </c>
      <c r="F20" s="212"/>
      <c r="I20" s="650" t="e">
        <f>+E20*0.55+(E21+E22+E23)*0.1</f>
        <v>#VALUE!</v>
      </c>
    </row>
    <row r="21" spans="1:9" s="78" customFormat="1" x14ac:dyDescent="0.2">
      <c r="A21" s="81"/>
      <c r="B21" s="545" t="str">
        <f>'OSNOVNI PODATKI'!B69</f>
        <v>ELEKTRIČNE INŠTALACIJE (EI)</v>
      </c>
      <c r="C21" s="651">
        <f>'OSNOVNI PODATKI'!D38</f>
        <v>0</v>
      </c>
      <c r="D21" s="649"/>
      <c r="E21" s="876" t="e">
        <f t="shared" ref="E21:E23" si="0">C21*$C$11*(1000+$C$12)</f>
        <v>#VALUE!</v>
      </c>
      <c r="F21" s="212"/>
    </row>
    <row r="22" spans="1:9" s="78" customFormat="1" x14ac:dyDescent="0.2">
      <c r="A22" s="81"/>
      <c r="B22" s="545" t="str">
        <f>'OSNOVNI PODATKI'!B70</f>
        <v>STROJNE INŠTALACIJE (SI)</v>
      </c>
      <c r="C22" s="651">
        <f>'OSNOVNI PODATKI'!D39</f>
        <v>0</v>
      </c>
      <c r="D22" s="649"/>
      <c r="E22" s="876" t="e">
        <f t="shared" si="0"/>
        <v>#VALUE!</v>
      </c>
      <c r="F22" s="212"/>
    </row>
    <row r="23" spans="1:9" s="78" customFormat="1" x14ac:dyDescent="0.2">
      <c r="A23" s="81"/>
      <c r="B23" s="545" t="str">
        <f>'OSNOVNI PODATKI'!B71</f>
        <v>TEHNOLOGIJA (TH)</v>
      </c>
      <c r="C23" s="651">
        <f>'OSNOVNI PODATKI'!D40</f>
        <v>0</v>
      </c>
      <c r="D23" s="649"/>
      <c r="E23" s="876" t="e">
        <f t="shared" si="0"/>
        <v>#VALUE!</v>
      </c>
      <c r="F23" s="212"/>
    </row>
    <row r="24" spans="1:9" s="78" customFormat="1" x14ac:dyDescent="0.2">
      <c r="A24" s="81"/>
      <c r="C24" s="86"/>
      <c r="D24" s="509"/>
      <c r="E24" s="509"/>
      <c r="F24" s="509"/>
      <c r="G24" s="509"/>
      <c r="H24" s="509"/>
      <c r="I24" s="509"/>
    </row>
    <row r="25" spans="1:9" s="78" customFormat="1" ht="14.25" x14ac:dyDescent="0.2">
      <c r="B25" s="86" t="s">
        <v>886</v>
      </c>
      <c r="C25" s="527">
        <f>IFERROR(LOOKUP(C13,B14:C18),"/")</f>
        <v>0</v>
      </c>
      <c r="D25" s="394" t="s">
        <v>877</v>
      </c>
      <c r="E25" s="509"/>
      <c r="F25" s="509"/>
      <c r="G25" s="509"/>
      <c r="H25" s="509"/>
      <c r="I25" s="509"/>
    </row>
    <row r="26" spans="1:9" s="78" customFormat="1" ht="14.25" x14ac:dyDescent="0.2">
      <c r="B26" s="86" t="s">
        <v>887</v>
      </c>
      <c r="C26" s="527" cm="1">
        <f t="array" ref="C26">IFERROR(INDEX(C14:C19,MATCH(C13,B14:B18)+1),"/")</f>
        <v>0</v>
      </c>
      <c r="D26" s="394" t="s">
        <v>877</v>
      </c>
      <c r="E26" s="509"/>
      <c r="F26" s="509"/>
      <c r="G26" s="509"/>
      <c r="H26" s="509"/>
      <c r="I26" s="509"/>
    </row>
    <row r="27" spans="1:9" s="78" customFormat="1" x14ac:dyDescent="0.2">
      <c r="B27" s="86" t="s">
        <v>737</v>
      </c>
      <c r="C27" s="551">
        <f>IFERROR(ROUND(C25*C10,0),0)</f>
        <v>0</v>
      </c>
      <c r="D27" s="394" t="s">
        <v>879</v>
      </c>
      <c r="E27" s="509"/>
      <c r="F27" s="509"/>
      <c r="G27" s="509"/>
      <c r="H27" s="509"/>
      <c r="I27" s="509"/>
    </row>
    <row r="28" spans="1:9" s="78" customFormat="1" x14ac:dyDescent="0.2">
      <c r="B28" s="86" t="s">
        <v>738</v>
      </c>
      <c r="C28" s="551">
        <f>IFERROR(ROUND(C26*C10,0),0)</f>
        <v>0</v>
      </c>
      <c r="D28" s="394" t="s">
        <v>879</v>
      </c>
      <c r="E28" s="509"/>
      <c r="F28" s="509"/>
      <c r="G28" s="509"/>
      <c r="H28" s="509"/>
      <c r="I28" s="509"/>
    </row>
    <row r="29" spans="1:9" s="78" customFormat="1" x14ac:dyDescent="0.2">
      <c r="A29" s="81"/>
      <c r="C29" s="300"/>
      <c r="D29" s="212"/>
      <c r="E29" s="212"/>
      <c r="F29" s="212"/>
    </row>
    <row r="30" spans="1:9" s="78" customFormat="1" x14ac:dyDescent="0.2">
      <c r="A30" s="81"/>
      <c r="B30" s="212" t="str">
        <f>'OSNOVNI PODATKI'!A45</f>
        <v>STAVBA 2 / DEL 2</v>
      </c>
      <c r="C30" s="553">
        <f>'OSNOVNI PODATKI'!E45</f>
        <v>0</v>
      </c>
      <c r="D30" s="212"/>
      <c r="E30" s="212"/>
      <c r="F30" s="212"/>
    </row>
    <row r="31" spans="1:9" s="78" customFormat="1" x14ac:dyDescent="0.2">
      <c r="A31" s="81"/>
      <c r="B31" s="205" t="s">
        <v>722</v>
      </c>
      <c r="C31" s="86">
        <f>'OSNOVNI PODATKI'!E46</f>
        <v>0</v>
      </c>
      <c r="D31" s="509"/>
      <c r="E31" s="509"/>
      <c r="F31" s="509"/>
      <c r="G31" s="509"/>
      <c r="H31" s="509"/>
      <c r="I31" s="509"/>
    </row>
    <row r="32" spans="1:9" s="78" customFormat="1" x14ac:dyDescent="0.2">
      <c r="A32" s="81"/>
      <c r="B32" s="205" t="s">
        <v>952</v>
      </c>
      <c r="C32" s="86">
        <f>'OSNOVNI PODATKI'!E47</f>
        <v>0</v>
      </c>
      <c r="D32" s="509"/>
      <c r="E32" s="509"/>
      <c r="F32" s="509"/>
      <c r="G32" s="509"/>
      <c r="H32" s="509"/>
      <c r="I32" s="509"/>
    </row>
    <row r="33" spans="1:9" s="78" customFormat="1" x14ac:dyDescent="0.2">
      <c r="A33" s="81"/>
      <c r="B33" s="205" t="s">
        <v>953</v>
      </c>
      <c r="C33" s="86">
        <f>IF($C$5=1,$C$6,C32)</f>
        <v>0</v>
      </c>
      <c r="D33" s="509"/>
      <c r="E33" s="509"/>
      <c r="F33" s="509"/>
      <c r="G33" s="509"/>
      <c r="H33" s="509"/>
      <c r="I33" s="509"/>
    </row>
    <row r="34" spans="1:9" s="78" customFormat="1" x14ac:dyDescent="0.2">
      <c r="A34" s="81"/>
      <c r="B34" s="550" t="s">
        <v>885</v>
      </c>
      <c r="C34" s="549" t="str">
        <f>'OSNOVNI PODATKI'!E57</f>
        <v>/</v>
      </c>
      <c r="D34" s="509"/>
      <c r="E34" s="509"/>
      <c r="F34" s="509"/>
      <c r="G34" s="509"/>
      <c r="H34" s="509"/>
      <c r="I34" s="509"/>
    </row>
    <row r="35" spans="1:9" s="78" customFormat="1" x14ac:dyDescent="0.2">
      <c r="A35" s="81"/>
      <c r="B35" s="205" t="s">
        <v>117</v>
      </c>
      <c r="C35" s="86" t="str">
        <f>'OSNOVNI PODATKI'!E49</f>
        <v>Cenovni razred I</v>
      </c>
      <c r="D35" s="509"/>
      <c r="E35" s="509"/>
      <c r="F35" s="509"/>
      <c r="G35" s="509"/>
      <c r="H35" s="509"/>
      <c r="I35" s="509"/>
    </row>
    <row r="36" spans="1:9" s="78" customFormat="1" x14ac:dyDescent="0.2">
      <c r="A36" s="81"/>
      <c r="B36" s="542" t="s">
        <v>84</v>
      </c>
      <c r="C36" s="543">
        <f>IFERROR(0.0132*POWER((45%*C42+10%)*C33*(1000+C34),0.7854)/C33,0)</f>
        <v>0</v>
      </c>
      <c r="D36" s="544" t="s">
        <v>878</v>
      </c>
      <c r="E36" s="212"/>
      <c r="F36" s="212"/>
    </row>
    <row r="37" spans="1:9" s="78" customFormat="1" x14ac:dyDescent="0.2">
      <c r="A37" s="81"/>
      <c r="B37" s="545" t="s">
        <v>85</v>
      </c>
      <c r="C37" s="546">
        <f>IFERROR(0.0147*POWER((45%*C42+10%)*C33*(1000+C34),0.7854)/C33,0)</f>
        <v>0</v>
      </c>
      <c r="D37" s="508" t="s">
        <v>878</v>
      </c>
      <c r="E37" s="212"/>
      <c r="F37" s="212"/>
    </row>
    <row r="38" spans="1:9" s="78" customFormat="1" x14ac:dyDescent="0.2">
      <c r="A38" s="81"/>
      <c r="B38" s="545" t="s">
        <v>86</v>
      </c>
      <c r="C38" s="546">
        <f>IFERROR(0.019*POWER((45%*C42+10%)*C33*(1000+C34),0.7841)/C33,0)</f>
        <v>0</v>
      </c>
      <c r="D38" s="508" t="s">
        <v>878</v>
      </c>
      <c r="E38" s="212"/>
      <c r="F38" s="212"/>
    </row>
    <row r="39" spans="1:9" s="78" customFormat="1" x14ac:dyDescent="0.2">
      <c r="A39" s="81"/>
      <c r="B39" s="545" t="s">
        <v>87</v>
      </c>
      <c r="C39" s="546">
        <f>IFERROR(0.0232*POWER((45%*C42+10%)*C33*(1000+C34),0.7856)/C33,0)</f>
        <v>0</v>
      </c>
      <c r="D39" s="508" t="s">
        <v>878</v>
      </c>
      <c r="E39" s="212"/>
      <c r="F39" s="212"/>
    </row>
    <row r="40" spans="1:9" s="78" customFormat="1" x14ac:dyDescent="0.2">
      <c r="A40" s="81"/>
      <c r="B40" s="545" t="s">
        <v>88</v>
      </c>
      <c r="C40" s="546">
        <f>IFERROR(0.0277*POWER((45%*C42+10%)*C33*(1000+C34),0.7843)/C33,0)</f>
        <v>0</v>
      </c>
      <c r="D40" s="508" t="s">
        <v>878</v>
      </c>
      <c r="E40" s="212"/>
      <c r="F40" s="212"/>
    </row>
    <row r="41" spans="1:9" s="78" customFormat="1" x14ac:dyDescent="0.2">
      <c r="A41" s="81"/>
      <c r="B41" s="547" t="s">
        <v>884</v>
      </c>
      <c r="C41" s="548">
        <f>IFERROR(0.0291*POWER((45%*C42+10%)*C33*(1000+C34),0.7843)/C33,0)</f>
        <v>0</v>
      </c>
      <c r="D41" s="506" t="s">
        <v>878</v>
      </c>
      <c r="E41" s="212"/>
      <c r="F41" s="212"/>
    </row>
    <row r="42" spans="1:9" s="78" customFormat="1" x14ac:dyDescent="0.2">
      <c r="A42" s="81"/>
      <c r="B42" s="545" t="str">
        <f>'OSNOVNI PODATKI'!B68</f>
        <v>GRADBENO OBRTNIŠKA DELA (GO)</v>
      </c>
      <c r="C42" s="651">
        <f>'OSNOVNI PODATKI'!D68</f>
        <v>0</v>
      </c>
      <c r="D42" s="649"/>
      <c r="E42" s="876" t="e">
        <f>C42*$C$11*(1000+$C$12)</f>
        <v>#VALUE!</v>
      </c>
      <c r="F42" s="212"/>
    </row>
    <row r="43" spans="1:9" s="78" customFormat="1" x14ac:dyDescent="0.2">
      <c r="A43" s="81"/>
      <c r="B43" s="545" t="str">
        <f>'OSNOVNI PODATKI'!B69</f>
        <v>ELEKTRIČNE INŠTALACIJE (EI)</v>
      </c>
      <c r="C43" s="651">
        <f>'OSNOVNI PODATKI'!D69</f>
        <v>0</v>
      </c>
      <c r="D43" s="649"/>
      <c r="E43" s="876" t="e">
        <f t="shared" ref="E43:E45" si="1">C43*$C$11*(1000+$C$12)</f>
        <v>#VALUE!</v>
      </c>
      <c r="F43" s="212"/>
    </row>
    <row r="44" spans="1:9" s="78" customFormat="1" x14ac:dyDescent="0.2">
      <c r="A44" s="81"/>
      <c r="B44" s="545" t="str">
        <f>'OSNOVNI PODATKI'!B70</f>
        <v>STROJNE INŠTALACIJE (SI)</v>
      </c>
      <c r="C44" s="651">
        <f>'OSNOVNI PODATKI'!D70</f>
        <v>0</v>
      </c>
      <c r="D44" s="649"/>
      <c r="E44" s="876" t="e">
        <f t="shared" si="1"/>
        <v>#VALUE!</v>
      </c>
      <c r="F44" s="212"/>
    </row>
    <row r="45" spans="1:9" s="78" customFormat="1" x14ac:dyDescent="0.2">
      <c r="A45" s="81"/>
      <c r="B45" s="545" t="str">
        <f>'OSNOVNI PODATKI'!B71</f>
        <v>TEHNOLOGIJA (TH)</v>
      </c>
      <c r="C45" s="651">
        <f>'OSNOVNI PODATKI'!D71</f>
        <v>0</v>
      </c>
      <c r="D45" s="649"/>
      <c r="E45" s="876" t="e">
        <f t="shared" si="1"/>
        <v>#VALUE!</v>
      </c>
      <c r="F45" s="212"/>
    </row>
    <row r="46" spans="1:9" s="78" customFormat="1" x14ac:dyDescent="0.2">
      <c r="A46" s="81"/>
      <c r="C46" s="86"/>
      <c r="D46" s="509"/>
      <c r="E46" s="509"/>
      <c r="F46" s="509"/>
      <c r="G46" s="509"/>
      <c r="H46" s="509"/>
      <c r="I46" s="509"/>
    </row>
    <row r="47" spans="1:9" s="78" customFormat="1" ht="14.25" x14ac:dyDescent="0.2">
      <c r="B47" s="86" t="s">
        <v>886</v>
      </c>
      <c r="C47" s="527">
        <f>IFERROR(LOOKUP(C35,B36:C40),"/")</f>
        <v>0</v>
      </c>
      <c r="D47" s="394" t="s">
        <v>877</v>
      </c>
      <c r="E47" s="509"/>
      <c r="F47" s="509"/>
      <c r="G47" s="509"/>
      <c r="H47" s="509"/>
      <c r="I47" s="509"/>
    </row>
    <row r="48" spans="1:9" s="78" customFormat="1" ht="14.25" x14ac:dyDescent="0.2">
      <c r="B48" s="86" t="s">
        <v>887</v>
      </c>
      <c r="C48" s="527" cm="1">
        <f t="array" ref="C48">IFERROR(INDEX(C36:C41,MATCH(C35,B36:B40)+1),"/")</f>
        <v>0</v>
      </c>
      <c r="D48" s="394" t="s">
        <v>877</v>
      </c>
      <c r="E48" s="509"/>
      <c r="F48" s="509"/>
      <c r="G48" s="509"/>
      <c r="H48" s="509"/>
      <c r="I48" s="509"/>
    </row>
    <row r="49" spans="1:9" s="78" customFormat="1" x14ac:dyDescent="0.2">
      <c r="B49" s="86" t="s">
        <v>737</v>
      </c>
      <c r="C49" s="551">
        <f>IFERROR(ROUND(C47*C32,0),0)</f>
        <v>0</v>
      </c>
      <c r="D49" s="394" t="s">
        <v>879</v>
      </c>
      <c r="E49" s="509"/>
      <c r="F49" s="509"/>
      <c r="G49" s="509"/>
      <c r="H49" s="509"/>
      <c r="I49" s="509"/>
    </row>
    <row r="50" spans="1:9" s="78" customFormat="1" x14ac:dyDescent="0.2">
      <c r="B50" s="86" t="s">
        <v>738</v>
      </c>
      <c r="C50" s="551">
        <f>IFERROR(ROUND(C48*C32,0),0)</f>
        <v>0</v>
      </c>
      <c r="D50" s="394" t="s">
        <v>879</v>
      </c>
      <c r="E50" s="509"/>
      <c r="F50" s="509"/>
      <c r="G50" s="509"/>
      <c r="H50" s="509"/>
      <c r="I50" s="509"/>
    </row>
    <row r="51" spans="1:9" s="78" customFormat="1" x14ac:dyDescent="0.2">
      <c r="A51" s="81"/>
      <c r="C51" s="212"/>
      <c r="D51" s="212"/>
      <c r="E51" s="212"/>
      <c r="F51" s="212"/>
    </row>
    <row r="52" spans="1:9" s="78" customFormat="1" x14ac:dyDescent="0.2">
      <c r="A52" s="81"/>
      <c r="B52" s="212" t="str">
        <f>'OSNOVNI PODATKI'!A76</f>
        <v>STAVBA 3 / DEL 3</v>
      </c>
      <c r="C52" s="553">
        <f>'OSNOVNI PODATKI'!E76</f>
        <v>0</v>
      </c>
      <c r="D52" s="212"/>
      <c r="E52" s="212"/>
      <c r="F52" s="212"/>
    </row>
    <row r="53" spans="1:9" s="78" customFormat="1" x14ac:dyDescent="0.2">
      <c r="A53" s="81"/>
      <c r="B53" s="205" t="s">
        <v>722</v>
      </c>
      <c r="C53" s="86">
        <f>'OSNOVNI PODATKI'!E77</f>
        <v>0</v>
      </c>
      <c r="D53" s="509"/>
      <c r="E53" s="509"/>
      <c r="F53" s="509"/>
      <c r="G53" s="509"/>
      <c r="H53" s="509"/>
      <c r="I53" s="509"/>
    </row>
    <row r="54" spans="1:9" s="78" customFormat="1" x14ac:dyDescent="0.2">
      <c r="A54" s="81"/>
      <c r="B54" s="205" t="s">
        <v>952</v>
      </c>
      <c r="C54" s="86">
        <f>'OSNOVNI PODATKI'!E78</f>
        <v>0</v>
      </c>
      <c r="D54" s="509"/>
      <c r="E54" s="509"/>
      <c r="F54" s="509"/>
      <c r="G54" s="509"/>
      <c r="H54" s="509"/>
      <c r="I54" s="509"/>
    </row>
    <row r="55" spans="1:9" s="78" customFormat="1" x14ac:dyDescent="0.2">
      <c r="A55" s="81"/>
      <c r="B55" s="205" t="s">
        <v>953</v>
      </c>
      <c r="C55" s="86">
        <f>IF($C$5=1,$C$6,C54)</f>
        <v>0</v>
      </c>
      <c r="D55" s="509"/>
      <c r="E55" s="509"/>
      <c r="F55" s="509"/>
      <c r="G55" s="509"/>
      <c r="H55" s="509"/>
      <c r="I55" s="509"/>
    </row>
    <row r="56" spans="1:9" s="78" customFormat="1" x14ac:dyDescent="0.2">
      <c r="A56" s="81"/>
      <c r="B56" s="550" t="s">
        <v>885</v>
      </c>
      <c r="C56" s="549" t="str">
        <f>'OSNOVNI PODATKI'!E88</f>
        <v>/</v>
      </c>
      <c r="D56" s="509"/>
      <c r="E56" s="509"/>
      <c r="F56" s="509"/>
      <c r="G56" s="509"/>
      <c r="H56" s="509"/>
      <c r="I56" s="509"/>
    </row>
    <row r="57" spans="1:9" s="78" customFormat="1" x14ac:dyDescent="0.2">
      <c r="A57" s="81"/>
      <c r="B57" s="205" t="s">
        <v>117</v>
      </c>
      <c r="C57" s="86" t="str">
        <f>'OSNOVNI PODATKI'!E50</f>
        <v>Cenovni razred II</v>
      </c>
      <c r="D57" s="509"/>
      <c r="E57" s="509"/>
      <c r="F57" s="509"/>
      <c r="G57" s="509"/>
      <c r="H57" s="509"/>
      <c r="I57" s="509"/>
    </row>
    <row r="58" spans="1:9" s="78" customFormat="1" x14ac:dyDescent="0.2">
      <c r="A58" s="81"/>
      <c r="B58" s="542" t="s">
        <v>84</v>
      </c>
      <c r="C58" s="543">
        <f>IFERROR(0.0132*POWER((45%*C64+10%)*C55*(1000+C56),0.7854)/C55,0)</f>
        <v>0</v>
      </c>
      <c r="D58" s="544" t="s">
        <v>878</v>
      </c>
      <c r="E58" s="212"/>
      <c r="F58" s="212"/>
    </row>
    <row r="59" spans="1:9" s="78" customFormat="1" x14ac:dyDescent="0.2">
      <c r="A59" s="81"/>
      <c r="B59" s="545" t="s">
        <v>85</v>
      </c>
      <c r="C59" s="546">
        <f>IFERROR(0.0147*POWER((45%*C64+10%)*C55*(1000+C56),0.7854)/C55,0)</f>
        <v>0</v>
      </c>
      <c r="D59" s="508" t="s">
        <v>878</v>
      </c>
      <c r="E59" s="212"/>
      <c r="F59" s="212"/>
    </row>
    <row r="60" spans="1:9" s="78" customFormat="1" x14ac:dyDescent="0.2">
      <c r="A60" s="81"/>
      <c r="B60" s="545" t="s">
        <v>86</v>
      </c>
      <c r="C60" s="546">
        <f>IFERROR(0.019*POWER((45%*C64+10%)*C55*(1000+C56),0.7841)/C55,0)</f>
        <v>0</v>
      </c>
      <c r="D60" s="508" t="s">
        <v>878</v>
      </c>
      <c r="E60" s="212"/>
      <c r="F60" s="212"/>
    </row>
    <row r="61" spans="1:9" s="78" customFormat="1" x14ac:dyDescent="0.2">
      <c r="A61" s="81"/>
      <c r="B61" s="545" t="s">
        <v>87</v>
      </c>
      <c r="C61" s="546">
        <f>IFERROR(0.0232*POWER((45%*C64+10%)*C55*(1000+C56),0.7856)/C55,0)</f>
        <v>0</v>
      </c>
      <c r="D61" s="508" t="s">
        <v>878</v>
      </c>
      <c r="E61" s="212"/>
      <c r="F61" s="212"/>
    </row>
    <row r="62" spans="1:9" s="78" customFormat="1" x14ac:dyDescent="0.2">
      <c r="A62" s="81"/>
      <c r="B62" s="545" t="s">
        <v>88</v>
      </c>
      <c r="C62" s="546">
        <f>IFERROR(0.0277*POWER((45%*C64+10%)*C55*(1000+C56),0.7843)/C55,0)</f>
        <v>0</v>
      </c>
      <c r="D62" s="508" t="s">
        <v>878</v>
      </c>
      <c r="E62" s="212"/>
      <c r="F62" s="212"/>
    </row>
    <row r="63" spans="1:9" s="78" customFormat="1" x14ac:dyDescent="0.2">
      <c r="A63" s="81"/>
      <c r="B63" s="547" t="s">
        <v>884</v>
      </c>
      <c r="C63" s="548">
        <f>IFERROR(0.0291*POWER((45%*C64+10%)*C55*(1000+C56),0.7843)/C55,0)</f>
        <v>0</v>
      </c>
      <c r="D63" s="506" t="s">
        <v>878</v>
      </c>
      <c r="E63" s="212"/>
      <c r="F63" s="212"/>
    </row>
    <row r="64" spans="1:9" s="78" customFormat="1" x14ac:dyDescent="0.2">
      <c r="A64" s="81"/>
      <c r="B64" s="545" t="str">
        <f>'OSNOVNI PODATKI'!B99</f>
        <v>GRADBENO OBRTNIŠKA DELA (GO)</v>
      </c>
      <c r="C64" s="651">
        <f>'OSNOVNI PODATKI'!D99</f>
        <v>0</v>
      </c>
      <c r="D64" s="649"/>
      <c r="E64" s="876" t="e">
        <f>C64*$C$11*(1000+$C$12)</f>
        <v>#VALUE!</v>
      </c>
      <c r="F64" s="212"/>
    </row>
    <row r="65" spans="1:9" s="78" customFormat="1" x14ac:dyDescent="0.2">
      <c r="A65" s="81"/>
      <c r="B65" s="545" t="str">
        <f>'OSNOVNI PODATKI'!B100</f>
        <v>ELEKTRIČNE INŠTALACIJE (EI)</v>
      </c>
      <c r="C65" s="651">
        <f>'OSNOVNI PODATKI'!D100</f>
        <v>0</v>
      </c>
      <c r="D65" s="649"/>
      <c r="E65" s="876" t="e">
        <f t="shared" ref="E65:E67" si="2">C65*$C$11*(1000+$C$12)</f>
        <v>#VALUE!</v>
      </c>
      <c r="F65" s="212"/>
    </row>
    <row r="66" spans="1:9" s="78" customFormat="1" x14ac:dyDescent="0.2">
      <c r="A66" s="81"/>
      <c r="B66" s="545" t="str">
        <f>'OSNOVNI PODATKI'!B101</f>
        <v>STROJNE INŠTALACIJE (SI)</v>
      </c>
      <c r="C66" s="651">
        <f>'OSNOVNI PODATKI'!D101</f>
        <v>0</v>
      </c>
      <c r="D66" s="649"/>
      <c r="E66" s="876" t="e">
        <f t="shared" si="2"/>
        <v>#VALUE!</v>
      </c>
      <c r="F66" s="212"/>
    </row>
    <row r="67" spans="1:9" s="78" customFormat="1" x14ac:dyDescent="0.2">
      <c r="A67" s="81"/>
      <c r="B67" s="545" t="str">
        <f>'OSNOVNI PODATKI'!B102</f>
        <v>TEHNOLOGIJA (TH)</v>
      </c>
      <c r="C67" s="651">
        <f>'OSNOVNI PODATKI'!D102</f>
        <v>0</v>
      </c>
      <c r="D67" s="649"/>
      <c r="E67" s="876" t="e">
        <f t="shared" si="2"/>
        <v>#VALUE!</v>
      </c>
      <c r="F67" s="212"/>
    </row>
    <row r="68" spans="1:9" s="78" customFormat="1" x14ac:dyDescent="0.2">
      <c r="A68" s="81"/>
      <c r="C68" s="86"/>
      <c r="D68" s="509"/>
      <c r="E68" s="509"/>
      <c r="F68" s="509"/>
      <c r="G68" s="509"/>
      <c r="H68" s="509"/>
      <c r="I68" s="509"/>
    </row>
    <row r="69" spans="1:9" s="78" customFormat="1" ht="14.25" x14ac:dyDescent="0.2">
      <c r="B69" s="86" t="s">
        <v>886</v>
      </c>
      <c r="C69" s="527">
        <f>IFERROR(LOOKUP(C57,B58:C62),"/")</f>
        <v>0</v>
      </c>
      <c r="D69" s="394" t="s">
        <v>877</v>
      </c>
      <c r="E69" s="509"/>
      <c r="F69" s="509"/>
      <c r="G69" s="509"/>
      <c r="H69" s="509"/>
      <c r="I69" s="509"/>
    </row>
    <row r="70" spans="1:9" s="78" customFormat="1" ht="14.25" x14ac:dyDescent="0.2">
      <c r="B70" s="86" t="s">
        <v>887</v>
      </c>
      <c r="C70" s="527" cm="1">
        <f t="array" ref="C70">IFERROR(INDEX(C58:C63,MATCH(C57,B58:B62)+1),"/")</f>
        <v>0</v>
      </c>
      <c r="D70" s="394" t="s">
        <v>877</v>
      </c>
      <c r="E70" s="509"/>
      <c r="F70" s="509"/>
      <c r="G70" s="509"/>
      <c r="H70" s="509"/>
      <c r="I70" s="509"/>
    </row>
    <row r="71" spans="1:9" s="78" customFormat="1" x14ac:dyDescent="0.2">
      <c r="B71" s="86" t="s">
        <v>737</v>
      </c>
      <c r="C71" s="551">
        <f>IFERROR(ROUND(C69*C54,0),0)</f>
        <v>0</v>
      </c>
      <c r="D71" s="394" t="s">
        <v>879</v>
      </c>
      <c r="E71" s="509"/>
      <c r="F71" s="509"/>
      <c r="G71" s="509"/>
      <c r="H71" s="509"/>
      <c r="I71" s="509"/>
    </row>
    <row r="72" spans="1:9" s="78" customFormat="1" x14ac:dyDescent="0.2">
      <c r="B72" s="86" t="s">
        <v>738</v>
      </c>
      <c r="C72" s="551">
        <f>IFERROR(ROUND(C70*C54,0),0)</f>
        <v>0</v>
      </c>
      <c r="D72" s="394" t="s">
        <v>879</v>
      </c>
      <c r="E72" s="509"/>
      <c r="F72" s="509"/>
      <c r="G72" s="509"/>
      <c r="H72" s="509"/>
      <c r="I72" s="509"/>
    </row>
    <row r="73" spans="1:9" s="78" customFormat="1" x14ac:dyDescent="0.2">
      <c r="A73" s="81"/>
      <c r="C73" s="212"/>
      <c r="D73" s="212"/>
      <c r="E73" s="212"/>
      <c r="F73" s="212"/>
    </row>
    <row r="74" spans="1:9" s="78" customFormat="1" x14ac:dyDescent="0.2">
      <c r="A74" s="81"/>
      <c r="B74" s="212" t="str">
        <f>'OSNOVNI PODATKI'!A107</f>
        <v>STAVBA 4 / DEL 4</v>
      </c>
      <c r="C74" s="553">
        <f>'OSNOVNI PODATKI'!E107</f>
        <v>0</v>
      </c>
      <c r="D74" s="212"/>
      <c r="E74" s="212"/>
      <c r="F74" s="212"/>
    </row>
    <row r="75" spans="1:9" s="78" customFormat="1" x14ac:dyDescent="0.2">
      <c r="A75" s="81"/>
      <c r="B75" s="205" t="s">
        <v>722</v>
      </c>
      <c r="C75" s="86">
        <f>'OSNOVNI PODATKI'!E108</f>
        <v>0</v>
      </c>
      <c r="D75" s="509"/>
      <c r="E75" s="509"/>
      <c r="F75" s="509"/>
      <c r="G75" s="509"/>
      <c r="H75" s="509"/>
      <c r="I75" s="509"/>
    </row>
    <row r="76" spans="1:9" s="78" customFormat="1" x14ac:dyDescent="0.2">
      <c r="A76" s="81"/>
      <c r="B76" s="205" t="s">
        <v>952</v>
      </c>
      <c r="C76" s="86">
        <f>'OSNOVNI PODATKI'!E109</f>
        <v>0</v>
      </c>
      <c r="D76" s="509"/>
      <c r="E76" s="509"/>
      <c r="F76" s="509"/>
      <c r="G76" s="509"/>
      <c r="H76" s="509"/>
      <c r="I76" s="509"/>
    </row>
    <row r="77" spans="1:9" s="78" customFormat="1" x14ac:dyDescent="0.2">
      <c r="A77" s="81"/>
      <c r="B77" s="205" t="s">
        <v>953</v>
      </c>
      <c r="C77" s="86">
        <f>IF($C$5=1,$C$6,C76)</f>
        <v>0</v>
      </c>
      <c r="D77" s="509"/>
      <c r="E77" s="509"/>
      <c r="F77" s="509"/>
      <c r="G77" s="509"/>
      <c r="H77" s="509"/>
      <c r="I77" s="509"/>
    </row>
    <row r="78" spans="1:9" s="78" customFormat="1" x14ac:dyDescent="0.2">
      <c r="A78" s="81"/>
      <c r="B78" s="550" t="s">
        <v>885</v>
      </c>
      <c r="C78" s="549" t="str">
        <f>'OSNOVNI PODATKI'!E119</f>
        <v>/</v>
      </c>
      <c r="D78" s="509"/>
      <c r="E78" s="509"/>
      <c r="F78" s="509"/>
      <c r="G78" s="509"/>
      <c r="H78" s="509"/>
      <c r="I78" s="509"/>
    </row>
    <row r="79" spans="1:9" s="78" customFormat="1" x14ac:dyDescent="0.2">
      <c r="A79" s="81"/>
      <c r="B79" s="205" t="s">
        <v>117</v>
      </c>
      <c r="C79" s="86" t="str">
        <f>'OSNOVNI PODATKI'!E111</f>
        <v>Cenovni razred I</v>
      </c>
      <c r="D79" s="509"/>
      <c r="E79" s="509"/>
      <c r="F79" s="509"/>
      <c r="G79" s="509"/>
      <c r="H79" s="509"/>
      <c r="I79" s="509"/>
    </row>
    <row r="80" spans="1:9" s="78" customFormat="1" x14ac:dyDescent="0.2">
      <c r="A80" s="81"/>
      <c r="B80" s="542" t="s">
        <v>84</v>
      </c>
      <c r="C80" s="543">
        <f>IFERROR(0.0132*POWER((45%*C86+10%)*C77*(1000+C78),0.7854)/C77,0)</f>
        <v>0</v>
      </c>
      <c r="D80" s="544" t="s">
        <v>878</v>
      </c>
      <c r="E80" s="212"/>
      <c r="F80" s="212"/>
    </row>
    <row r="81" spans="1:9" s="78" customFormat="1" x14ac:dyDescent="0.2">
      <c r="A81" s="81"/>
      <c r="B81" s="545" t="s">
        <v>85</v>
      </c>
      <c r="C81" s="546">
        <f>IFERROR(0.0147*POWER((45%*C86+10%)*C77*(1000+C78),0.7854)/C77,0)</f>
        <v>0</v>
      </c>
      <c r="D81" s="508" t="s">
        <v>878</v>
      </c>
      <c r="E81" s="212"/>
      <c r="F81" s="212"/>
    </row>
    <row r="82" spans="1:9" s="78" customFormat="1" x14ac:dyDescent="0.2">
      <c r="A82" s="81"/>
      <c r="B82" s="545" t="s">
        <v>86</v>
      </c>
      <c r="C82" s="546">
        <f>IFERROR(0.019*POWER((45%*C86+10%)*C77*(1000+C78),0.7841)/C77,0)</f>
        <v>0</v>
      </c>
      <c r="D82" s="508" t="s">
        <v>878</v>
      </c>
      <c r="E82" s="212"/>
      <c r="F82" s="212"/>
    </row>
    <row r="83" spans="1:9" s="78" customFormat="1" x14ac:dyDescent="0.2">
      <c r="A83" s="81"/>
      <c r="B83" s="545" t="s">
        <v>87</v>
      </c>
      <c r="C83" s="546">
        <f>IFERROR(0.0232*POWER((45%*C86+10%)*C77*(1000+C78),0.7856)/C77,0)</f>
        <v>0</v>
      </c>
      <c r="D83" s="508" t="s">
        <v>878</v>
      </c>
      <c r="E83" s="212"/>
      <c r="F83" s="212"/>
    </row>
    <row r="84" spans="1:9" s="78" customFormat="1" x14ac:dyDescent="0.2">
      <c r="A84" s="81"/>
      <c r="B84" s="545" t="s">
        <v>88</v>
      </c>
      <c r="C84" s="546">
        <f>IFERROR(0.0277*POWER((45%*C86+10%)*C77*(1000+C78),0.7843)/C77,0)</f>
        <v>0</v>
      </c>
      <c r="D84" s="508" t="s">
        <v>878</v>
      </c>
      <c r="E84" s="212"/>
      <c r="F84" s="212"/>
    </row>
    <row r="85" spans="1:9" s="78" customFormat="1" x14ac:dyDescent="0.2">
      <c r="A85" s="81"/>
      <c r="B85" s="547" t="s">
        <v>884</v>
      </c>
      <c r="C85" s="548">
        <f>IFERROR(0.0291*POWER((45%*C86+10%)*C77*(1000+C78),0.7843)/C77,0)</f>
        <v>0</v>
      </c>
      <c r="D85" s="506" t="s">
        <v>878</v>
      </c>
      <c r="E85" s="212"/>
      <c r="F85" s="212"/>
    </row>
    <row r="86" spans="1:9" s="78" customFormat="1" x14ac:dyDescent="0.2">
      <c r="A86" s="81"/>
      <c r="B86" s="545" t="str">
        <f>'OSNOVNI PODATKI'!B130</f>
        <v>GRADBENO OBRTNIŠKA DELA (GO)</v>
      </c>
      <c r="C86" s="651">
        <f>'OSNOVNI PODATKI'!D130</f>
        <v>0</v>
      </c>
      <c r="D86" s="649"/>
      <c r="E86" s="876" t="e">
        <f>C86*$C$11*(1000+$C$12)</f>
        <v>#VALUE!</v>
      </c>
      <c r="F86" s="212"/>
    </row>
    <row r="87" spans="1:9" s="78" customFormat="1" x14ac:dyDescent="0.2">
      <c r="A87" s="81"/>
      <c r="B87" s="545" t="str">
        <f>'OSNOVNI PODATKI'!B131</f>
        <v>ELEKTRIČNE INŠTALACIJE (EI)</v>
      </c>
      <c r="C87" s="651">
        <f>'OSNOVNI PODATKI'!D131</f>
        <v>0</v>
      </c>
      <c r="D87" s="649"/>
      <c r="E87" s="876" t="e">
        <f t="shared" ref="E87:E89" si="3">C87*$C$11*(1000+$C$12)</f>
        <v>#VALUE!</v>
      </c>
      <c r="F87" s="212"/>
    </row>
    <row r="88" spans="1:9" s="78" customFormat="1" x14ac:dyDescent="0.2">
      <c r="A88" s="81"/>
      <c r="B88" s="545" t="str">
        <f>'OSNOVNI PODATKI'!B132</f>
        <v>STROJNE INŠTALACIJE (SI)</v>
      </c>
      <c r="C88" s="651">
        <f>'OSNOVNI PODATKI'!D132</f>
        <v>0</v>
      </c>
      <c r="D88" s="649"/>
      <c r="E88" s="876" t="e">
        <f t="shared" si="3"/>
        <v>#VALUE!</v>
      </c>
      <c r="F88" s="212"/>
    </row>
    <row r="89" spans="1:9" s="78" customFormat="1" x14ac:dyDescent="0.2">
      <c r="A89" s="81"/>
      <c r="B89" s="545" t="str">
        <f>'OSNOVNI PODATKI'!B133</f>
        <v>TEHNOLOGIJA (TH)</v>
      </c>
      <c r="C89" s="651">
        <f>'OSNOVNI PODATKI'!D133</f>
        <v>0</v>
      </c>
      <c r="D89" s="649"/>
      <c r="E89" s="876" t="e">
        <f t="shared" si="3"/>
        <v>#VALUE!</v>
      </c>
      <c r="F89" s="212"/>
    </row>
    <row r="90" spans="1:9" s="78" customFormat="1" x14ac:dyDescent="0.2">
      <c r="A90" s="81"/>
      <c r="C90" s="86"/>
      <c r="D90" s="509"/>
      <c r="E90" s="509"/>
      <c r="F90" s="509"/>
      <c r="G90" s="509"/>
      <c r="H90" s="509"/>
      <c r="I90" s="509"/>
    </row>
    <row r="91" spans="1:9" s="78" customFormat="1" ht="14.25" x14ac:dyDescent="0.2">
      <c r="B91" s="86" t="s">
        <v>886</v>
      </c>
      <c r="C91" s="527">
        <f>IFERROR(LOOKUP(C79,B80:C84),"/")</f>
        <v>0</v>
      </c>
      <c r="D91" s="394" t="s">
        <v>877</v>
      </c>
      <c r="E91" s="509"/>
      <c r="F91" s="509"/>
      <c r="G91" s="509"/>
      <c r="H91" s="509"/>
      <c r="I91" s="509"/>
    </row>
    <row r="92" spans="1:9" s="78" customFormat="1" ht="14.25" x14ac:dyDescent="0.2">
      <c r="B92" s="86" t="s">
        <v>887</v>
      </c>
      <c r="C92" s="527" cm="1">
        <f t="array" ref="C92">IFERROR(INDEX(C80:C85,MATCH(C79,B80:B84)+1),"/")</f>
        <v>0</v>
      </c>
      <c r="D92" s="394" t="s">
        <v>877</v>
      </c>
      <c r="E92" s="509"/>
      <c r="F92" s="509"/>
      <c r="G92" s="509"/>
      <c r="H92" s="509"/>
      <c r="I92" s="509"/>
    </row>
    <row r="93" spans="1:9" s="78" customFormat="1" x14ac:dyDescent="0.2">
      <c r="B93" s="86" t="s">
        <v>737</v>
      </c>
      <c r="C93" s="551">
        <f>IFERROR(ROUND(C91*C76,0),0)</f>
        <v>0</v>
      </c>
      <c r="D93" s="394" t="s">
        <v>879</v>
      </c>
      <c r="E93" s="509"/>
      <c r="F93" s="509"/>
      <c r="G93" s="509"/>
      <c r="H93" s="509"/>
      <c r="I93" s="509"/>
    </row>
    <row r="94" spans="1:9" s="78" customFormat="1" x14ac:dyDescent="0.2">
      <c r="B94" s="86" t="s">
        <v>738</v>
      </c>
      <c r="C94" s="551">
        <f>IFERROR(ROUND(C92*C76,0),0)</f>
        <v>0</v>
      </c>
      <c r="D94" s="394" t="s">
        <v>879</v>
      </c>
      <c r="E94" s="509"/>
      <c r="F94" s="509"/>
      <c r="G94" s="509"/>
      <c r="H94" s="509"/>
      <c r="I94" s="509"/>
    </row>
    <row r="95" spans="1:9" s="78" customFormat="1" x14ac:dyDescent="0.2">
      <c r="A95" s="81"/>
      <c r="C95" s="212"/>
      <c r="D95" s="212"/>
      <c r="E95" s="212"/>
      <c r="F95" s="212"/>
    </row>
    <row r="96" spans="1:9" s="78" customFormat="1" x14ac:dyDescent="0.2">
      <c r="A96" s="81"/>
      <c r="B96" s="212" t="str">
        <f>'OSNOVNI PODATKI'!A138</f>
        <v>STAVBA 5 / DEL 5</v>
      </c>
      <c r="C96" s="553">
        <f>'OSNOVNI PODATKI'!E138</f>
        <v>0</v>
      </c>
      <c r="D96" s="212"/>
      <c r="E96" s="212"/>
      <c r="F96" s="212"/>
    </row>
    <row r="97" spans="1:9" s="78" customFormat="1" x14ac:dyDescent="0.2">
      <c r="A97" s="81"/>
      <c r="B97" s="205" t="s">
        <v>722</v>
      </c>
      <c r="C97" s="86">
        <f>'OSNOVNI PODATKI'!E139</f>
        <v>0</v>
      </c>
      <c r="D97" s="509"/>
      <c r="E97" s="509"/>
      <c r="F97" s="509"/>
      <c r="G97" s="509"/>
      <c r="H97" s="509"/>
      <c r="I97" s="509"/>
    </row>
    <row r="98" spans="1:9" s="78" customFormat="1" x14ac:dyDescent="0.2">
      <c r="A98" s="81"/>
      <c r="B98" s="205" t="s">
        <v>952</v>
      </c>
      <c r="C98" s="86">
        <f>'OSNOVNI PODATKI'!E140</f>
        <v>0</v>
      </c>
      <c r="D98" s="509"/>
      <c r="E98" s="509"/>
      <c r="F98" s="509"/>
      <c r="G98" s="509"/>
      <c r="H98" s="509"/>
      <c r="I98" s="509"/>
    </row>
    <row r="99" spans="1:9" s="78" customFormat="1" x14ac:dyDescent="0.2">
      <c r="A99" s="81"/>
      <c r="B99" s="205" t="s">
        <v>953</v>
      </c>
      <c r="C99" s="86">
        <f>IF($C$5=1,$C$6,C98)</f>
        <v>0</v>
      </c>
      <c r="D99" s="509"/>
      <c r="E99" s="509"/>
      <c r="F99" s="509"/>
      <c r="G99" s="509"/>
      <c r="H99" s="509"/>
      <c r="I99" s="509"/>
    </row>
    <row r="100" spans="1:9" s="78" customFormat="1" x14ac:dyDescent="0.2">
      <c r="A100" s="81"/>
      <c r="B100" s="550" t="s">
        <v>885</v>
      </c>
      <c r="C100" s="549" t="str">
        <f>'OSNOVNI PODATKI'!E150</f>
        <v>/</v>
      </c>
      <c r="D100" s="509"/>
      <c r="E100" s="509"/>
      <c r="F100" s="509"/>
      <c r="G100" s="509"/>
      <c r="H100" s="509"/>
      <c r="I100" s="509"/>
    </row>
    <row r="101" spans="1:9" s="78" customFormat="1" x14ac:dyDescent="0.2">
      <c r="A101" s="81"/>
      <c r="B101" s="205" t="s">
        <v>117</v>
      </c>
      <c r="C101" s="86" t="str">
        <f>'OSNOVNI PODATKI'!E142</f>
        <v>Cenovni razred I</v>
      </c>
      <c r="D101" s="509"/>
      <c r="E101" s="509"/>
      <c r="F101" s="509"/>
      <c r="G101" s="509"/>
      <c r="H101" s="509"/>
      <c r="I101" s="509"/>
    </row>
    <row r="102" spans="1:9" s="78" customFormat="1" x14ac:dyDescent="0.2">
      <c r="A102" s="81"/>
      <c r="B102" s="542" t="s">
        <v>84</v>
      </c>
      <c r="C102" s="543">
        <f>IFERROR(0.0132*POWER((45%*C108+10%)*C99*(1000+C100),0.7854)/C99,0)</f>
        <v>0</v>
      </c>
      <c r="D102" s="544" t="s">
        <v>878</v>
      </c>
      <c r="E102" s="212"/>
      <c r="F102" s="212"/>
    </row>
    <row r="103" spans="1:9" s="78" customFormat="1" x14ac:dyDescent="0.2">
      <c r="A103" s="81"/>
      <c r="B103" s="545" t="s">
        <v>85</v>
      </c>
      <c r="C103" s="546">
        <f>IFERROR(0.0147*POWER((45%*C108+10%)*C99*(1000+C100),0.7854)/C99,0)</f>
        <v>0</v>
      </c>
      <c r="D103" s="508" t="s">
        <v>878</v>
      </c>
      <c r="E103" s="212"/>
      <c r="F103" s="212"/>
    </row>
    <row r="104" spans="1:9" s="78" customFormat="1" x14ac:dyDescent="0.2">
      <c r="A104" s="81"/>
      <c r="B104" s="545" t="s">
        <v>86</v>
      </c>
      <c r="C104" s="546">
        <f>IFERROR(0.019*POWER((45%*C108+10%)*C99*(1000+C100),0.7841)/C99,0)</f>
        <v>0</v>
      </c>
      <c r="D104" s="508" t="s">
        <v>878</v>
      </c>
      <c r="E104" s="212"/>
      <c r="F104" s="212"/>
    </row>
    <row r="105" spans="1:9" s="78" customFormat="1" x14ac:dyDescent="0.2">
      <c r="A105" s="81"/>
      <c r="B105" s="545" t="s">
        <v>87</v>
      </c>
      <c r="C105" s="546">
        <f>IFERROR(0.0232*POWER((45%*C108+10%)*C99*(1000+C100),0.7856)/C99,0)</f>
        <v>0</v>
      </c>
      <c r="D105" s="508" t="s">
        <v>878</v>
      </c>
      <c r="E105" s="212"/>
      <c r="F105" s="212"/>
    </row>
    <row r="106" spans="1:9" s="78" customFormat="1" x14ac:dyDescent="0.2">
      <c r="A106" s="81"/>
      <c r="B106" s="545" t="s">
        <v>88</v>
      </c>
      <c r="C106" s="546">
        <f>IFERROR(0.0277*POWER((45%*C108+10%)*C99*(1000+C100),0.7843)/C99,0)</f>
        <v>0</v>
      </c>
      <c r="D106" s="508" t="s">
        <v>878</v>
      </c>
      <c r="E106" s="212"/>
      <c r="F106" s="212"/>
    </row>
    <row r="107" spans="1:9" s="78" customFormat="1" x14ac:dyDescent="0.2">
      <c r="A107" s="81"/>
      <c r="B107" s="547" t="s">
        <v>884</v>
      </c>
      <c r="C107" s="548">
        <f>IFERROR(0.0291*POWER((45%*C108+10%)*C99*(1000+C100),0.7843)/C99,0)</f>
        <v>0</v>
      </c>
      <c r="D107" s="506" t="s">
        <v>878</v>
      </c>
      <c r="E107" s="212"/>
      <c r="F107" s="212"/>
    </row>
    <row r="108" spans="1:9" s="78" customFormat="1" x14ac:dyDescent="0.2">
      <c r="A108" s="81"/>
      <c r="B108" s="545" t="str">
        <f>'OSNOVNI PODATKI'!B161</f>
        <v>GRADBENO OBRTNIŠKA DELA (GO)</v>
      </c>
      <c r="C108" s="651">
        <f>'OSNOVNI PODATKI'!D161</f>
        <v>0</v>
      </c>
      <c r="D108" s="649"/>
      <c r="E108" s="876" t="e">
        <f>C108*$C$11*(1000+$C$12)</f>
        <v>#VALUE!</v>
      </c>
      <c r="F108" s="212"/>
    </row>
    <row r="109" spans="1:9" s="78" customFormat="1" x14ac:dyDescent="0.2">
      <c r="A109" s="81"/>
      <c r="B109" s="545" t="str">
        <f>'OSNOVNI PODATKI'!B157</f>
        <v>INFORMATIVNA OCENA STROŠKOV GRADNJE</v>
      </c>
      <c r="C109" s="651">
        <f>'OSNOVNI PODATKI'!D162</f>
        <v>0</v>
      </c>
      <c r="D109" s="649"/>
      <c r="E109" s="876" t="e">
        <f t="shared" ref="E109:E111" si="4">C109*$C$11*(1000+$C$12)</f>
        <v>#VALUE!</v>
      </c>
      <c r="F109" s="212"/>
    </row>
    <row r="110" spans="1:9" s="78" customFormat="1" x14ac:dyDescent="0.2">
      <c r="A110" s="81"/>
      <c r="B110" s="545" t="str">
        <f>'OSNOVNI PODATKI'!B158</f>
        <v>INFORMATIVNA VREDNOST STROŠKOV GRADNJE EUR/m2 BTP</v>
      </c>
      <c r="C110" s="651">
        <f>'OSNOVNI PODATKI'!D163</f>
        <v>0</v>
      </c>
      <c r="D110" s="649"/>
      <c r="E110" s="876" t="e">
        <f t="shared" si="4"/>
        <v>#VALUE!</v>
      </c>
      <c r="F110" s="212"/>
    </row>
    <row r="111" spans="1:9" s="78" customFormat="1" x14ac:dyDescent="0.2">
      <c r="A111" s="81"/>
      <c r="B111" s="545" t="str">
        <f>'OSNOVNI PODATKI'!B159</f>
        <v>IZBRANA VREDNOST STROKOV GRADNJE EUR/m2 BEP</v>
      </c>
      <c r="C111" s="651">
        <f>'OSNOVNI PODATKI'!D164</f>
        <v>0</v>
      </c>
      <c r="D111" s="649"/>
      <c r="E111" s="876" t="e">
        <f t="shared" si="4"/>
        <v>#VALUE!</v>
      </c>
      <c r="F111" s="212"/>
    </row>
    <row r="112" spans="1:9" s="78" customFormat="1" x14ac:dyDescent="0.2">
      <c r="A112" s="81"/>
      <c r="C112" s="86"/>
      <c r="D112" s="509"/>
      <c r="E112" s="509"/>
      <c r="F112" s="509"/>
      <c r="G112" s="509"/>
      <c r="H112" s="509"/>
      <c r="I112" s="509"/>
    </row>
    <row r="113" spans="1:9" s="78" customFormat="1" ht="14.25" x14ac:dyDescent="0.2">
      <c r="B113" s="86" t="s">
        <v>886</v>
      </c>
      <c r="C113" s="527">
        <f>IFERROR(LOOKUP(C101,B102:C106),"/")</f>
        <v>0</v>
      </c>
      <c r="D113" s="394" t="s">
        <v>877</v>
      </c>
      <c r="E113" s="509"/>
      <c r="F113" s="509"/>
      <c r="G113" s="509"/>
      <c r="H113" s="509"/>
      <c r="I113" s="509"/>
    </row>
    <row r="114" spans="1:9" s="78" customFormat="1" ht="14.25" x14ac:dyDescent="0.2">
      <c r="B114" s="86" t="s">
        <v>887</v>
      </c>
      <c r="C114" s="527" cm="1">
        <f t="array" ref="C114">IFERROR(INDEX(C102:C107,MATCH(C101,B102:B106)+1),"/")</f>
        <v>0</v>
      </c>
      <c r="D114" s="394" t="s">
        <v>877</v>
      </c>
      <c r="E114" s="509"/>
      <c r="F114" s="509"/>
      <c r="G114" s="509"/>
      <c r="H114" s="509"/>
      <c r="I114" s="509"/>
    </row>
    <row r="115" spans="1:9" s="78" customFormat="1" x14ac:dyDescent="0.2">
      <c r="B115" s="86" t="s">
        <v>737</v>
      </c>
      <c r="C115" s="551">
        <f>IFERROR(ROUND(C113*C98,0),0)</f>
        <v>0</v>
      </c>
      <c r="D115" s="394" t="s">
        <v>879</v>
      </c>
      <c r="E115" s="509"/>
      <c r="F115" s="509"/>
      <c r="G115" s="509"/>
      <c r="H115" s="509"/>
      <c r="I115" s="509"/>
    </row>
    <row r="116" spans="1:9" s="78" customFormat="1" x14ac:dyDescent="0.2">
      <c r="B116" s="86" t="s">
        <v>738</v>
      </c>
      <c r="C116" s="551">
        <f>IFERROR(ROUND(C114*C98,0),0)</f>
        <v>0</v>
      </c>
      <c r="D116" s="394" t="s">
        <v>879</v>
      </c>
      <c r="E116" s="509"/>
      <c r="F116" s="509"/>
      <c r="G116" s="509"/>
      <c r="H116" s="509"/>
      <c r="I116" s="509"/>
    </row>
    <row r="117" spans="1:9" s="78" customFormat="1" x14ac:dyDescent="0.2">
      <c r="A117" s="81"/>
      <c r="C117" s="212"/>
      <c r="D117" s="212"/>
      <c r="E117" s="212"/>
      <c r="F117" s="212"/>
    </row>
    <row r="118" spans="1:9" s="78" customFormat="1" ht="13.5" thickBot="1" x14ac:dyDescent="0.25">
      <c r="B118" s="79"/>
      <c r="D118" s="79"/>
      <c r="E118" s="79"/>
      <c r="F118" s="84"/>
    </row>
    <row r="119" spans="1:9" s="78" customFormat="1" ht="18.75" x14ac:dyDescent="0.2">
      <c r="A119" s="831" t="s">
        <v>1143</v>
      </c>
      <c r="B119" s="831"/>
      <c r="C119" s="831"/>
      <c r="D119" s="831"/>
      <c r="E119" s="831"/>
      <c r="F119" s="831"/>
      <c r="G119" s="831"/>
      <c r="H119" s="831"/>
    </row>
    <row r="120" spans="1:9" s="78" customFormat="1" x14ac:dyDescent="0.2">
      <c r="A120" s="212"/>
      <c r="B120" s="212"/>
      <c r="C120" s="752"/>
      <c r="D120" s="752"/>
      <c r="E120" s="752"/>
      <c r="F120" s="640"/>
      <c r="G120" s="752"/>
      <c r="H120" s="752"/>
    </row>
    <row r="121" spans="1:9" s="78" customFormat="1" x14ac:dyDescent="0.2">
      <c r="A121" s="212"/>
      <c r="B121" s="86" t="s">
        <v>875</v>
      </c>
      <c r="C121" s="212"/>
      <c r="D121" s="212"/>
      <c r="E121" s="212"/>
      <c r="F121" s="507">
        <f>'OSNOVNI PODATKI'!G382</f>
        <v>0</v>
      </c>
      <c r="G121" s="212"/>
      <c r="H121" s="212"/>
    </row>
    <row r="122" spans="1:9" s="78" customFormat="1" x14ac:dyDescent="0.2">
      <c r="A122" s="212"/>
      <c r="B122" s="86" t="s">
        <v>876</v>
      </c>
      <c r="C122" s="210"/>
      <c r="D122" s="85"/>
      <c r="E122" s="85"/>
      <c r="F122" s="493">
        <f>'ARHIGRAM 6'!I16</f>
        <v>46</v>
      </c>
      <c r="G122" s="210"/>
      <c r="H122" s="210"/>
    </row>
    <row r="123" spans="1:9" s="78" customFormat="1" x14ac:dyDescent="0.2">
      <c r="A123" s="212"/>
      <c r="B123" s="212"/>
      <c r="C123" s="212"/>
      <c r="D123" s="212"/>
      <c r="E123" s="212"/>
      <c r="G123" s="212"/>
      <c r="H123" s="212"/>
    </row>
    <row r="124" spans="1:9" s="78" customFormat="1" x14ac:dyDescent="0.2">
      <c r="B124" s="86" t="str">
        <f>'OSNOVNI PODATKI'!B394</f>
        <v>PRIBITEK ZA PRENOVO</v>
      </c>
      <c r="C124" s="210"/>
      <c r="D124" s="85"/>
      <c r="E124" s="85"/>
      <c r="F124" s="314">
        <f>'OSNOVNI PODATKI'!F394</f>
        <v>0</v>
      </c>
      <c r="G124" s="210" t="str">
        <f>+'OSNOVNI PODATKI'!G394</f>
        <v>upošteva se v vseh fazah, samo za storitve projektiranja</v>
      </c>
      <c r="H124" s="210"/>
    </row>
    <row r="125" spans="1:9" s="78" customFormat="1" ht="27" customHeight="1" x14ac:dyDescent="0.2">
      <c r="B125" s="1337" t="str">
        <f>'OSNOVNI PODATKI'!B403</f>
        <v>AB KONSTRUKCIJA BREZ OPAŽNIH NAČRTOV ALI ENOSTAVNA LESENA KONSTRUKCIJA</v>
      </c>
      <c r="C125" s="1337"/>
      <c r="D125" s="1337"/>
      <c r="E125" s="1337"/>
      <c r="F125" s="662" t="str">
        <f>IF('OSNOVNI PODATKI'!F403=TRUE,"DA","NE")</f>
        <v>DA</v>
      </c>
      <c r="G125" s="210" t="str">
        <f>+'OSNOVNI PODATKI'!G403</f>
        <v>če je opcija izbrana, se v fazi 2.4 GK upošteva odbitek 30 %</v>
      </c>
      <c r="H125" s="210"/>
    </row>
    <row r="126" spans="1:9" s="2" customFormat="1" x14ac:dyDescent="0.2">
      <c r="A126" s="78"/>
      <c r="B126" s="212"/>
      <c r="C126" s="212"/>
      <c r="D126" s="212"/>
      <c r="E126" s="212"/>
      <c r="F126" s="212"/>
      <c r="G126" s="212"/>
    </row>
    <row r="127" spans="1:9" s="2" customFormat="1" x14ac:dyDescent="0.2">
      <c r="A127" s="78"/>
      <c r="B127" s="212"/>
      <c r="C127" s="212"/>
      <c r="D127" s="212"/>
      <c r="E127" s="212"/>
      <c r="F127" s="212"/>
      <c r="G127" s="212"/>
    </row>
    <row r="128" spans="1:9" s="2" customFormat="1" x14ac:dyDescent="0.2">
      <c r="A128" s="78"/>
      <c r="B128" s="212"/>
      <c r="C128" s="212"/>
      <c r="D128" s="212"/>
      <c r="E128" s="212"/>
      <c r="F128" s="212"/>
      <c r="G128" s="212"/>
    </row>
    <row r="129" spans="1:11" s="2" customFormat="1" x14ac:dyDescent="0.2">
      <c r="A129" s="78"/>
      <c r="B129" s="212"/>
      <c r="C129" s="212"/>
      <c r="D129" s="212"/>
      <c r="E129" s="212"/>
      <c r="F129" s="212"/>
      <c r="G129" s="212"/>
    </row>
    <row r="130" spans="1:11" s="12" customFormat="1" ht="26.25" x14ac:dyDescent="0.25">
      <c r="A130" s="107"/>
      <c r="B130" s="108"/>
      <c r="C130" s="108"/>
      <c r="D130" s="108"/>
      <c r="E130" s="109" t="s">
        <v>25</v>
      </c>
      <c r="F130" s="303" t="s">
        <v>484</v>
      </c>
      <c r="G130" s="620" t="s">
        <v>57</v>
      </c>
      <c r="H130" s="110" t="s">
        <v>70</v>
      </c>
      <c r="I130" s="126" t="s">
        <v>915</v>
      </c>
    </row>
    <row r="131" spans="1:11" s="13" customFormat="1" ht="14.25" x14ac:dyDescent="0.2">
      <c r="A131" s="103" t="s">
        <v>29</v>
      </c>
      <c r="B131" s="104" t="s">
        <v>30</v>
      </c>
      <c r="C131" s="104"/>
      <c r="D131" s="104"/>
      <c r="E131" s="105"/>
      <c r="F131" s="105"/>
      <c r="G131" s="621"/>
      <c r="H131" s="106"/>
    </row>
    <row r="132" spans="1:11" s="13" customFormat="1" ht="14.25" x14ac:dyDescent="0.2">
      <c r="A132" s="87" t="s">
        <v>31</v>
      </c>
      <c r="B132" s="99" t="s">
        <v>65</v>
      </c>
      <c r="C132" s="99"/>
      <c r="D132" s="99"/>
      <c r="E132" s="88"/>
      <c r="F132" s="88"/>
      <c r="G132" s="622"/>
      <c r="H132" s="89" t="str">
        <f>IF(I132=TRUE,G132*'VREDNOST NU'!#REF!,"")</f>
        <v/>
      </c>
    </row>
    <row r="133" spans="1:11" s="13" customFormat="1" ht="14.25" x14ac:dyDescent="0.2">
      <c r="A133" s="112" t="s">
        <v>32</v>
      </c>
      <c r="B133" s="113" t="s">
        <v>66</v>
      </c>
      <c r="C133" s="113"/>
      <c r="D133" s="113"/>
      <c r="E133" s="114"/>
      <c r="F133" s="114"/>
      <c r="G133" s="623"/>
      <c r="H133" s="93" t="str">
        <f>IF(I133=TRUE,G133*'VREDNOST NU'!#REF!,"")</f>
        <v/>
      </c>
    </row>
    <row r="134" spans="1:11" s="13" customFormat="1" ht="14.25" x14ac:dyDescent="0.2">
      <c r="A134" s="111" t="s">
        <v>33</v>
      </c>
      <c r="B134" s="104" t="s">
        <v>34</v>
      </c>
      <c r="C134" s="104"/>
      <c r="D134" s="104"/>
      <c r="E134" s="105">
        <f>SUM(E135:E137)</f>
        <v>0.03</v>
      </c>
      <c r="F134" s="105">
        <f>SUM(F135:F137)</f>
        <v>0.03</v>
      </c>
      <c r="G134" s="627">
        <f>SUM(G135:G137)</f>
        <v>0</v>
      </c>
      <c r="H134" s="106">
        <f>SUM(H135:H137)</f>
        <v>0</v>
      </c>
      <c r="I134" s="127" t="e">
        <f>H134/'OSNOVNI PODATKI'!$E$329</f>
        <v>#DIV/0!</v>
      </c>
    </row>
    <row r="135" spans="1:11" s="13" customFormat="1" ht="14.25" x14ac:dyDescent="0.2">
      <c r="A135" s="90" t="s">
        <v>35</v>
      </c>
      <c r="B135" s="98" t="s">
        <v>67</v>
      </c>
      <c r="C135" s="98"/>
      <c r="D135" s="98"/>
      <c r="E135" s="88">
        <v>1.4999999999999999E-2</v>
      </c>
      <c r="F135" s="88">
        <f>E135*(100%+$F$124)</f>
        <v>1.4999999999999999E-2</v>
      </c>
      <c r="G135" s="628">
        <f>F135*$F$121</f>
        <v>0</v>
      </c>
      <c r="H135" s="89">
        <f>+G135*'ARHIGRAM 6'!$I$16</f>
        <v>0</v>
      </c>
    </row>
    <row r="136" spans="1:11" s="13" customFormat="1" ht="14.25" x14ac:dyDescent="0.2">
      <c r="A136" s="90" t="s">
        <v>36</v>
      </c>
      <c r="B136" s="98" t="s">
        <v>68</v>
      </c>
      <c r="C136" s="98"/>
      <c r="D136" s="98"/>
      <c r="E136" s="88">
        <v>1.4999999999999999E-2</v>
      </c>
      <c r="F136" s="88">
        <f t="shared" ref="F136" si="5">E136*(100%+$F$124)</f>
        <v>1.4999999999999999E-2</v>
      </c>
      <c r="G136" s="628">
        <f t="shared" ref="G136" si="6">F136*$F$121</f>
        <v>0</v>
      </c>
      <c r="H136" s="89">
        <f>+G136*'ARHIGRAM 6'!$I$16</f>
        <v>0</v>
      </c>
    </row>
    <row r="137" spans="1:11" s="13" customFormat="1" ht="14.25" x14ac:dyDescent="0.2">
      <c r="A137" s="116" t="s">
        <v>37</v>
      </c>
      <c r="B137" s="117" t="s">
        <v>844</v>
      </c>
      <c r="C137" s="117"/>
      <c r="D137" s="117"/>
      <c r="E137" s="114"/>
      <c r="F137" s="114"/>
      <c r="G137" s="629"/>
      <c r="H137" s="93"/>
    </row>
    <row r="138" spans="1:11" s="13" customFormat="1" ht="14.25" x14ac:dyDescent="0.2">
      <c r="A138" s="115">
        <v>2</v>
      </c>
      <c r="B138" s="104" t="s">
        <v>38</v>
      </c>
      <c r="C138" s="104"/>
      <c r="D138" s="104"/>
      <c r="E138" s="105">
        <f>+E139+E140+E141+E142+E143</f>
        <v>0.97</v>
      </c>
      <c r="F138" s="105">
        <f>+F139+F140+F141+F142+F143</f>
        <v>0.66999999999999993</v>
      </c>
      <c r="G138" s="630">
        <f>SUM(G139:G143)</f>
        <v>0</v>
      </c>
      <c r="H138" s="106">
        <f>SUM(H139:H143)</f>
        <v>0</v>
      </c>
      <c r="I138" s="127" t="e">
        <f>H138/'OSNOVNI PODATKI'!$E$329</f>
        <v>#DIV/0!</v>
      </c>
    </row>
    <row r="139" spans="1:11" s="13" customFormat="1" ht="14.25" x14ac:dyDescent="0.2">
      <c r="A139" s="90" t="s">
        <v>51</v>
      </c>
      <c r="B139" s="98" t="s">
        <v>95</v>
      </c>
      <c r="C139" s="98"/>
      <c r="D139" s="98"/>
      <c r="E139" s="101">
        <v>0.15</v>
      </c>
      <c r="F139" s="88">
        <f>E139*(100%+$F$124)</f>
        <v>0.15</v>
      </c>
      <c r="G139" s="628">
        <f t="shared" ref="G139:G142" si="7">F139*$F$121</f>
        <v>0</v>
      </c>
      <c r="H139" s="89">
        <f>+G139*'ARHIGRAM 6'!$I$16</f>
        <v>0</v>
      </c>
    </row>
    <row r="140" spans="1:11" s="13" customFormat="1" ht="14.25" x14ac:dyDescent="0.2">
      <c r="A140" s="91" t="s">
        <v>52</v>
      </c>
      <c r="B140" s="102" t="s">
        <v>744</v>
      </c>
      <c r="C140" s="102"/>
      <c r="D140" s="102"/>
      <c r="E140" s="101">
        <v>0.3</v>
      </c>
      <c r="F140" s="101">
        <f>E140*(100%+$F$124)</f>
        <v>0.3</v>
      </c>
      <c r="G140" s="628">
        <f t="shared" si="7"/>
        <v>0</v>
      </c>
      <c r="H140" s="89">
        <f>+G140*'ARHIGRAM 6'!$I$16</f>
        <v>0</v>
      </c>
    </row>
    <row r="141" spans="1:11" s="13" customFormat="1" ht="14.25" x14ac:dyDescent="0.2">
      <c r="A141" s="91" t="s">
        <v>53</v>
      </c>
      <c r="B141" s="102" t="s">
        <v>848</v>
      </c>
      <c r="C141" s="102"/>
      <c r="D141" s="102"/>
      <c r="E141" s="101"/>
      <c r="F141" s="101"/>
      <c r="G141" s="628"/>
      <c r="H141" s="89"/>
    </row>
    <row r="142" spans="1:11" s="13" customFormat="1" ht="14.25" x14ac:dyDescent="0.2">
      <c r="A142" s="91" t="s">
        <v>96</v>
      </c>
      <c r="B142" s="102" t="s">
        <v>745</v>
      </c>
      <c r="C142" s="102"/>
      <c r="D142" s="102"/>
      <c r="E142" s="101">
        <f>52%</f>
        <v>0.52</v>
      </c>
      <c r="F142" s="101">
        <f>(E142+IF(F125="DA",-30%,0%))*(100%+$F$124)</f>
        <v>0.22000000000000003</v>
      </c>
      <c r="G142" s="628">
        <f t="shared" si="7"/>
        <v>0</v>
      </c>
      <c r="H142" s="89">
        <f>+G142*'ARHIGRAM 6'!$I$16</f>
        <v>0</v>
      </c>
      <c r="K142" s="883"/>
    </row>
    <row r="143" spans="1:11" s="13" customFormat="1" ht="14.25" x14ac:dyDescent="0.2">
      <c r="A143" s="119" t="s">
        <v>97</v>
      </c>
      <c r="B143" s="120" t="s">
        <v>845</v>
      </c>
      <c r="C143" s="120"/>
      <c r="D143" s="120"/>
      <c r="E143" s="121"/>
      <c r="F143" s="121"/>
      <c r="G143" s="629"/>
      <c r="H143" s="93"/>
    </row>
    <row r="144" spans="1:11" s="13" customFormat="1" ht="14.25" x14ac:dyDescent="0.2">
      <c r="A144" s="118" t="s">
        <v>39</v>
      </c>
      <c r="B144" s="104" t="s">
        <v>122</v>
      </c>
      <c r="C144" s="104"/>
      <c r="D144" s="104"/>
      <c r="E144" s="105">
        <f>SUM(E145:E146)</f>
        <v>0</v>
      </c>
      <c r="F144" s="105">
        <f>SUM(F145:F146)</f>
        <v>0</v>
      </c>
      <c r="G144" s="627">
        <f>SUM(G145:G146)</f>
        <v>0</v>
      </c>
      <c r="H144" s="106">
        <f>SUM(H145:H146)</f>
        <v>0</v>
      </c>
      <c r="I144" s="127" t="e">
        <f>H144/'OSNOVNI PODATKI'!$E$329</f>
        <v>#DIV/0!</v>
      </c>
    </row>
    <row r="145" spans="1:9" s="13" customFormat="1" ht="14.25" x14ac:dyDescent="0.2">
      <c r="A145" s="91" t="s">
        <v>40</v>
      </c>
      <c r="B145" s="97" t="s">
        <v>846</v>
      </c>
      <c r="C145" s="97"/>
      <c r="D145" s="97"/>
      <c r="E145" s="88"/>
      <c r="F145" s="88"/>
      <c r="G145" s="628"/>
      <c r="H145" s="89"/>
    </row>
    <row r="146" spans="1:9" s="13" customFormat="1" ht="14.25" x14ac:dyDescent="0.2">
      <c r="A146" s="119" t="s">
        <v>41</v>
      </c>
      <c r="B146" s="92" t="s">
        <v>202</v>
      </c>
      <c r="C146" s="92"/>
      <c r="D146" s="92"/>
      <c r="E146" s="114"/>
      <c r="F146" s="114"/>
      <c r="G146" s="629"/>
      <c r="H146" s="93"/>
    </row>
    <row r="147" spans="1:9" s="13" customFormat="1" ht="14.25" x14ac:dyDescent="0.2">
      <c r="A147" s="122">
        <v>4</v>
      </c>
      <c r="B147" s="104" t="s">
        <v>60</v>
      </c>
      <c r="C147" s="104"/>
      <c r="D147" s="104"/>
      <c r="E147" s="105">
        <f>SUM(E148:E152)</f>
        <v>0</v>
      </c>
      <c r="F147" s="105">
        <f>SUM(F148:F152)</f>
        <v>0</v>
      </c>
      <c r="G147" s="627">
        <f>SUM(G148:G152)</f>
        <v>0</v>
      </c>
      <c r="H147" s="106">
        <f>SUM(H148:H152)</f>
        <v>0</v>
      </c>
      <c r="I147" s="127" t="e">
        <f>H147/'OSNOVNI PODATKI'!$E$329</f>
        <v>#DIV/0!</v>
      </c>
    </row>
    <row r="148" spans="1:9" s="13" customFormat="1" ht="14.25" x14ac:dyDescent="0.2">
      <c r="A148" s="91" t="s">
        <v>42</v>
      </c>
      <c r="B148" s="97" t="s">
        <v>203</v>
      </c>
      <c r="C148" s="97"/>
      <c r="D148" s="97"/>
      <c r="E148" s="88"/>
      <c r="F148" s="88"/>
      <c r="G148" s="628"/>
      <c r="H148" s="89"/>
    </row>
    <row r="149" spans="1:9" s="13" customFormat="1" ht="14.25" x14ac:dyDescent="0.2">
      <c r="A149" s="91" t="s">
        <v>43</v>
      </c>
      <c r="B149" s="97" t="s">
        <v>865</v>
      </c>
      <c r="C149" s="97"/>
      <c r="D149" s="97"/>
      <c r="E149" s="88"/>
      <c r="F149" s="88"/>
      <c r="G149" s="628"/>
      <c r="H149" s="89"/>
    </row>
    <row r="150" spans="1:9" s="13" customFormat="1" ht="14.25" x14ac:dyDescent="0.2">
      <c r="A150" s="91" t="s">
        <v>44</v>
      </c>
      <c r="B150" s="97" t="s">
        <v>963</v>
      </c>
      <c r="C150" s="97"/>
      <c r="D150" s="97"/>
      <c r="E150" s="88"/>
      <c r="F150" s="88"/>
      <c r="G150" s="628"/>
      <c r="H150" s="89"/>
    </row>
    <row r="151" spans="1:9" s="13" customFormat="1" ht="14.25" x14ac:dyDescent="0.2">
      <c r="A151" s="91" t="s">
        <v>45</v>
      </c>
      <c r="B151" s="97" t="s">
        <v>866</v>
      </c>
      <c r="C151" s="97"/>
      <c r="D151" s="97"/>
      <c r="E151" s="88"/>
      <c r="F151" s="88"/>
      <c r="G151" s="628"/>
      <c r="H151" s="89"/>
    </row>
    <row r="152" spans="1:9" s="13" customFormat="1" ht="14.25" x14ac:dyDescent="0.2">
      <c r="A152" s="119" t="s">
        <v>46</v>
      </c>
      <c r="B152" s="92" t="s">
        <v>847</v>
      </c>
      <c r="C152" s="92"/>
      <c r="D152" s="92"/>
      <c r="E152" s="114"/>
      <c r="F152" s="114"/>
      <c r="G152" s="629"/>
      <c r="H152" s="93"/>
    </row>
    <row r="153" spans="1:9" s="13" customFormat="1" ht="14.25" x14ac:dyDescent="0.2">
      <c r="A153" s="123">
        <v>5</v>
      </c>
      <c r="B153" s="104" t="s">
        <v>47</v>
      </c>
      <c r="C153" s="104"/>
      <c r="D153" s="104"/>
      <c r="E153" s="105">
        <f>SUM(E154:E155)</f>
        <v>0</v>
      </c>
      <c r="F153" s="105">
        <f>SUM(F154:F155)</f>
        <v>0</v>
      </c>
      <c r="G153" s="627">
        <f>SUM(G154:G155)</f>
        <v>0</v>
      </c>
      <c r="H153" s="106">
        <f>SUM(H154:H155)</f>
        <v>0</v>
      </c>
      <c r="I153" s="127" t="e">
        <f>H153/'OSNOVNI PODATKI'!$E$329</f>
        <v>#DIV/0!</v>
      </c>
    </row>
    <row r="154" spans="1:9" s="13" customFormat="1" ht="14.25" x14ac:dyDescent="0.2">
      <c r="A154" s="91" t="s">
        <v>48</v>
      </c>
      <c r="B154" s="100" t="s">
        <v>205</v>
      </c>
      <c r="C154" s="100"/>
      <c r="D154" s="100"/>
      <c r="E154" s="88"/>
      <c r="F154" s="88"/>
      <c r="G154" s="628"/>
      <c r="H154" s="89"/>
    </row>
    <row r="155" spans="1:9" s="13" customFormat="1" ht="14.25" x14ac:dyDescent="0.2">
      <c r="A155" s="119" t="s">
        <v>49</v>
      </c>
      <c r="B155" s="125" t="s">
        <v>206</v>
      </c>
      <c r="C155" s="125"/>
      <c r="D155" s="125"/>
      <c r="E155" s="114"/>
      <c r="F155" s="114"/>
      <c r="G155" s="629"/>
      <c r="H155" s="93"/>
    </row>
    <row r="156" spans="1:9" s="13" customFormat="1" ht="14.25" x14ac:dyDescent="0.2">
      <c r="A156" s="124">
        <v>6</v>
      </c>
      <c r="B156" s="104" t="s">
        <v>50</v>
      </c>
      <c r="C156" s="104"/>
      <c r="D156" s="104"/>
      <c r="E156" s="105"/>
      <c r="F156" s="105"/>
      <c r="G156" s="621"/>
      <c r="H156" s="106"/>
    </row>
    <row r="157" spans="1:9" s="13" customFormat="1" ht="14.25" x14ac:dyDescent="0.2">
      <c r="A157" s="91" t="s">
        <v>54</v>
      </c>
      <c r="B157" s="100" t="s">
        <v>207</v>
      </c>
      <c r="C157" s="100"/>
      <c r="D157" s="100"/>
      <c r="E157" s="88"/>
      <c r="F157" s="88"/>
      <c r="G157" s="622"/>
      <c r="H157" s="89"/>
    </row>
    <row r="158" spans="1:9" s="13" customFormat="1" ht="14.25" x14ac:dyDescent="0.2">
      <c r="A158" s="91" t="s">
        <v>55</v>
      </c>
      <c r="B158" s="100" t="s">
        <v>208</v>
      </c>
      <c r="C158" s="100"/>
      <c r="D158" s="100"/>
      <c r="E158" s="88"/>
      <c r="F158" s="88"/>
      <c r="G158" s="622"/>
      <c r="H158" s="89"/>
    </row>
    <row r="159" spans="1:9" s="13" customFormat="1" ht="14.25" x14ac:dyDescent="0.2">
      <c r="A159" s="119" t="s">
        <v>56</v>
      </c>
      <c r="B159" s="125" t="s">
        <v>209</v>
      </c>
      <c r="C159" s="125"/>
      <c r="D159" s="125"/>
      <c r="E159" s="114"/>
      <c r="F159" s="114"/>
      <c r="G159" s="623"/>
      <c r="H159" s="93"/>
    </row>
    <row r="160" spans="1:9" s="13" customFormat="1" ht="14.25" x14ac:dyDescent="0.2">
      <c r="A160" s="94"/>
      <c r="B160" s="95"/>
      <c r="C160" s="95"/>
      <c r="D160" s="95"/>
      <c r="E160" s="96"/>
      <c r="F160" s="96"/>
      <c r="G160" s="624"/>
      <c r="H160" s="95"/>
    </row>
    <row r="161" spans="1:9" s="13" customFormat="1" ht="14.25" x14ac:dyDescent="0.2">
      <c r="A161" s="128"/>
      <c r="B161" s="129" t="s">
        <v>1</v>
      </c>
      <c r="C161" s="129"/>
      <c r="D161" s="129"/>
      <c r="E161" s="130">
        <f>E131+E134+E138+E144+E147+E153+E156</f>
        <v>1</v>
      </c>
      <c r="F161" s="130">
        <f>F131+F134+F138+F144+F147+F153+F156</f>
        <v>0.7</v>
      </c>
      <c r="G161" s="625">
        <f>G131+G134+G138+G144+G147+G153+G156</f>
        <v>0</v>
      </c>
      <c r="H161" s="131">
        <f>H131+H134+H138+H144+H147+H153+H156</f>
        <v>0</v>
      </c>
      <c r="I161" s="127" t="e">
        <f>H161/'OSNOVNI PODATKI'!$E$329</f>
        <v>#DIV/0!</v>
      </c>
    </row>
    <row r="162" spans="1:9" s="13" customFormat="1" ht="14.25" x14ac:dyDescent="0.2">
      <c r="A162" s="29"/>
      <c r="B162" s="126"/>
      <c r="E162" s="30"/>
      <c r="G162" s="30"/>
      <c r="H162" s="127"/>
    </row>
    <row r="163" spans="1:9" ht="14.25" x14ac:dyDescent="0.2">
      <c r="A163" s="29"/>
      <c r="B163" s="126"/>
      <c r="C163" s="13"/>
      <c r="D163" s="13"/>
      <c r="E163" s="30"/>
      <c r="G163" s="30"/>
      <c r="H163" s="127"/>
    </row>
    <row r="166" spans="1:9" x14ac:dyDescent="0.2">
      <c r="G166" s="617"/>
    </row>
    <row r="167" spans="1:9" x14ac:dyDescent="0.2">
      <c r="G167" s="617"/>
    </row>
    <row r="168" spans="1:9" x14ac:dyDescent="0.2">
      <c r="G168" s="617"/>
    </row>
    <row r="169" spans="1:9" x14ac:dyDescent="0.2">
      <c r="G169" s="617"/>
    </row>
    <row r="170" spans="1:9" x14ac:dyDescent="0.2">
      <c r="G170" s="617"/>
    </row>
    <row r="171" spans="1:9" x14ac:dyDescent="0.2">
      <c r="G171" s="617"/>
    </row>
    <row r="172" spans="1:9" x14ac:dyDescent="0.2">
      <c r="G172" s="617"/>
    </row>
    <row r="173" spans="1:9" x14ac:dyDescent="0.2">
      <c r="G173" s="617"/>
    </row>
    <row r="174" spans="1:9" x14ac:dyDescent="0.2">
      <c r="G174" s="617"/>
    </row>
    <row r="175" spans="1:9" x14ac:dyDescent="0.2">
      <c r="G175" s="617"/>
    </row>
    <row r="176" spans="1:9" x14ac:dyDescent="0.2">
      <c r="G176" s="617"/>
    </row>
    <row r="177" spans="7:7" x14ac:dyDescent="0.2">
      <c r="G177" s="617"/>
    </row>
  </sheetData>
  <sheetProtection algorithmName="SHA-512" hashValue="Nc+7npcNGVIbLYr5P7Lx689u9qhzDe9sRvZx1q7fYn7zLlOxUIizRybevg0h4Uz5AUbfCu7RX9EJJfofyH0IFA==" saltValue="eouPC4lNojlUY98y13aArQ==" spinCount="100000" sheet="1" objects="1" scenarios="1"/>
  <mergeCells count="1">
    <mergeCell ref="B125:E12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AA275"/>
  <sheetViews>
    <sheetView showGridLines="0" topLeftCell="A229" workbookViewId="0">
      <selection activeCell="F249" sqref="F249"/>
    </sheetView>
    <sheetView workbookViewId="1"/>
  </sheetViews>
  <sheetFormatPr defaultColWidth="9.140625" defaultRowHeight="12.75" x14ac:dyDescent="0.2"/>
  <cols>
    <col min="1" max="1" width="8.140625" style="76" customWidth="1"/>
    <col min="2" max="2" width="28.28515625" style="76" customWidth="1"/>
    <col min="3" max="3" width="13.5703125" style="76" customWidth="1"/>
    <col min="4" max="4" width="24.5703125" style="76" customWidth="1"/>
    <col min="5" max="5" width="13.5703125" style="76" customWidth="1"/>
    <col min="6" max="6" width="29.85546875" style="76" customWidth="1"/>
    <col min="7" max="9" width="13.5703125" style="76" customWidth="1"/>
    <col min="10" max="10" width="25.85546875" style="76" customWidth="1"/>
    <col min="11" max="12" width="13.5703125" style="76" customWidth="1"/>
    <col min="13" max="16384" width="9.140625" style="76"/>
  </cols>
  <sheetData>
    <row r="1" spans="1:22" ht="26.25" x14ac:dyDescent="0.2">
      <c r="B1" s="5" t="s">
        <v>368</v>
      </c>
      <c r="C1" s="4"/>
      <c r="D1" s="4"/>
      <c r="E1" s="4"/>
      <c r="F1" s="4"/>
      <c r="G1" s="4"/>
      <c r="H1" s="4"/>
      <c r="I1"/>
      <c r="J1" s="5"/>
      <c r="K1" s="4"/>
      <c r="L1" s="4"/>
      <c r="M1" s="4"/>
      <c r="N1" s="4"/>
      <c r="R1" s="5"/>
      <c r="S1" s="4"/>
      <c r="T1" s="4"/>
      <c r="U1" s="4"/>
      <c r="V1" s="4"/>
    </row>
    <row r="2" spans="1:22" ht="15" thickBot="1" x14ac:dyDescent="0.25">
      <c r="C2" s="11"/>
    </row>
    <row r="3" spans="1:22" s="78" customFormat="1" ht="18.75" x14ac:dyDescent="0.2">
      <c r="A3" s="831" t="s">
        <v>944</v>
      </c>
      <c r="B3" s="831"/>
      <c r="C3" s="831"/>
      <c r="D3" s="831"/>
      <c r="E3" s="831" t="s">
        <v>945</v>
      </c>
      <c r="F3" s="831"/>
      <c r="G3" s="831"/>
      <c r="H3" s="831"/>
      <c r="I3" s="831" t="s">
        <v>946</v>
      </c>
      <c r="J3" s="831"/>
      <c r="K3" s="831"/>
      <c r="L3" s="831"/>
    </row>
    <row r="4" spans="1:22" s="78" customFormat="1" ht="18.75" x14ac:dyDescent="0.2">
      <c r="A4" s="882"/>
      <c r="B4" s="882"/>
      <c r="C4" s="882"/>
      <c r="D4" s="882"/>
      <c r="E4" s="882"/>
      <c r="F4" s="882"/>
      <c r="G4" s="882"/>
      <c r="H4" s="882"/>
      <c r="I4" s="882"/>
      <c r="J4" s="882"/>
      <c r="K4" s="882"/>
      <c r="L4" s="882"/>
    </row>
    <row r="5" spans="1:22" s="78" customFormat="1" x14ac:dyDescent="0.2">
      <c r="A5" s="81"/>
      <c r="B5" s="550" t="s">
        <v>950</v>
      </c>
      <c r="C5" s="657">
        <f>'OSNOVNI PODATKI'!F11</f>
        <v>1</v>
      </c>
      <c r="D5" s="550" t="str">
        <f>IF(C5=1,'OSNOVNI PODATKI'!B11,'OSNOVNI PODATKI'!B12)</f>
        <v>ENA STAVBA Z RAZLIČNIMI DELI (PRI IZRAČUNU POTREBNIH NU SE UPOŠTEVA SEŠTEVEK POVRŠIN VSEH DELOV)</v>
      </c>
      <c r="E5" s="509"/>
      <c r="F5" s="509"/>
      <c r="G5" s="210"/>
      <c r="H5" s="210"/>
      <c r="I5" s="210"/>
    </row>
    <row r="6" spans="1:22" s="78" customFormat="1" x14ac:dyDescent="0.2">
      <c r="A6" s="81"/>
      <c r="B6" s="550" t="s">
        <v>951</v>
      </c>
      <c r="C6" s="632">
        <f>'OSNOVNI PODATKI'!E326</f>
        <v>0</v>
      </c>
      <c r="D6" s="550"/>
      <c r="E6" s="509"/>
      <c r="F6" s="509"/>
      <c r="G6" s="210"/>
      <c r="H6" s="210"/>
      <c r="I6" s="210"/>
    </row>
    <row r="7" spans="1:22" s="78" customFormat="1" x14ac:dyDescent="0.2">
      <c r="A7" s="81"/>
      <c r="D7" s="212"/>
      <c r="E7" s="212"/>
    </row>
    <row r="8" spans="1:22" s="78" customFormat="1" x14ac:dyDescent="0.2">
      <c r="A8" s="81"/>
      <c r="B8" s="212" t="str">
        <f>'OSNOVNI PODATKI'!A14</f>
        <v>STAVBA 1 / DEL 1</v>
      </c>
      <c r="C8" s="553">
        <f>'OSNOVNI PODATKI'!E14</f>
        <v>0</v>
      </c>
      <c r="D8" s="212"/>
      <c r="E8" s="212"/>
      <c r="I8"/>
    </row>
    <row r="9" spans="1:22" s="78" customFormat="1" x14ac:dyDescent="0.2">
      <c r="A9" s="81"/>
      <c r="B9" s="205" t="s">
        <v>722</v>
      </c>
      <c r="C9" s="86">
        <f>'OSNOVNI PODATKI'!E15</f>
        <v>0</v>
      </c>
      <c r="D9" s="509"/>
      <c r="E9" s="212"/>
      <c r="I9"/>
    </row>
    <row r="10" spans="1:22" s="78" customFormat="1" x14ac:dyDescent="0.2">
      <c r="A10" s="81"/>
      <c r="B10" s="205" t="s">
        <v>952</v>
      </c>
      <c r="C10" s="86">
        <f>'OSNOVNI PODATKI'!E16</f>
        <v>0</v>
      </c>
      <c r="D10" s="509"/>
      <c r="E10" s="212"/>
      <c r="F10" s="509"/>
      <c r="G10" s="509"/>
      <c r="H10" s="509"/>
      <c r="I10"/>
    </row>
    <row r="11" spans="1:22" s="78" customFormat="1" x14ac:dyDescent="0.2">
      <c r="A11" s="81"/>
      <c r="B11" s="205" t="s">
        <v>953</v>
      </c>
      <c r="C11" s="86">
        <f>IF($C$5=1,$C$6,C10)</f>
        <v>0</v>
      </c>
      <c r="D11" s="509"/>
      <c r="E11" s="212"/>
      <c r="I11"/>
    </row>
    <row r="12" spans="1:22" s="78" customFormat="1" x14ac:dyDescent="0.2">
      <c r="A12" s="81"/>
      <c r="B12" s="550" t="s">
        <v>885</v>
      </c>
      <c r="C12" s="549" t="str">
        <f>'OSNOVNI PODATKI'!E26</f>
        <v>/</v>
      </c>
      <c r="D12" s="509"/>
      <c r="E12" s="212"/>
      <c r="F12" s="550"/>
      <c r="G12" s="591"/>
      <c r="I12"/>
      <c r="J12" s="550"/>
      <c r="K12" s="591"/>
    </row>
    <row r="13" spans="1:22" s="78" customFormat="1" x14ac:dyDescent="0.2">
      <c r="A13" s="81"/>
      <c r="B13" s="205" t="s">
        <v>117</v>
      </c>
      <c r="C13" s="86" t="str">
        <f>'OSNOVNI PODATKI'!E19</f>
        <v>Cenovni razred I</v>
      </c>
      <c r="D13" s="509"/>
      <c r="E13" s="212"/>
      <c r="F13" s="205" t="s">
        <v>117</v>
      </c>
      <c r="G13" s="86" t="str">
        <f>'OSNOVNI PODATKI'!E20</f>
        <v>Cenovni razred I</v>
      </c>
      <c r="H13" s="509"/>
      <c r="I13"/>
      <c r="J13" s="205" t="s">
        <v>117</v>
      </c>
      <c r="K13" s="86" t="str">
        <f>'OSNOVNI PODATKI'!E21</f>
        <v>Cenovni razred I</v>
      </c>
      <c r="L13" s="509"/>
    </row>
    <row r="14" spans="1:22" s="78" customFormat="1" x14ac:dyDescent="0.2">
      <c r="A14" s="81"/>
      <c r="B14" s="542" t="s">
        <v>84</v>
      </c>
      <c r="C14" s="543" t="str">
        <f>IFERROR((0.0331*POWER(C21*C11*(1000+C12),0.7868))/C11,"/")</f>
        <v>/</v>
      </c>
      <c r="D14" s="544" t="s">
        <v>878</v>
      </c>
      <c r="E14" s="212"/>
      <c r="F14" s="542" t="s">
        <v>84</v>
      </c>
      <c r="G14" s="543" t="str">
        <f>IFERROR((0.0331*POWER(C22*C11*(1000+C12),0.7868))/C11,"/")</f>
        <v>/</v>
      </c>
      <c r="H14" s="544" t="s">
        <v>878</v>
      </c>
      <c r="I14"/>
      <c r="J14" s="542" t="s">
        <v>84</v>
      </c>
      <c r="K14" s="543" t="str">
        <f>IFERROR((0.0331*POWER(C23*C11*(1000+C12),0.7868))/C11,"/")</f>
        <v>/</v>
      </c>
      <c r="L14" s="544" t="s">
        <v>878</v>
      </c>
    </row>
    <row r="15" spans="1:22" s="78" customFormat="1" x14ac:dyDescent="0.2">
      <c r="A15" s="81"/>
      <c r="B15" s="545" t="s">
        <v>85</v>
      </c>
      <c r="C15" s="546" t="str">
        <f>IFERROR((0.0392*POWER(C21*C11*(1000+C12),0.7872))/C11,"/")</f>
        <v>/</v>
      </c>
      <c r="D15" s="508" t="s">
        <v>878</v>
      </c>
      <c r="E15" s="212"/>
      <c r="F15" s="545" t="s">
        <v>85</v>
      </c>
      <c r="G15" s="546" t="str">
        <f>IFERROR((0.0392*POWER(C22*C11*(1000+C12),0.7872))/C11,"/")</f>
        <v>/</v>
      </c>
      <c r="H15" s="508" t="s">
        <v>878</v>
      </c>
      <c r="I15"/>
      <c r="J15" s="545" t="s">
        <v>85</v>
      </c>
      <c r="K15" s="546" t="str">
        <f>IFERROR((0.0392*POWER(C23*C11*(1000+C12),0.7872))/C11,"/")</f>
        <v>/</v>
      </c>
      <c r="L15" s="508" t="s">
        <v>878</v>
      </c>
    </row>
    <row r="16" spans="1:22" s="78" customFormat="1" x14ac:dyDescent="0.2">
      <c r="A16" s="81"/>
      <c r="B16" s="545" t="s">
        <v>86</v>
      </c>
      <c r="C16" s="546" t="str">
        <f>IFERROR((0.0458*POWER(C21*C11*(1000+C12),0.7877))/C11,"/")</f>
        <v>/</v>
      </c>
      <c r="D16" s="508" t="s">
        <v>878</v>
      </c>
      <c r="E16" s="212"/>
      <c r="F16" s="545" t="s">
        <v>86</v>
      </c>
      <c r="G16" s="546" t="str">
        <f>IFERROR((0.0458*POWER(C22*C11*(1000+C12),0.7877))/C11,"/")</f>
        <v>/</v>
      </c>
      <c r="H16" s="508" t="s">
        <v>878</v>
      </c>
      <c r="I16"/>
      <c r="J16" s="545" t="s">
        <v>86</v>
      </c>
      <c r="K16" s="546" t="str">
        <f>IFERROR((0.0458*POWER(C23*C11*(1000+C12),0.7877))/C11,"/")</f>
        <v>/</v>
      </c>
      <c r="L16" s="508" t="s">
        <v>878</v>
      </c>
    </row>
    <row r="17" spans="1:12" s="78" customFormat="1" x14ac:dyDescent="0.2">
      <c r="A17" s="81"/>
      <c r="B17" s="545" t="s">
        <v>87</v>
      </c>
      <c r="C17" s="546" t="str">
        <f>IFERROR((0.0528*POWER(C21*C11*(1000+C12),0.7867))/C11,"/")</f>
        <v>/</v>
      </c>
      <c r="D17" s="508" t="s">
        <v>878</v>
      </c>
      <c r="E17" s="212"/>
      <c r="F17" s="545" t="s">
        <v>87</v>
      </c>
      <c r="G17" s="546" t="str">
        <f>IFERROR((0.0528*POWER(C22*C11*(1000+C12),0.7867))/C11,"/")</f>
        <v>/</v>
      </c>
      <c r="H17" s="508" t="s">
        <v>878</v>
      </c>
      <c r="I17"/>
      <c r="J17" s="545" t="s">
        <v>87</v>
      </c>
      <c r="K17" s="546" t="str">
        <f>IFERROR((0.0528*POWER(C23*C11*(1000+C12),0.7867))/C11,"/")</f>
        <v>/</v>
      </c>
      <c r="L17" s="508" t="s">
        <v>878</v>
      </c>
    </row>
    <row r="18" spans="1:12" s="78" customFormat="1" x14ac:dyDescent="0.2">
      <c r="A18" s="81"/>
      <c r="B18" s="545"/>
      <c r="C18" s="546"/>
      <c r="D18" s="508"/>
      <c r="E18" s="212"/>
      <c r="F18" s="545"/>
      <c r="G18" s="546"/>
      <c r="H18" s="508"/>
      <c r="I18"/>
      <c r="J18" s="545"/>
      <c r="K18" s="546"/>
      <c r="L18" s="508"/>
    </row>
    <row r="19" spans="1:12" s="78" customFormat="1" x14ac:dyDescent="0.2">
      <c r="A19" s="81"/>
      <c r="B19" s="545"/>
      <c r="C19" s="546"/>
      <c r="D19" s="508"/>
      <c r="E19" s="212"/>
      <c r="F19" s="545"/>
      <c r="G19" s="546"/>
      <c r="H19" s="508"/>
      <c r="I19"/>
      <c r="J19" s="545"/>
      <c r="K19" s="508"/>
      <c r="L19" s="508"/>
    </row>
    <row r="20" spans="1:12" s="78" customFormat="1" x14ac:dyDescent="0.2">
      <c r="A20" s="81"/>
      <c r="B20" s="545" t="str">
        <f>'OSNOVNI PODATKI'!B68</f>
        <v>GRADBENO OBRTNIŠKA DELA (GO)</v>
      </c>
      <c r="C20" s="651">
        <f>'OSNOVNI PODATKI'!D37</f>
        <v>0</v>
      </c>
      <c r="D20" s="649"/>
      <c r="E20" s="654"/>
      <c r="F20" s="212"/>
      <c r="J20" s="653"/>
      <c r="K20" s="647"/>
      <c r="L20" s="647"/>
    </row>
    <row r="21" spans="1:12" s="78" customFormat="1" x14ac:dyDescent="0.2">
      <c r="A21" s="81"/>
      <c r="B21" s="545" t="str">
        <f>'OSNOVNI PODATKI'!B69</f>
        <v>ELEKTRIČNE INŠTALACIJE (EI)</v>
      </c>
      <c r="C21" s="651">
        <f>'OSNOVNI PODATKI'!D38</f>
        <v>0</v>
      </c>
      <c r="D21" s="649"/>
      <c r="E21" s="654"/>
      <c r="F21" s="212"/>
      <c r="K21" s="647"/>
      <c r="L21" s="647"/>
    </row>
    <row r="22" spans="1:12" s="78" customFormat="1" x14ac:dyDescent="0.2">
      <c r="A22" s="81"/>
      <c r="B22" s="545" t="str">
        <f>'OSNOVNI PODATKI'!B70</f>
        <v>STROJNE INŠTALACIJE (SI)</v>
      </c>
      <c r="C22" s="651">
        <f>'OSNOVNI PODATKI'!D39</f>
        <v>0</v>
      </c>
      <c r="D22" s="649"/>
      <c r="E22" s="654"/>
      <c r="F22" s="212"/>
      <c r="J22" s="653"/>
      <c r="K22" s="647"/>
      <c r="L22" s="647"/>
    </row>
    <row r="23" spans="1:12" s="78" customFormat="1" x14ac:dyDescent="0.2">
      <c r="A23" s="81"/>
      <c r="B23" s="545" t="str">
        <f>'OSNOVNI PODATKI'!B71</f>
        <v>TEHNOLOGIJA (TH)</v>
      </c>
      <c r="C23" s="651">
        <f>'OSNOVNI PODATKI'!D40</f>
        <v>0</v>
      </c>
      <c r="D23" s="649"/>
      <c r="E23" s="654"/>
      <c r="F23" s="212"/>
      <c r="J23" s="545"/>
      <c r="K23" s="646"/>
      <c r="L23" s="647"/>
    </row>
    <row r="24" spans="1:12" s="78" customFormat="1" x14ac:dyDescent="0.2">
      <c r="A24" s="81"/>
      <c r="B24" s="545"/>
      <c r="C24" s="651"/>
      <c r="D24" s="649"/>
      <c r="E24" s="654"/>
      <c r="F24" s="212"/>
      <c r="J24" s="545"/>
      <c r="K24" s="646"/>
      <c r="L24" s="647"/>
    </row>
    <row r="25" spans="1:12" s="78" customFormat="1" ht="14.25" x14ac:dyDescent="0.2">
      <c r="B25" s="86" t="s">
        <v>886</v>
      </c>
      <c r="C25" s="527" t="str">
        <f>IFERROR(LOOKUP(C13,B14:C17),"/")</f>
        <v>/</v>
      </c>
      <c r="D25" s="394" t="s">
        <v>877</v>
      </c>
      <c r="E25" s="212"/>
      <c r="F25" s="86" t="s">
        <v>886</v>
      </c>
      <c r="G25" s="527" t="str">
        <f>IFERROR(LOOKUP(G13,F14:G17),"/")</f>
        <v>/</v>
      </c>
      <c r="H25" s="394" t="s">
        <v>877</v>
      </c>
      <c r="I25"/>
      <c r="J25" s="86" t="s">
        <v>886</v>
      </c>
      <c r="K25" s="527" t="str">
        <f>IFERROR(LOOKUP(K13,J14:K17),"/")</f>
        <v>/</v>
      </c>
      <c r="L25" s="394" t="s">
        <v>877</v>
      </c>
    </row>
    <row r="26" spans="1:12" s="78" customFormat="1" ht="14.25" x14ac:dyDescent="0.2">
      <c r="B26" s="86" t="s">
        <v>887</v>
      </c>
      <c r="C26" s="527" t="str" cm="1">
        <f t="array" ref="C26">IFERROR(INDEX(C14:C17,MATCH(C13,B14:B17)+1),"/")</f>
        <v>/</v>
      </c>
      <c r="D26" s="394" t="s">
        <v>877</v>
      </c>
      <c r="E26" s="212"/>
      <c r="F26" s="86" t="s">
        <v>887</v>
      </c>
      <c r="G26" s="527" t="str" cm="1">
        <f t="array" ref="G26">IFERROR(INDEX(G14:G17,MATCH(G13,F14:F17)+1),"/")</f>
        <v>/</v>
      </c>
      <c r="H26" s="394" t="s">
        <v>877</v>
      </c>
      <c r="I26"/>
      <c r="J26" s="86" t="s">
        <v>887</v>
      </c>
      <c r="K26" s="527" t="str" cm="1">
        <f t="array" ref="K26">IFERROR(INDEX(K14:K17,MATCH(K13,J14:J17)+1),"/")</f>
        <v>/</v>
      </c>
      <c r="L26" s="394" t="s">
        <v>877</v>
      </c>
    </row>
    <row r="27" spans="1:12" s="78" customFormat="1" x14ac:dyDescent="0.2">
      <c r="B27" s="86" t="s">
        <v>737</v>
      </c>
      <c r="C27" s="551">
        <f>IFERROR(ROUND(C25*$C10,0),0)</f>
        <v>0</v>
      </c>
      <c r="D27" s="394" t="s">
        <v>879</v>
      </c>
      <c r="E27" s="212"/>
      <c r="F27" s="86" t="s">
        <v>737</v>
      </c>
      <c r="G27" s="551">
        <f>IFERROR(ROUND(G25*$C10,0),0)</f>
        <v>0</v>
      </c>
      <c r="H27" s="394" t="s">
        <v>879</v>
      </c>
      <c r="I27"/>
      <c r="J27" s="86" t="s">
        <v>737</v>
      </c>
      <c r="K27" s="551">
        <f>IFERROR(ROUND(K25*$C10,0),0)</f>
        <v>0</v>
      </c>
      <c r="L27" s="394" t="s">
        <v>879</v>
      </c>
    </row>
    <row r="28" spans="1:12" s="78" customFormat="1" x14ac:dyDescent="0.2">
      <c r="B28" s="86" t="s">
        <v>738</v>
      </c>
      <c r="C28" s="551">
        <f>IFERROR(ROUND(C26*$C10,0),0)</f>
        <v>0</v>
      </c>
      <c r="D28" s="394" t="s">
        <v>879</v>
      </c>
      <c r="E28" s="212"/>
      <c r="F28" s="86" t="s">
        <v>738</v>
      </c>
      <c r="G28" s="551">
        <f>IFERROR(ROUND(G26*$C10,0),0)</f>
        <v>0</v>
      </c>
      <c r="H28" s="394" t="s">
        <v>879</v>
      </c>
      <c r="I28"/>
      <c r="J28" s="86" t="s">
        <v>738</v>
      </c>
      <c r="K28" s="551">
        <f>IFERROR(ROUND(K26*$C10,0),0)</f>
        <v>0</v>
      </c>
      <c r="L28" s="394" t="s">
        <v>879</v>
      </c>
    </row>
    <row r="29" spans="1:12" s="78" customFormat="1" x14ac:dyDescent="0.2">
      <c r="A29" s="81"/>
      <c r="C29" s="300"/>
      <c r="D29" s="212"/>
      <c r="E29" s="212"/>
      <c r="I29"/>
    </row>
    <row r="30" spans="1:12" s="78" customFormat="1" x14ac:dyDescent="0.2">
      <c r="A30" s="81"/>
      <c r="B30" s="212" t="str">
        <f>'OSNOVNI PODATKI'!A45</f>
        <v>STAVBA 2 / DEL 2</v>
      </c>
      <c r="C30" s="553">
        <f>'OSNOVNI PODATKI'!E45</f>
        <v>0</v>
      </c>
      <c r="D30" s="212"/>
      <c r="E30" s="212"/>
      <c r="I30"/>
    </row>
    <row r="31" spans="1:12" s="78" customFormat="1" x14ac:dyDescent="0.2">
      <c r="A31" s="81"/>
      <c r="B31" s="205" t="s">
        <v>722</v>
      </c>
      <c r="C31" s="86">
        <f>'OSNOVNI PODATKI'!E46</f>
        <v>0</v>
      </c>
      <c r="D31" s="509"/>
      <c r="E31" s="212"/>
      <c r="I31"/>
    </row>
    <row r="32" spans="1:12" s="78" customFormat="1" x14ac:dyDescent="0.2">
      <c r="A32" s="81"/>
      <c r="B32" s="205" t="s">
        <v>952</v>
      </c>
      <c r="C32" s="86">
        <f>'OSNOVNI PODATKI'!E47</f>
        <v>0</v>
      </c>
      <c r="D32" s="509"/>
      <c r="E32" s="212"/>
      <c r="F32" s="509"/>
      <c r="G32" s="509"/>
      <c r="H32" s="509"/>
      <c r="I32"/>
    </row>
    <row r="33" spans="1:12" s="78" customFormat="1" x14ac:dyDescent="0.2">
      <c r="A33" s="81"/>
      <c r="B33" s="205" t="s">
        <v>953</v>
      </c>
      <c r="C33" s="86">
        <f>IF($C$5=1,$C$6,C32)</f>
        <v>0</v>
      </c>
      <c r="D33" s="509"/>
      <c r="E33" s="212"/>
      <c r="I33"/>
    </row>
    <row r="34" spans="1:12" s="78" customFormat="1" x14ac:dyDescent="0.2">
      <c r="A34" s="81"/>
      <c r="B34" s="550" t="s">
        <v>885</v>
      </c>
      <c r="C34" s="549" t="str">
        <f>'OSNOVNI PODATKI'!E57</f>
        <v>/</v>
      </c>
      <c r="D34" s="509"/>
      <c r="E34" s="212"/>
      <c r="F34" s="550"/>
      <c r="G34" s="591"/>
      <c r="I34"/>
      <c r="J34" s="550"/>
      <c r="K34" s="591"/>
    </row>
    <row r="35" spans="1:12" s="78" customFormat="1" x14ac:dyDescent="0.2">
      <c r="A35" s="81"/>
      <c r="B35" s="205" t="s">
        <v>117</v>
      </c>
      <c r="C35" s="86" t="str">
        <f>'OSNOVNI PODATKI'!E50</f>
        <v>Cenovni razred II</v>
      </c>
      <c r="D35" s="509"/>
      <c r="E35" s="212"/>
      <c r="F35" s="205" t="s">
        <v>117</v>
      </c>
      <c r="G35" s="86" t="str">
        <f>'OSNOVNI PODATKI'!E51</f>
        <v>Cenovni razred II</v>
      </c>
      <c r="I35"/>
      <c r="J35" s="205" t="s">
        <v>117</v>
      </c>
      <c r="K35" s="86" t="str">
        <f>'OSNOVNI PODATKI'!E52</f>
        <v>Cenovni razred II</v>
      </c>
    </row>
    <row r="36" spans="1:12" s="78" customFormat="1" x14ac:dyDescent="0.2">
      <c r="A36" s="81"/>
      <c r="B36" s="542" t="s">
        <v>84</v>
      </c>
      <c r="C36" s="543" t="str">
        <f>IFERROR((0.0331*POWER(C43*C33*(1000+C34),0.7868))/C33,"/")</f>
        <v>/</v>
      </c>
      <c r="D36" s="544" t="s">
        <v>878</v>
      </c>
      <c r="E36" s="212"/>
      <c r="F36" s="542" t="s">
        <v>84</v>
      </c>
      <c r="G36" s="543" t="str">
        <f>IFERROR((0.0331*POWER(C44*C33*(1000+C34),0.7868))/C33,"/")</f>
        <v>/</v>
      </c>
      <c r="H36" s="544" t="s">
        <v>878</v>
      </c>
      <c r="I36"/>
      <c r="J36" s="542" t="s">
        <v>84</v>
      </c>
      <c r="K36" s="543" t="str">
        <f>IFERROR((0.0331*POWER(C45*C33*(1000+C34),0.7868))/C33,"/")</f>
        <v>/</v>
      </c>
      <c r="L36" s="544" t="s">
        <v>878</v>
      </c>
    </row>
    <row r="37" spans="1:12" s="78" customFormat="1" x14ac:dyDescent="0.2">
      <c r="A37" s="81"/>
      <c r="B37" s="545" t="s">
        <v>85</v>
      </c>
      <c r="C37" s="546" t="str">
        <f>IFERROR((0.0392*POWER(C43*C33*(1000+C34),0.7872))/C33,"/")</f>
        <v>/</v>
      </c>
      <c r="D37" s="508" t="s">
        <v>878</v>
      </c>
      <c r="E37" s="212"/>
      <c r="F37" s="545" t="s">
        <v>85</v>
      </c>
      <c r="G37" s="546" t="str">
        <f>IFERROR((0.0392*POWER(C44*C33*(1000+C34),0.7872))/C33,"/")</f>
        <v>/</v>
      </c>
      <c r="H37" s="508" t="s">
        <v>878</v>
      </c>
      <c r="I37"/>
      <c r="J37" s="545" t="s">
        <v>85</v>
      </c>
      <c r="K37" s="546" t="str">
        <f>IFERROR((0.0392*POWER(C45*C33*(1000+C34),0.7872))/C33,"/")</f>
        <v>/</v>
      </c>
      <c r="L37" s="508" t="s">
        <v>878</v>
      </c>
    </row>
    <row r="38" spans="1:12" s="78" customFormat="1" x14ac:dyDescent="0.2">
      <c r="A38" s="81"/>
      <c r="B38" s="545" t="s">
        <v>86</v>
      </c>
      <c r="C38" s="546" t="str">
        <f>IFERROR((0.0458*POWER(C43*C33*(1000+C34),0.7877))/C33,"/")</f>
        <v>/</v>
      </c>
      <c r="D38" s="508" t="s">
        <v>878</v>
      </c>
      <c r="E38" s="212"/>
      <c r="F38" s="545" t="s">
        <v>86</v>
      </c>
      <c r="G38" s="546" t="str">
        <f>IFERROR((0.0458*POWER(C44*C33*(1000+C34),0.7877))/C33,"/")</f>
        <v>/</v>
      </c>
      <c r="H38" s="508" t="s">
        <v>878</v>
      </c>
      <c r="I38"/>
      <c r="J38" s="545" t="s">
        <v>86</v>
      </c>
      <c r="K38" s="546" t="str">
        <f>IFERROR((0.0458*POWER(C45*C33*(1000+C34),0.7877))/C33,"/")</f>
        <v>/</v>
      </c>
      <c r="L38" s="508" t="s">
        <v>878</v>
      </c>
    </row>
    <row r="39" spans="1:12" s="78" customFormat="1" x14ac:dyDescent="0.2">
      <c r="A39" s="81"/>
      <c r="B39" s="545" t="s">
        <v>87</v>
      </c>
      <c r="C39" s="546" t="str">
        <f>IFERROR((0.0528*POWER(C43*C33*(1000+C34),0.7867))/C33,"/")</f>
        <v>/</v>
      </c>
      <c r="D39" s="508" t="s">
        <v>878</v>
      </c>
      <c r="E39" s="212"/>
      <c r="F39" s="545" t="s">
        <v>87</v>
      </c>
      <c r="G39" s="546" t="str">
        <f>IFERROR((0.0528*POWER(C44*C33*(1000+C34),0.7867))/C33,"/")</f>
        <v>/</v>
      </c>
      <c r="H39" s="508" t="s">
        <v>878</v>
      </c>
      <c r="I39"/>
      <c r="J39" s="545" t="s">
        <v>87</v>
      </c>
      <c r="K39" s="546" t="str">
        <f>IFERROR((0.0528*POWER(C45*C33*(1000+C34),0.7867))/C33,"/")</f>
        <v>/</v>
      </c>
      <c r="L39" s="508" t="s">
        <v>878</v>
      </c>
    </row>
    <row r="40" spans="1:12" s="78" customFormat="1" x14ac:dyDescent="0.2">
      <c r="A40" s="81"/>
      <c r="B40" s="545"/>
      <c r="C40" s="546"/>
      <c r="D40" s="508"/>
      <c r="E40" s="212"/>
      <c r="F40" s="545"/>
      <c r="G40" s="546"/>
      <c r="H40" s="508"/>
      <c r="I40"/>
      <c r="J40" s="545"/>
      <c r="K40" s="546"/>
      <c r="L40" s="508"/>
    </row>
    <row r="41" spans="1:12" s="78" customFormat="1" x14ac:dyDescent="0.2">
      <c r="A41" s="81"/>
      <c r="B41" s="545"/>
      <c r="C41" s="546"/>
      <c r="D41" s="508"/>
      <c r="E41" s="212"/>
      <c r="F41" s="545"/>
      <c r="G41" s="546"/>
      <c r="H41" s="508"/>
      <c r="I41"/>
      <c r="J41" s="545"/>
      <c r="K41" s="546"/>
      <c r="L41" s="508"/>
    </row>
    <row r="42" spans="1:12" s="78" customFormat="1" x14ac:dyDescent="0.2">
      <c r="A42" s="81"/>
      <c r="B42" s="545" t="str">
        <f>'OSNOVNI PODATKI'!B68</f>
        <v>GRADBENO OBRTNIŠKA DELA (GO)</v>
      </c>
      <c r="C42" s="651">
        <f>'OSNOVNI PODATKI'!D68</f>
        <v>0</v>
      </c>
      <c r="D42" s="649"/>
      <c r="E42" s="654"/>
      <c r="F42" s="212"/>
      <c r="J42" s="653"/>
      <c r="L42" s="647"/>
    </row>
    <row r="43" spans="1:12" s="78" customFormat="1" x14ac:dyDescent="0.2">
      <c r="A43" s="81"/>
      <c r="B43" s="545" t="str">
        <f>'OSNOVNI PODATKI'!B69</f>
        <v>ELEKTRIČNE INŠTALACIJE (EI)</v>
      </c>
      <c r="C43" s="651">
        <f>'OSNOVNI PODATKI'!D69</f>
        <v>0</v>
      </c>
      <c r="D43" s="649"/>
      <c r="E43" s="654"/>
      <c r="F43" s="212"/>
      <c r="J43" s="654"/>
      <c r="K43" s="654"/>
      <c r="L43" s="647"/>
    </row>
    <row r="44" spans="1:12" s="78" customFormat="1" x14ac:dyDescent="0.2">
      <c r="A44" s="81"/>
      <c r="B44" s="545" t="str">
        <f>'OSNOVNI PODATKI'!B70</f>
        <v>STROJNE INŠTALACIJE (SI)</v>
      </c>
      <c r="C44" s="651">
        <f>'OSNOVNI PODATKI'!D70</f>
        <v>0</v>
      </c>
      <c r="D44" s="649"/>
      <c r="E44" s="654"/>
      <c r="F44" s="212"/>
      <c r="J44" s="653"/>
      <c r="K44" s="646"/>
      <c r="L44" s="647"/>
    </row>
    <row r="45" spans="1:12" s="78" customFormat="1" x14ac:dyDescent="0.2">
      <c r="A45" s="81"/>
      <c r="B45" s="545" t="str">
        <f>'OSNOVNI PODATKI'!B71</f>
        <v>TEHNOLOGIJA (TH)</v>
      </c>
      <c r="C45" s="651">
        <f>'OSNOVNI PODATKI'!D71</f>
        <v>0</v>
      </c>
      <c r="D45" s="649"/>
      <c r="E45" s="654"/>
      <c r="F45" s="212"/>
      <c r="J45" s="545"/>
      <c r="K45" s="646"/>
      <c r="L45" s="647"/>
    </row>
    <row r="46" spans="1:12" s="78" customFormat="1" x14ac:dyDescent="0.2">
      <c r="A46" s="81"/>
      <c r="B46" s="545"/>
      <c r="C46" s="546"/>
      <c r="D46" s="508"/>
      <c r="E46" s="212"/>
      <c r="F46" s="545"/>
      <c r="G46" s="546"/>
      <c r="H46" s="508"/>
      <c r="I46"/>
      <c r="J46" s="545"/>
      <c r="K46" s="546"/>
      <c r="L46" s="508"/>
    </row>
    <row r="47" spans="1:12" s="78" customFormat="1" ht="14.25" x14ac:dyDescent="0.2">
      <c r="B47" s="86" t="s">
        <v>886</v>
      </c>
      <c r="C47" s="527" t="str">
        <f>IFERROR(LOOKUP(C35,B36:C39),"/")</f>
        <v>/</v>
      </c>
      <c r="D47" s="394" t="s">
        <v>877</v>
      </c>
      <c r="E47" s="212"/>
      <c r="F47" s="86" t="s">
        <v>886</v>
      </c>
      <c r="G47" s="527" t="str">
        <f>IFERROR(LOOKUP(G35,F36:G39),"/")</f>
        <v>/</v>
      </c>
      <c r="H47" s="394" t="s">
        <v>877</v>
      </c>
      <c r="I47"/>
      <c r="J47" s="86" t="s">
        <v>886</v>
      </c>
      <c r="K47" s="527" t="str">
        <f>IFERROR(LOOKUP(K35,J36:K39),"/")</f>
        <v>/</v>
      </c>
      <c r="L47" s="394" t="s">
        <v>877</v>
      </c>
    </row>
    <row r="48" spans="1:12" s="78" customFormat="1" ht="14.25" x14ac:dyDescent="0.2">
      <c r="B48" s="86" t="s">
        <v>887</v>
      </c>
      <c r="C48" s="527" t="str" cm="1">
        <f t="array" ref="C48">IFERROR(INDEX(C36:C39,MATCH(C35,B36:B39)+1),"/")</f>
        <v>/</v>
      </c>
      <c r="D48" s="394" t="s">
        <v>877</v>
      </c>
      <c r="E48" s="212"/>
      <c r="F48" s="86" t="s">
        <v>887</v>
      </c>
      <c r="G48" s="527" t="str" cm="1">
        <f t="array" ref="G48">IFERROR(INDEX(G36:G39,MATCH(G35,F36:F39)+1),"/")</f>
        <v>/</v>
      </c>
      <c r="H48" s="394" t="s">
        <v>877</v>
      </c>
      <c r="I48"/>
      <c r="J48" s="86" t="s">
        <v>887</v>
      </c>
      <c r="K48" s="527" t="str" cm="1">
        <f t="array" ref="K48">IFERROR(INDEX(K36:K39,MATCH(K35,J36:J39)+1),"/")</f>
        <v>/</v>
      </c>
      <c r="L48" s="394" t="s">
        <v>877</v>
      </c>
    </row>
    <row r="49" spans="1:12" s="78" customFormat="1" x14ac:dyDescent="0.2">
      <c r="B49" s="86" t="s">
        <v>737</v>
      </c>
      <c r="C49" s="551">
        <f>IFERROR(ROUND(C47*$C32,0),0)</f>
        <v>0</v>
      </c>
      <c r="D49" s="394" t="s">
        <v>879</v>
      </c>
      <c r="E49" s="212"/>
      <c r="F49" s="86" t="s">
        <v>737</v>
      </c>
      <c r="G49" s="551">
        <f>IFERROR(ROUND(G47*$C32,0),0)</f>
        <v>0</v>
      </c>
      <c r="H49" s="394" t="s">
        <v>879</v>
      </c>
      <c r="I49"/>
      <c r="J49" s="86" t="s">
        <v>737</v>
      </c>
      <c r="K49" s="551">
        <f>IFERROR(ROUND(K47*$C32,0),0)</f>
        <v>0</v>
      </c>
      <c r="L49" s="394" t="s">
        <v>879</v>
      </c>
    </row>
    <row r="50" spans="1:12" s="78" customFormat="1" x14ac:dyDescent="0.2">
      <c r="B50" s="86" t="s">
        <v>738</v>
      </c>
      <c r="C50" s="551">
        <f>IFERROR(ROUND(C48*$C32,0),0)</f>
        <v>0</v>
      </c>
      <c r="D50" s="394" t="s">
        <v>879</v>
      </c>
      <c r="E50" s="212"/>
      <c r="F50" s="86" t="s">
        <v>738</v>
      </c>
      <c r="G50" s="551">
        <f>IFERROR(ROUND(G48*$C32,0),0)</f>
        <v>0</v>
      </c>
      <c r="H50" s="394" t="s">
        <v>879</v>
      </c>
      <c r="I50"/>
      <c r="J50" s="86" t="s">
        <v>738</v>
      </c>
      <c r="K50" s="551">
        <f>IFERROR(ROUND(K48*$C32,0),0)</f>
        <v>0</v>
      </c>
      <c r="L50" s="394" t="s">
        <v>879</v>
      </c>
    </row>
    <row r="51" spans="1:12" s="78" customFormat="1" x14ac:dyDescent="0.2">
      <c r="A51" s="81"/>
      <c r="C51" s="212"/>
      <c r="D51" s="212"/>
      <c r="E51" s="212"/>
      <c r="I51"/>
    </row>
    <row r="52" spans="1:12" s="78" customFormat="1" x14ac:dyDescent="0.2">
      <c r="A52" s="81"/>
      <c r="B52" s="212" t="str">
        <f>'OSNOVNI PODATKI'!A76</f>
        <v>STAVBA 3 / DEL 3</v>
      </c>
      <c r="C52" s="553">
        <f>'OSNOVNI PODATKI'!E76</f>
        <v>0</v>
      </c>
      <c r="D52" s="212"/>
      <c r="E52" s="212"/>
      <c r="I52"/>
    </row>
    <row r="53" spans="1:12" s="78" customFormat="1" x14ac:dyDescent="0.2">
      <c r="A53" s="81"/>
      <c r="B53" s="205" t="s">
        <v>722</v>
      </c>
      <c r="C53" s="86">
        <f>'OSNOVNI PODATKI'!E77</f>
        <v>0</v>
      </c>
      <c r="D53" s="509"/>
      <c r="E53" s="212"/>
      <c r="I53"/>
    </row>
    <row r="54" spans="1:12" s="78" customFormat="1" x14ac:dyDescent="0.2">
      <c r="A54" s="81"/>
      <c r="B54" s="205" t="s">
        <v>952</v>
      </c>
      <c r="C54" s="86">
        <f>'OSNOVNI PODATKI'!E78</f>
        <v>0</v>
      </c>
      <c r="D54" s="509"/>
      <c r="E54" s="212"/>
      <c r="F54" s="509"/>
      <c r="G54" s="509"/>
      <c r="H54" s="509"/>
      <c r="I54"/>
    </row>
    <row r="55" spans="1:12" s="78" customFormat="1" x14ac:dyDescent="0.2">
      <c r="A55" s="81"/>
      <c r="B55" s="205" t="s">
        <v>953</v>
      </c>
      <c r="C55" s="86">
        <f>IF($C$5=1,$C$6,C54)</f>
        <v>0</v>
      </c>
      <c r="D55" s="509"/>
      <c r="E55" s="212"/>
      <c r="I55"/>
    </row>
    <row r="56" spans="1:12" s="78" customFormat="1" x14ac:dyDescent="0.2">
      <c r="A56" s="81"/>
      <c r="B56" s="550" t="s">
        <v>885</v>
      </c>
      <c r="C56" s="549" t="str">
        <f>'OSNOVNI PODATKI'!E88</f>
        <v>/</v>
      </c>
      <c r="D56" s="509"/>
      <c r="E56" s="212"/>
      <c r="F56" s="550"/>
      <c r="G56" s="591"/>
      <c r="I56"/>
      <c r="J56" s="550"/>
      <c r="K56" s="591"/>
    </row>
    <row r="57" spans="1:12" s="78" customFormat="1" x14ac:dyDescent="0.2">
      <c r="A57" s="81"/>
      <c r="B57" s="205" t="s">
        <v>117</v>
      </c>
      <c r="C57" s="86" t="str">
        <f>'OSNOVNI PODATKI'!E81</f>
        <v>Cenovni razred II</v>
      </c>
      <c r="D57" s="509"/>
      <c r="E57" s="212"/>
      <c r="F57" s="205" t="s">
        <v>117</v>
      </c>
      <c r="G57" s="86" t="str">
        <f>'OSNOVNI PODATKI'!E82</f>
        <v>Cenovni razred II</v>
      </c>
      <c r="I57"/>
      <c r="J57" s="205" t="s">
        <v>117</v>
      </c>
      <c r="K57" s="86" t="str">
        <f>'OSNOVNI PODATKI'!E83</f>
        <v>Cenovni razred II</v>
      </c>
    </row>
    <row r="58" spans="1:12" s="78" customFormat="1" x14ac:dyDescent="0.2">
      <c r="A58" s="81"/>
      <c r="B58" s="542" t="s">
        <v>84</v>
      </c>
      <c r="C58" s="543" t="str">
        <f>IFERROR((0.0331*POWER(C65*C55*(1000+C56),0.7868))/C55,"/")</f>
        <v>/</v>
      </c>
      <c r="D58" s="544" t="s">
        <v>878</v>
      </c>
      <c r="E58" s="212"/>
      <c r="F58" s="542" t="s">
        <v>84</v>
      </c>
      <c r="G58" s="543" t="str">
        <f>IFERROR((0.0331*POWER(C66*C55*(1000+C56),0.7868))/C55,"/")</f>
        <v>/</v>
      </c>
      <c r="H58" s="544" t="s">
        <v>878</v>
      </c>
      <c r="I58"/>
      <c r="J58" s="542" t="s">
        <v>84</v>
      </c>
      <c r="K58" s="543" t="str">
        <f>IFERROR((0.0331*POWER(C67*C55*(1000+C56),0.7868))/C55,"/")</f>
        <v>/</v>
      </c>
      <c r="L58" s="544" t="s">
        <v>878</v>
      </c>
    </row>
    <row r="59" spans="1:12" s="78" customFormat="1" x14ac:dyDescent="0.2">
      <c r="A59" s="81"/>
      <c r="B59" s="545" t="s">
        <v>85</v>
      </c>
      <c r="C59" s="546" t="str">
        <f>IFERROR((0.0392*POWER(C65*C55*(1000+C56),0.7872))/C55,"/")</f>
        <v>/</v>
      </c>
      <c r="D59" s="508" t="s">
        <v>878</v>
      </c>
      <c r="E59" s="212"/>
      <c r="F59" s="545" t="s">
        <v>85</v>
      </c>
      <c r="G59" s="546" t="str">
        <f>IFERROR((0.0392*POWER(C66*C55*(1000+C56),0.7872))/C55,"/")</f>
        <v>/</v>
      </c>
      <c r="H59" s="508" t="s">
        <v>878</v>
      </c>
      <c r="I59"/>
      <c r="J59" s="545" t="s">
        <v>85</v>
      </c>
      <c r="K59" s="546" t="str">
        <f>IFERROR((0.0392*POWER(C67*C55*(1000+C56),0.7872))/C55,"/")</f>
        <v>/</v>
      </c>
      <c r="L59" s="508" t="s">
        <v>878</v>
      </c>
    </row>
    <row r="60" spans="1:12" s="78" customFormat="1" x14ac:dyDescent="0.2">
      <c r="A60" s="81"/>
      <c r="B60" s="545" t="s">
        <v>86</v>
      </c>
      <c r="C60" s="546" t="str">
        <f>IFERROR((0.0458*POWER(C65*C55*(1000+C56),0.7877))/C55,"/")</f>
        <v>/</v>
      </c>
      <c r="D60" s="508" t="s">
        <v>878</v>
      </c>
      <c r="E60" s="212"/>
      <c r="F60" s="545" t="s">
        <v>86</v>
      </c>
      <c r="G60" s="546" t="str">
        <f>IFERROR((0.0458*POWER(C66*C55*(1000+C56),0.7877))/C55,"/")</f>
        <v>/</v>
      </c>
      <c r="H60" s="508" t="s">
        <v>878</v>
      </c>
      <c r="I60"/>
      <c r="J60" s="545" t="s">
        <v>86</v>
      </c>
      <c r="K60" s="546" t="str">
        <f>IFERROR((0.0458*POWER(C67*C55*(1000+C56),0.7877))/C55,"/")</f>
        <v>/</v>
      </c>
      <c r="L60" s="508" t="s">
        <v>878</v>
      </c>
    </row>
    <row r="61" spans="1:12" s="78" customFormat="1" x14ac:dyDescent="0.2">
      <c r="A61" s="81"/>
      <c r="B61" s="545" t="s">
        <v>87</v>
      </c>
      <c r="C61" s="546" t="str">
        <f>IFERROR((0.0528*POWER(C65*C55*(1000+C56),0.7867))/C55,"/")</f>
        <v>/</v>
      </c>
      <c r="D61" s="508" t="s">
        <v>878</v>
      </c>
      <c r="E61" s="212"/>
      <c r="F61" s="545" t="s">
        <v>87</v>
      </c>
      <c r="G61" s="546" t="str">
        <f>IFERROR((0.0528*POWER(C66*C55*(1000+C56),0.7867))/C55,"/")</f>
        <v>/</v>
      </c>
      <c r="H61" s="508" t="s">
        <v>878</v>
      </c>
      <c r="I61"/>
      <c r="J61" s="545" t="s">
        <v>87</v>
      </c>
      <c r="K61" s="546" t="str">
        <f>IFERROR((0.0528*POWER(C67*C55*(1000+C56),0.7867))/C55,"/")</f>
        <v>/</v>
      </c>
      <c r="L61" s="508" t="s">
        <v>878</v>
      </c>
    </row>
    <row r="62" spans="1:12" s="78" customFormat="1" x14ac:dyDescent="0.2">
      <c r="A62" s="81"/>
      <c r="B62" s="545"/>
      <c r="C62" s="546"/>
      <c r="D62" s="508"/>
      <c r="E62" s="212"/>
      <c r="F62" s="545"/>
      <c r="G62" s="546"/>
      <c r="H62" s="508"/>
      <c r="I62"/>
      <c r="J62" s="545"/>
      <c r="K62" s="546"/>
      <c r="L62" s="508"/>
    </row>
    <row r="63" spans="1:12" s="78" customFormat="1" x14ac:dyDescent="0.2">
      <c r="A63" s="81"/>
      <c r="B63" s="545"/>
      <c r="C63" s="546"/>
      <c r="D63" s="508"/>
      <c r="E63" s="212"/>
      <c r="F63" s="545"/>
      <c r="G63" s="546"/>
      <c r="H63" s="508"/>
      <c r="I63"/>
      <c r="J63" s="545"/>
      <c r="K63" s="546"/>
      <c r="L63" s="508"/>
    </row>
    <row r="64" spans="1:12" s="78" customFormat="1" x14ac:dyDescent="0.2">
      <c r="A64" s="81"/>
      <c r="B64" s="545" t="str">
        <f>'OSNOVNI PODATKI'!B99</f>
        <v>GRADBENO OBRTNIŠKA DELA (GO)</v>
      </c>
      <c r="C64" s="651">
        <f>'OSNOVNI PODATKI'!D99</f>
        <v>0</v>
      </c>
      <c r="D64" s="649"/>
      <c r="E64" s="654"/>
      <c r="F64" s="212"/>
      <c r="J64" s="653"/>
      <c r="L64" s="647"/>
    </row>
    <row r="65" spans="1:12" s="78" customFormat="1" x14ac:dyDescent="0.2">
      <c r="A65" s="81"/>
      <c r="B65" s="545" t="str">
        <f>'OSNOVNI PODATKI'!B100</f>
        <v>ELEKTRIČNE INŠTALACIJE (EI)</v>
      </c>
      <c r="C65" s="651">
        <f>'OSNOVNI PODATKI'!D100</f>
        <v>0</v>
      </c>
      <c r="D65" s="649"/>
      <c r="E65" s="654"/>
      <c r="F65" s="212"/>
      <c r="J65" s="654"/>
      <c r="K65" s="654"/>
      <c r="L65" s="647"/>
    </row>
    <row r="66" spans="1:12" s="78" customFormat="1" x14ac:dyDescent="0.2">
      <c r="A66" s="81"/>
      <c r="B66" s="545" t="str">
        <f>'OSNOVNI PODATKI'!B101</f>
        <v>STROJNE INŠTALACIJE (SI)</v>
      </c>
      <c r="C66" s="651">
        <f>'OSNOVNI PODATKI'!D101</f>
        <v>0</v>
      </c>
      <c r="D66" s="649"/>
      <c r="E66" s="654"/>
      <c r="F66" s="212"/>
      <c r="J66" s="653"/>
      <c r="K66" s="646"/>
      <c r="L66" s="647"/>
    </row>
    <row r="67" spans="1:12" s="78" customFormat="1" x14ac:dyDescent="0.2">
      <c r="A67" s="81"/>
      <c r="B67" s="545" t="str">
        <f>'OSNOVNI PODATKI'!B102</f>
        <v>TEHNOLOGIJA (TH)</v>
      </c>
      <c r="C67" s="651">
        <f>'OSNOVNI PODATKI'!D102</f>
        <v>0</v>
      </c>
      <c r="D67" s="649"/>
      <c r="E67" s="654"/>
      <c r="F67" s="212"/>
      <c r="J67" s="545"/>
      <c r="K67" s="646"/>
      <c r="L67" s="647"/>
    </row>
    <row r="68" spans="1:12" s="78" customFormat="1" x14ac:dyDescent="0.2">
      <c r="A68" s="81"/>
      <c r="B68" s="545"/>
      <c r="C68" s="546"/>
      <c r="D68" s="508"/>
      <c r="E68" s="212"/>
      <c r="F68" s="545"/>
      <c r="G68" s="546"/>
      <c r="H68" s="508"/>
      <c r="I68"/>
      <c r="J68" s="545"/>
      <c r="K68" s="546"/>
      <c r="L68" s="508"/>
    </row>
    <row r="69" spans="1:12" s="78" customFormat="1" ht="14.25" x14ac:dyDescent="0.2">
      <c r="B69" s="86" t="s">
        <v>886</v>
      </c>
      <c r="C69" s="527" t="str">
        <f>IFERROR(LOOKUP(C57,B58:C61),"/")</f>
        <v>/</v>
      </c>
      <c r="D69" s="394" t="s">
        <v>877</v>
      </c>
      <c r="E69" s="212"/>
      <c r="F69" s="86" t="s">
        <v>886</v>
      </c>
      <c r="G69" s="527" t="str">
        <f>IFERROR(LOOKUP(G57,F58:G61),"/")</f>
        <v>/</v>
      </c>
      <c r="H69" s="394" t="s">
        <v>877</v>
      </c>
      <c r="I69"/>
      <c r="J69" s="86" t="s">
        <v>886</v>
      </c>
      <c r="K69" s="527" t="str">
        <f>IFERROR(LOOKUP(K57,J58:K61),"/")</f>
        <v>/</v>
      </c>
      <c r="L69" s="394" t="s">
        <v>877</v>
      </c>
    </row>
    <row r="70" spans="1:12" s="78" customFormat="1" ht="14.25" x14ac:dyDescent="0.2">
      <c r="B70" s="86" t="s">
        <v>887</v>
      </c>
      <c r="C70" s="527" t="str" cm="1">
        <f t="array" ref="C70">IFERROR(INDEX(C58:C61,MATCH(C57,B58:B61)+1),"/")</f>
        <v>/</v>
      </c>
      <c r="D70" s="394" t="s">
        <v>877</v>
      </c>
      <c r="E70" s="212"/>
      <c r="F70" s="86" t="s">
        <v>887</v>
      </c>
      <c r="G70" s="527" t="str" cm="1">
        <f t="array" ref="G70">IFERROR(INDEX(G58:G61,MATCH(G57,F58:F61)+1),"/")</f>
        <v>/</v>
      </c>
      <c r="H70" s="394" t="s">
        <v>877</v>
      </c>
      <c r="I70"/>
      <c r="J70" s="86" t="s">
        <v>887</v>
      </c>
      <c r="K70" s="527" t="str" cm="1">
        <f t="array" ref="K70">IFERROR(INDEX(K58:K61,MATCH(K57,J58:J61)+1),"/")</f>
        <v>/</v>
      </c>
      <c r="L70" s="394" t="s">
        <v>877</v>
      </c>
    </row>
    <row r="71" spans="1:12" s="78" customFormat="1" x14ac:dyDescent="0.2">
      <c r="B71" s="86" t="s">
        <v>737</v>
      </c>
      <c r="C71" s="551">
        <f>IFERROR(ROUND(C69*$C54,0),0)</f>
        <v>0</v>
      </c>
      <c r="D71" s="394" t="s">
        <v>879</v>
      </c>
      <c r="E71" s="212"/>
      <c r="F71" s="86" t="s">
        <v>737</v>
      </c>
      <c r="G71" s="551">
        <f>IFERROR(ROUND(G69*$C54,0),0)</f>
        <v>0</v>
      </c>
      <c r="H71" s="394" t="s">
        <v>879</v>
      </c>
      <c r="I71"/>
      <c r="J71" s="86" t="s">
        <v>737</v>
      </c>
      <c r="K71" s="551">
        <f>IFERROR(ROUND(K69*$C54,0),0)</f>
        <v>0</v>
      </c>
      <c r="L71" s="394" t="s">
        <v>879</v>
      </c>
    </row>
    <row r="72" spans="1:12" s="78" customFormat="1" x14ac:dyDescent="0.2">
      <c r="B72" s="86" t="s">
        <v>738</v>
      </c>
      <c r="C72" s="551">
        <f>IFERROR(ROUND(C70*$C54,0),0)</f>
        <v>0</v>
      </c>
      <c r="D72" s="394" t="s">
        <v>879</v>
      </c>
      <c r="E72" s="212"/>
      <c r="F72" s="86" t="s">
        <v>738</v>
      </c>
      <c r="G72" s="551">
        <f>IFERROR(ROUND(G70*$C54,0),0)</f>
        <v>0</v>
      </c>
      <c r="H72" s="394" t="s">
        <v>879</v>
      </c>
      <c r="I72"/>
      <c r="J72" s="86" t="s">
        <v>738</v>
      </c>
      <c r="K72" s="551">
        <f>IFERROR(ROUND(K70*$C54,0),0)</f>
        <v>0</v>
      </c>
      <c r="L72" s="394" t="s">
        <v>879</v>
      </c>
    </row>
    <row r="73" spans="1:12" s="78" customFormat="1" x14ac:dyDescent="0.2">
      <c r="A73" s="81"/>
      <c r="C73" s="212"/>
      <c r="D73" s="212"/>
      <c r="E73" s="212"/>
      <c r="I73"/>
    </row>
    <row r="74" spans="1:12" s="78" customFormat="1" x14ac:dyDescent="0.2">
      <c r="A74" s="81"/>
      <c r="B74" s="212" t="str">
        <f>'OSNOVNI PODATKI'!A107</f>
        <v>STAVBA 4 / DEL 4</v>
      </c>
      <c r="C74" s="553">
        <f>'OSNOVNI PODATKI'!E107</f>
        <v>0</v>
      </c>
      <c r="D74" s="212"/>
      <c r="E74" s="212"/>
      <c r="I74"/>
    </row>
    <row r="75" spans="1:12" s="78" customFormat="1" x14ac:dyDescent="0.2">
      <c r="A75" s="81"/>
      <c r="B75" s="205" t="s">
        <v>722</v>
      </c>
      <c r="C75" s="86">
        <f>'OSNOVNI PODATKI'!E108</f>
        <v>0</v>
      </c>
      <c r="D75" s="509"/>
      <c r="E75" s="212"/>
      <c r="I75"/>
    </row>
    <row r="76" spans="1:12" s="78" customFormat="1" x14ac:dyDescent="0.2">
      <c r="A76" s="81"/>
      <c r="B76" s="205" t="s">
        <v>952</v>
      </c>
      <c r="C76" s="86">
        <f>'OSNOVNI PODATKI'!E109</f>
        <v>0</v>
      </c>
      <c r="D76" s="509"/>
      <c r="E76" s="212"/>
      <c r="F76" s="509"/>
      <c r="G76" s="509"/>
      <c r="H76" s="509"/>
      <c r="I76"/>
    </row>
    <row r="77" spans="1:12" s="78" customFormat="1" x14ac:dyDescent="0.2">
      <c r="A77" s="81"/>
      <c r="B77" s="205" t="s">
        <v>953</v>
      </c>
      <c r="C77" s="86">
        <f>IF($C$5=1,$C$6,C76)</f>
        <v>0</v>
      </c>
      <c r="D77" s="509"/>
      <c r="E77" s="212"/>
      <c r="I77"/>
    </row>
    <row r="78" spans="1:12" s="78" customFormat="1" x14ac:dyDescent="0.2">
      <c r="A78" s="81"/>
      <c r="B78" s="550" t="s">
        <v>885</v>
      </c>
      <c r="C78" s="549" t="str">
        <f>'OSNOVNI PODATKI'!E119</f>
        <v>/</v>
      </c>
      <c r="D78" s="509"/>
      <c r="E78" s="212"/>
      <c r="F78" s="550"/>
      <c r="G78" s="591"/>
      <c r="I78"/>
      <c r="J78" s="550"/>
      <c r="K78" s="591"/>
    </row>
    <row r="79" spans="1:12" s="78" customFormat="1" x14ac:dyDescent="0.2">
      <c r="A79" s="81"/>
      <c r="B79" s="205" t="s">
        <v>117</v>
      </c>
      <c r="C79" s="86" t="str">
        <f>'OSNOVNI PODATKI'!E112</f>
        <v>Cenovni razred II</v>
      </c>
      <c r="D79" s="509"/>
      <c r="E79" s="212"/>
      <c r="F79" s="205" t="s">
        <v>117</v>
      </c>
      <c r="G79" s="86" t="str">
        <f>'OSNOVNI PODATKI'!E113</f>
        <v>Cenovni razred II</v>
      </c>
      <c r="I79"/>
      <c r="J79" s="205" t="s">
        <v>117</v>
      </c>
      <c r="K79" s="86" t="str">
        <f>'OSNOVNI PODATKI'!E114</f>
        <v>Cenovni razred II</v>
      </c>
    </row>
    <row r="80" spans="1:12" s="78" customFormat="1" x14ac:dyDescent="0.2">
      <c r="A80" s="81"/>
      <c r="B80" s="542" t="s">
        <v>84</v>
      </c>
      <c r="C80" s="543" t="str">
        <f>IFERROR((0.0331*POWER(C87*C77*(1000+C78),0.7868))/C77,"/")</f>
        <v>/</v>
      </c>
      <c r="D80" s="544" t="s">
        <v>878</v>
      </c>
      <c r="E80" s="212"/>
      <c r="F80" s="542" t="s">
        <v>84</v>
      </c>
      <c r="G80" s="543" t="str">
        <f>IFERROR((0.0331*POWER(C88*C77*(1000+C78),0.7868))/C77,"/")</f>
        <v>/</v>
      </c>
      <c r="H80" s="544" t="s">
        <v>878</v>
      </c>
      <c r="I80"/>
      <c r="J80" s="542" t="s">
        <v>84</v>
      </c>
      <c r="K80" s="543" t="str">
        <f>IFERROR((0.0331*POWER(C89*C77*(1000+C78),0.7868))/C77,"/")</f>
        <v>/</v>
      </c>
      <c r="L80" s="544" t="s">
        <v>878</v>
      </c>
    </row>
    <row r="81" spans="1:12" s="78" customFormat="1" x14ac:dyDescent="0.2">
      <c r="A81" s="81"/>
      <c r="B81" s="545" t="s">
        <v>85</v>
      </c>
      <c r="C81" s="546" t="str">
        <f>IFERROR((0.0392*POWER(C87*C77*(1000+C78),0.7872))/C77,"/")</f>
        <v>/</v>
      </c>
      <c r="D81" s="508" t="s">
        <v>878</v>
      </c>
      <c r="E81" s="212"/>
      <c r="F81" s="545" t="s">
        <v>85</v>
      </c>
      <c r="G81" s="546" t="str">
        <f>IFERROR((0.0392*POWER(C88*C77*(1000+C78),0.7872))/C77,"/")</f>
        <v>/</v>
      </c>
      <c r="H81" s="508" t="s">
        <v>878</v>
      </c>
      <c r="I81"/>
      <c r="J81" s="545" t="s">
        <v>85</v>
      </c>
      <c r="K81" s="546" t="str">
        <f>IFERROR((0.0392*POWER(C89*C77*(1000+C78),0.7872))/C77,"/")</f>
        <v>/</v>
      </c>
      <c r="L81" s="508" t="s">
        <v>878</v>
      </c>
    </row>
    <row r="82" spans="1:12" s="78" customFormat="1" x14ac:dyDescent="0.2">
      <c r="A82" s="81"/>
      <c r="B82" s="545" t="s">
        <v>86</v>
      </c>
      <c r="C82" s="546" t="str">
        <f>IFERROR((0.0458*POWER(C87*C77*(1000+C78),0.7877))/C77,"/")</f>
        <v>/</v>
      </c>
      <c r="D82" s="508" t="s">
        <v>878</v>
      </c>
      <c r="E82" s="212"/>
      <c r="F82" s="545" t="s">
        <v>86</v>
      </c>
      <c r="G82" s="546" t="str">
        <f>IFERROR((0.0458*POWER(C88*C77*(1000+C78),0.7877))/C77,"/")</f>
        <v>/</v>
      </c>
      <c r="H82" s="508" t="s">
        <v>878</v>
      </c>
      <c r="I82"/>
      <c r="J82" s="545" t="s">
        <v>86</v>
      </c>
      <c r="K82" s="546" t="str">
        <f>IFERROR((0.0458*POWER(C89*C77*(1000+C78),0.7877))/C77,"/")</f>
        <v>/</v>
      </c>
      <c r="L82" s="508" t="s">
        <v>878</v>
      </c>
    </row>
    <row r="83" spans="1:12" s="78" customFormat="1" x14ac:dyDescent="0.2">
      <c r="A83" s="81"/>
      <c r="B83" s="545" t="s">
        <v>87</v>
      </c>
      <c r="C83" s="546" t="str">
        <f>IFERROR((0.0528*POWER(C87*C77*(1000+C78),0.7867))/C77,"/")</f>
        <v>/</v>
      </c>
      <c r="D83" s="508" t="s">
        <v>878</v>
      </c>
      <c r="E83" s="212"/>
      <c r="F83" s="545" t="s">
        <v>87</v>
      </c>
      <c r="G83" s="546" t="str">
        <f>IFERROR((0.0528*POWER(C88*C77*(1000+C78),0.7867))/C77,"/")</f>
        <v>/</v>
      </c>
      <c r="H83" s="508" t="s">
        <v>878</v>
      </c>
      <c r="I83"/>
      <c r="J83" s="545" t="s">
        <v>87</v>
      </c>
      <c r="K83" s="546" t="str">
        <f>IFERROR((0.0528*POWER(C89*C77*(1000+C78),0.7867))/C77,"/")</f>
        <v>/</v>
      </c>
      <c r="L83" s="508" t="s">
        <v>878</v>
      </c>
    </row>
    <row r="84" spans="1:12" s="78" customFormat="1" x14ac:dyDescent="0.2">
      <c r="A84" s="81"/>
      <c r="B84" s="545"/>
      <c r="C84" s="546"/>
      <c r="D84" s="508"/>
      <c r="E84" s="212"/>
      <c r="F84" s="545"/>
      <c r="G84" s="546"/>
      <c r="H84" s="508"/>
      <c r="I84"/>
      <c r="J84" s="545"/>
      <c r="K84" s="546"/>
      <c r="L84" s="508"/>
    </row>
    <row r="85" spans="1:12" s="78" customFormat="1" x14ac:dyDescent="0.2">
      <c r="A85" s="81"/>
      <c r="B85" s="545"/>
      <c r="C85" s="546"/>
      <c r="D85" s="508"/>
      <c r="E85" s="212"/>
      <c r="F85" s="545"/>
      <c r="G85" s="546"/>
      <c r="H85" s="508"/>
      <c r="I85"/>
      <c r="J85" s="545"/>
      <c r="K85" s="546"/>
      <c r="L85" s="508"/>
    </row>
    <row r="86" spans="1:12" s="78" customFormat="1" x14ac:dyDescent="0.2">
      <c r="A86" s="81"/>
      <c r="B86" s="545" t="str">
        <f>'OSNOVNI PODATKI'!B130</f>
        <v>GRADBENO OBRTNIŠKA DELA (GO)</v>
      </c>
      <c r="C86" s="651">
        <f>'OSNOVNI PODATKI'!D130</f>
        <v>0</v>
      </c>
      <c r="D86" s="649"/>
      <c r="E86" s="654"/>
      <c r="F86" s="212"/>
      <c r="J86" s="653"/>
      <c r="L86" s="647"/>
    </row>
    <row r="87" spans="1:12" s="78" customFormat="1" x14ac:dyDescent="0.2">
      <c r="A87" s="81"/>
      <c r="B87" s="545" t="str">
        <f>'OSNOVNI PODATKI'!B131</f>
        <v>ELEKTRIČNE INŠTALACIJE (EI)</v>
      </c>
      <c r="C87" s="651">
        <f>'OSNOVNI PODATKI'!D131</f>
        <v>0</v>
      </c>
      <c r="D87" s="649"/>
      <c r="E87" s="654"/>
      <c r="F87" s="212"/>
      <c r="J87" s="654"/>
      <c r="K87" s="654"/>
      <c r="L87" s="647"/>
    </row>
    <row r="88" spans="1:12" s="78" customFormat="1" x14ac:dyDescent="0.2">
      <c r="A88" s="81"/>
      <c r="B88" s="545" t="str">
        <f>'OSNOVNI PODATKI'!B132</f>
        <v>STROJNE INŠTALACIJE (SI)</v>
      </c>
      <c r="C88" s="651">
        <f>'OSNOVNI PODATKI'!D132</f>
        <v>0</v>
      </c>
      <c r="D88" s="649"/>
      <c r="E88" s="654"/>
      <c r="F88" s="212"/>
      <c r="J88" s="653"/>
      <c r="K88" s="646"/>
      <c r="L88" s="647"/>
    </row>
    <row r="89" spans="1:12" s="78" customFormat="1" x14ac:dyDescent="0.2">
      <c r="A89" s="81"/>
      <c r="B89" s="545" t="str">
        <f>'OSNOVNI PODATKI'!B133</f>
        <v>TEHNOLOGIJA (TH)</v>
      </c>
      <c r="C89" s="651">
        <f>'OSNOVNI PODATKI'!D133</f>
        <v>0</v>
      </c>
      <c r="D89" s="649"/>
      <c r="E89" s="654"/>
      <c r="F89" s="212"/>
      <c r="J89" s="545"/>
      <c r="K89" s="646"/>
      <c r="L89" s="647"/>
    </row>
    <row r="90" spans="1:12" s="78" customFormat="1" x14ac:dyDescent="0.2">
      <c r="A90" s="81"/>
      <c r="B90" s="545"/>
      <c r="C90" s="546"/>
      <c r="D90" s="508"/>
      <c r="E90" s="212"/>
      <c r="F90" s="545"/>
      <c r="G90" s="546"/>
      <c r="H90" s="508"/>
      <c r="I90"/>
      <c r="J90" s="545"/>
      <c r="K90" s="546"/>
      <c r="L90" s="508"/>
    </row>
    <row r="91" spans="1:12" s="78" customFormat="1" ht="14.25" x14ac:dyDescent="0.2">
      <c r="B91" s="86" t="s">
        <v>886</v>
      </c>
      <c r="C91" s="527" t="str">
        <f>IFERROR(LOOKUP(C79,B80:C83),"/")</f>
        <v>/</v>
      </c>
      <c r="D91" s="394" t="s">
        <v>877</v>
      </c>
      <c r="E91" s="212"/>
      <c r="F91" s="86" t="s">
        <v>886</v>
      </c>
      <c r="G91" s="527" t="str">
        <f>IFERROR(LOOKUP(G79,F80:G83),"/")</f>
        <v>/</v>
      </c>
      <c r="H91" s="394" t="s">
        <v>877</v>
      </c>
      <c r="I91"/>
      <c r="J91" s="86" t="s">
        <v>886</v>
      </c>
      <c r="K91" s="527" t="str">
        <f>IFERROR(LOOKUP(K79,J80:K83),"/")</f>
        <v>/</v>
      </c>
      <c r="L91" s="394" t="s">
        <v>877</v>
      </c>
    </row>
    <row r="92" spans="1:12" s="78" customFormat="1" ht="14.25" x14ac:dyDescent="0.2">
      <c r="B92" s="86" t="s">
        <v>887</v>
      </c>
      <c r="C92" s="527" t="str" cm="1">
        <f t="array" ref="C92">IFERROR(INDEX(C80:C83,MATCH(C79,B80:B83)+1),"/")</f>
        <v>/</v>
      </c>
      <c r="D92" s="394" t="s">
        <v>877</v>
      </c>
      <c r="E92" s="212"/>
      <c r="F92" s="86" t="s">
        <v>887</v>
      </c>
      <c r="G92" s="527" t="str" cm="1">
        <f t="array" ref="G92">IFERROR(INDEX(G80:G83,MATCH(G79,F80:F83)+1),"/")</f>
        <v>/</v>
      </c>
      <c r="H92" s="394" t="s">
        <v>877</v>
      </c>
      <c r="I92"/>
      <c r="J92" s="86" t="s">
        <v>887</v>
      </c>
      <c r="K92" s="527" t="str" cm="1">
        <f t="array" ref="K92">IFERROR(INDEX(K80:K83,MATCH(K79,J80:J83)+1),"/")</f>
        <v>/</v>
      </c>
      <c r="L92" s="394" t="s">
        <v>877</v>
      </c>
    </row>
    <row r="93" spans="1:12" s="78" customFormat="1" x14ac:dyDescent="0.2">
      <c r="B93" s="86" t="s">
        <v>737</v>
      </c>
      <c r="C93" s="551">
        <f>IFERROR(ROUND(C91*$C76,0),0)</f>
        <v>0</v>
      </c>
      <c r="D93" s="394" t="s">
        <v>879</v>
      </c>
      <c r="E93" s="212"/>
      <c r="F93" s="86" t="s">
        <v>737</v>
      </c>
      <c r="G93" s="551">
        <f>IFERROR(ROUND(G91*$C76,0),0)</f>
        <v>0</v>
      </c>
      <c r="H93" s="394" t="s">
        <v>879</v>
      </c>
      <c r="I93"/>
      <c r="J93" s="86" t="s">
        <v>737</v>
      </c>
      <c r="K93" s="551">
        <f>IFERROR(ROUND(K91*$C76,0),0)</f>
        <v>0</v>
      </c>
      <c r="L93" s="394" t="s">
        <v>879</v>
      </c>
    </row>
    <row r="94" spans="1:12" s="78" customFormat="1" x14ac:dyDescent="0.2">
      <c r="B94" s="86" t="s">
        <v>738</v>
      </c>
      <c r="C94" s="551">
        <f>IFERROR(ROUND(C92*$C76,0),0)</f>
        <v>0</v>
      </c>
      <c r="D94" s="394" t="s">
        <v>879</v>
      </c>
      <c r="E94" s="212"/>
      <c r="F94" s="86" t="s">
        <v>738</v>
      </c>
      <c r="G94" s="551">
        <f>IFERROR(ROUND(G92*$C76,0),0)</f>
        <v>0</v>
      </c>
      <c r="H94" s="394" t="s">
        <v>879</v>
      </c>
      <c r="I94"/>
      <c r="J94" s="86" t="s">
        <v>738</v>
      </c>
      <c r="K94" s="551">
        <f>IFERROR(ROUND(K92*$C76,0),0)</f>
        <v>0</v>
      </c>
      <c r="L94" s="394" t="s">
        <v>879</v>
      </c>
    </row>
    <row r="95" spans="1:12" s="78" customFormat="1" x14ac:dyDescent="0.2">
      <c r="A95" s="81"/>
      <c r="C95" s="212"/>
      <c r="D95" s="212"/>
      <c r="E95" s="212"/>
      <c r="I95"/>
    </row>
    <row r="96" spans="1:12" s="78" customFormat="1" x14ac:dyDescent="0.2">
      <c r="A96" s="81"/>
      <c r="B96" s="212" t="str">
        <f>'OSNOVNI PODATKI'!A138</f>
        <v>STAVBA 5 / DEL 5</v>
      </c>
      <c r="C96" s="553">
        <f>'OSNOVNI PODATKI'!E138</f>
        <v>0</v>
      </c>
      <c r="D96" s="212"/>
      <c r="E96" s="212"/>
      <c r="I96"/>
    </row>
    <row r="97" spans="1:12" s="78" customFormat="1" x14ac:dyDescent="0.2">
      <c r="A97" s="81"/>
      <c r="B97" s="205" t="s">
        <v>722</v>
      </c>
      <c r="C97" s="86">
        <f>'OSNOVNI PODATKI'!E139</f>
        <v>0</v>
      </c>
      <c r="D97" s="509"/>
      <c r="E97" s="212"/>
      <c r="I97"/>
    </row>
    <row r="98" spans="1:12" s="78" customFormat="1" x14ac:dyDescent="0.2">
      <c r="A98" s="81"/>
      <c r="B98" s="205" t="s">
        <v>952</v>
      </c>
      <c r="C98" s="86">
        <f>'OSNOVNI PODATKI'!E140</f>
        <v>0</v>
      </c>
      <c r="D98" s="509"/>
      <c r="E98" s="212"/>
      <c r="F98" s="509"/>
      <c r="G98" s="509"/>
      <c r="H98" s="509"/>
      <c r="I98"/>
    </row>
    <row r="99" spans="1:12" s="78" customFormat="1" x14ac:dyDescent="0.2">
      <c r="A99" s="81"/>
      <c r="B99" s="205" t="s">
        <v>953</v>
      </c>
      <c r="C99" s="86">
        <f>IF($C$5=1,$C$6,C98)</f>
        <v>0</v>
      </c>
      <c r="D99" s="509"/>
      <c r="E99" s="212"/>
      <c r="I99"/>
    </row>
    <row r="100" spans="1:12" s="78" customFormat="1" x14ac:dyDescent="0.2">
      <c r="A100" s="81"/>
      <c r="B100" s="550" t="s">
        <v>885</v>
      </c>
      <c r="C100" s="549" t="str">
        <f>'OSNOVNI PODATKI'!E150</f>
        <v>/</v>
      </c>
      <c r="D100" s="509"/>
      <c r="E100" s="212"/>
      <c r="F100" s="550"/>
      <c r="G100" s="591"/>
      <c r="I100"/>
      <c r="J100" s="550"/>
      <c r="K100" s="591"/>
    </row>
    <row r="101" spans="1:12" s="78" customFormat="1" x14ac:dyDescent="0.2">
      <c r="A101" s="81"/>
      <c r="B101" s="205" t="s">
        <v>117</v>
      </c>
      <c r="C101" s="86" t="str">
        <f>'OSNOVNI PODATKI'!E143</f>
        <v>Cenovni razred II</v>
      </c>
      <c r="D101" s="509"/>
      <c r="E101" s="212"/>
      <c r="F101" s="205" t="s">
        <v>117</v>
      </c>
      <c r="G101" s="86" t="str">
        <f>'OSNOVNI PODATKI'!E144</f>
        <v>Cenovni razred II</v>
      </c>
      <c r="I101"/>
      <c r="J101" s="205" t="s">
        <v>117</v>
      </c>
      <c r="K101" s="86" t="str">
        <f>'OSNOVNI PODATKI'!E145</f>
        <v>Cenovni razred II</v>
      </c>
    </row>
    <row r="102" spans="1:12" s="78" customFormat="1" x14ac:dyDescent="0.2">
      <c r="A102" s="81"/>
      <c r="B102" s="542" t="s">
        <v>84</v>
      </c>
      <c r="C102" s="543" t="str">
        <f>IFERROR((0.0331*POWER(C109*C99*(1000+C100),0.7868))/C99,"/")</f>
        <v>/</v>
      </c>
      <c r="D102" s="544" t="s">
        <v>878</v>
      </c>
      <c r="E102" s="212"/>
      <c r="F102" s="542" t="s">
        <v>84</v>
      </c>
      <c r="G102" s="543" t="str">
        <f>IFERROR((0.0331*POWER(C110*C99*(1000+C100),0.7868))/C99,"/")</f>
        <v>/</v>
      </c>
      <c r="H102" s="544" t="s">
        <v>878</v>
      </c>
      <c r="I102"/>
      <c r="J102" s="542" t="s">
        <v>84</v>
      </c>
      <c r="K102" s="543" t="str">
        <f>IFERROR((0.0331*POWER(C111*C99*(1000+C100),0.7868))/C99,"/")</f>
        <v>/</v>
      </c>
      <c r="L102" s="544" t="s">
        <v>878</v>
      </c>
    </row>
    <row r="103" spans="1:12" s="78" customFormat="1" x14ac:dyDescent="0.2">
      <c r="A103" s="81"/>
      <c r="B103" s="545" t="s">
        <v>85</v>
      </c>
      <c r="C103" s="546" t="str">
        <f>IFERROR((0.0392*POWER(C109*C99*(1000+C100),0.7872))/C99,"/")</f>
        <v>/</v>
      </c>
      <c r="D103" s="508" t="s">
        <v>878</v>
      </c>
      <c r="E103" s="212"/>
      <c r="F103" s="545" t="s">
        <v>85</v>
      </c>
      <c r="G103" s="546" t="str">
        <f>IFERROR((0.0392*POWER(C110*C99*(1000+C100),0.7872))/C99,"/")</f>
        <v>/</v>
      </c>
      <c r="H103" s="508" t="s">
        <v>878</v>
      </c>
      <c r="I103"/>
      <c r="J103" s="545" t="s">
        <v>85</v>
      </c>
      <c r="K103" s="546" t="str">
        <f>IFERROR((0.0392*POWER(C111*C99*(1000+C100),0.7872))/C99,"/")</f>
        <v>/</v>
      </c>
      <c r="L103" s="508" t="s">
        <v>878</v>
      </c>
    </row>
    <row r="104" spans="1:12" s="78" customFormat="1" x14ac:dyDescent="0.2">
      <c r="A104" s="81"/>
      <c r="B104" s="545" t="s">
        <v>86</v>
      </c>
      <c r="C104" s="546" t="str">
        <f>IFERROR((0.0458*POWER(C109*C99*(1000+C100),0.7877))/C99,"/")</f>
        <v>/</v>
      </c>
      <c r="D104" s="508" t="s">
        <v>878</v>
      </c>
      <c r="E104" s="212"/>
      <c r="F104" s="545" t="s">
        <v>86</v>
      </c>
      <c r="G104" s="546" t="str">
        <f>IFERROR((0.0458*POWER(C110*C99*(1000+C100),0.7877))/C99,"/")</f>
        <v>/</v>
      </c>
      <c r="H104" s="508" t="s">
        <v>878</v>
      </c>
      <c r="I104"/>
      <c r="J104" s="545" t="s">
        <v>86</v>
      </c>
      <c r="K104" s="546" t="str">
        <f>IFERROR((0.0458*POWER(C111*C99*(1000+C100),0.7877))/C99,"/")</f>
        <v>/</v>
      </c>
      <c r="L104" s="508" t="s">
        <v>878</v>
      </c>
    </row>
    <row r="105" spans="1:12" s="78" customFormat="1" x14ac:dyDescent="0.2">
      <c r="A105" s="81"/>
      <c r="B105" s="545" t="s">
        <v>87</v>
      </c>
      <c r="C105" s="546" t="str">
        <f>IFERROR((0.0528*POWER(C109*C99*(1000+C100),0.7867))/C99,"/")</f>
        <v>/</v>
      </c>
      <c r="D105" s="508" t="s">
        <v>878</v>
      </c>
      <c r="E105" s="212"/>
      <c r="F105" s="545" t="s">
        <v>87</v>
      </c>
      <c r="G105" s="546" t="str">
        <f>IFERROR((0.0528*POWER(C110*C99*(1000+C100),0.7867))/C99,"/")</f>
        <v>/</v>
      </c>
      <c r="H105" s="508" t="s">
        <v>878</v>
      </c>
      <c r="I105"/>
      <c r="J105" s="545" t="s">
        <v>87</v>
      </c>
      <c r="K105" s="546" t="str">
        <f>IFERROR((0.0528*POWER(C111*C99*(1000+C100),0.7867))/C99,"/")</f>
        <v>/</v>
      </c>
      <c r="L105" s="508" t="s">
        <v>878</v>
      </c>
    </row>
    <row r="106" spans="1:12" s="78" customFormat="1" x14ac:dyDescent="0.2">
      <c r="A106" s="81"/>
      <c r="B106" s="545"/>
      <c r="C106" s="546"/>
      <c r="D106" s="508"/>
      <c r="E106" s="212"/>
      <c r="F106" s="545"/>
      <c r="G106" s="546"/>
      <c r="H106" s="508"/>
      <c r="I106"/>
      <c r="J106" s="545"/>
      <c r="K106" s="546"/>
      <c r="L106" s="508"/>
    </row>
    <row r="107" spans="1:12" s="78" customFormat="1" x14ac:dyDescent="0.2">
      <c r="A107" s="81"/>
      <c r="B107" s="545"/>
      <c r="C107" s="546"/>
      <c r="D107" s="508"/>
      <c r="E107" s="212"/>
      <c r="F107" s="545"/>
      <c r="G107" s="546"/>
      <c r="H107" s="508"/>
      <c r="I107"/>
      <c r="J107" s="545"/>
      <c r="K107" s="546"/>
      <c r="L107" s="508"/>
    </row>
    <row r="108" spans="1:12" s="78" customFormat="1" x14ac:dyDescent="0.2">
      <c r="A108" s="81"/>
      <c r="B108" s="545" t="str">
        <f>'OSNOVNI PODATKI'!B161</f>
        <v>GRADBENO OBRTNIŠKA DELA (GO)</v>
      </c>
      <c r="C108" s="651">
        <f>'OSNOVNI PODATKI'!D161</f>
        <v>0</v>
      </c>
      <c r="D108" s="649"/>
      <c r="E108" s="654"/>
      <c r="F108" s="212"/>
      <c r="J108" s="653"/>
      <c r="L108" s="647"/>
    </row>
    <row r="109" spans="1:12" s="78" customFormat="1" x14ac:dyDescent="0.2">
      <c r="A109" s="81"/>
      <c r="B109" s="545" t="str">
        <f>'OSNOVNI PODATKI'!B157</f>
        <v>INFORMATIVNA OCENA STROŠKOV GRADNJE</v>
      </c>
      <c r="C109" s="651">
        <f>'OSNOVNI PODATKI'!D162</f>
        <v>0</v>
      </c>
      <c r="D109" s="649"/>
      <c r="E109" s="654"/>
      <c r="F109" s="212"/>
      <c r="J109" s="654"/>
      <c r="K109" s="654"/>
      <c r="L109" s="647"/>
    </row>
    <row r="110" spans="1:12" s="78" customFormat="1" x14ac:dyDescent="0.2">
      <c r="A110" s="81"/>
      <c r="B110" s="545" t="str">
        <f>'OSNOVNI PODATKI'!B158</f>
        <v>INFORMATIVNA VREDNOST STROŠKOV GRADNJE EUR/m2 BTP</v>
      </c>
      <c r="C110" s="651">
        <f>'OSNOVNI PODATKI'!D163</f>
        <v>0</v>
      </c>
      <c r="D110" s="649"/>
      <c r="E110" s="654"/>
      <c r="F110" s="212"/>
      <c r="J110" s="653"/>
      <c r="K110" s="646"/>
      <c r="L110" s="647"/>
    </row>
    <row r="111" spans="1:12" s="78" customFormat="1" x14ac:dyDescent="0.2">
      <c r="A111" s="81"/>
      <c r="B111" s="545" t="str">
        <f>'OSNOVNI PODATKI'!B159</f>
        <v>IZBRANA VREDNOST STROKOV GRADNJE EUR/m2 BEP</v>
      </c>
      <c r="C111" s="651">
        <f>'OSNOVNI PODATKI'!D164</f>
        <v>0</v>
      </c>
      <c r="D111" s="649"/>
      <c r="E111" s="654"/>
      <c r="F111" s="212"/>
      <c r="J111" s="545"/>
      <c r="K111" s="646"/>
      <c r="L111" s="647"/>
    </row>
    <row r="112" spans="1:12" s="78" customFormat="1" x14ac:dyDescent="0.2">
      <c r="A112" s="81"/>
      <c r="B112" s="545"/>
      <c r="C112" s="546"/>
      <c r="D112" s="508"/>
      <c r="E112" s="212"/>
      <c r="F112" s="545"/>
      <c r="G112" s="546"/>
      <c r="H112" s="508"/>
      <c r="I112"/>
      <c r="J112" s="545"/>
      <c r="K112" s="546"/>
      <c r="L112" s="508"/>
    </row>
    <row r="113" spans="1:26" s="78" customFormat="1" ht="14.25" x14ac:dyDescent="0.2">
      <c r="B113" s="86" t="s">
        <v>886</v>
      </c>
      <c r="C113" s="527" t="str">
        <f>IFERROR(LOOKUP(C101,B102:C105),"/")</f>
        <v>/</v>
      </c>
      <c r="D113" s="394" t="s">
        <v>877</v>
      </c>
      <c r="E113" s="212"/>
      <c r="F113" s="86" t="s">
        <v>886</v>
      </c>
      <c r="G113" s="527" t="str">
        <f>IFERROR(LOOKUP(G101,F102:G105),"/")</f>
        <v>/</v>
      </c>
      <c r="H113" s="394" t="s">
        <v>877</v>
      </c>
      <c r="I113"/>
      <c r="J113" s="86" t="s">
        <v>886</v>
      </c>
      <c r="K113" s="527" t="str">
        <f>IFERROR(LOOKUP(K101,J102:K105),"/")</f>
        <v>/</v>
      </c>
      <c r="L113" s="394" t="s">
        <v>877</v>
      </c>
    </row>
    <row r="114" spans="1:26" s="78" customFormat="1" ht="14.25" x14ac:dyDescent="0.2">
      <c r="B114" s="86" t="s">
        <v>887</v>
      </c>
      <c r="C114" s="527" t="str" cm="1">
        <f t="array" ref="C114">IFERROR(INDEX(C102:C105,MATCH(C101,B102:B105)+1),"/")</f>
        <v>/</v>
      </c>
      <c r="D114" s="394" t="s">
        <v>877</v>
      </c>
      <c r="E114" s="212"/>
      <c r="F114" s="86" t="s">
        <v>887</v>
      </c>
      <c r="G114" s="527" t="str" cm="1">
        <f t="array" ref="G114">IFERROR(INDEX(G102:G105,MATCH(G101,F102:F105)+1),"/")</f>
        <v>/</v>
      </c>
      <c r="H114" s="394" t="s">
        <v>877</v>
      </c>
      <c r="I114"/>
      <c r="J114" s="86" t="s">
        <v>887</v>
      </c>
      <c r="K114" s="527" t="str" cm="1">
        <f t="array" ref="K114">IFERROR(INDEX(K102:K105,MATCH(K101,J102:J105)+1),"/")</f>
        <v>/</v>
      </c>
      <c r="L114" s="394" t="s">
        <v>877</v>
      </c>
    </row>
    <row r="115" spans="1:26" s="78" customFormat="1" x14ac:dyDescent="0.2">
      <c r="B115" s="86" t="s">
        <v>737</v>
      </c>
      <c r="C115" s="551">
        <f>IFERROR(ROUND(C113*$C98,0),0)</f>
        <v>0</v>
      </c>
      <c r="D115" s="394" t="s">
        <v>879</v>
      </c>
      <c r="E115" s="212"/>
      <c r="F115" s="86" t="s">
        <v>737</v>
      </c>
      <c r="G115" s="551">
        <f>IFERROR(ROUND(G113*$C98,0),0)</f>
        <v>0</v>
      </c>
      <c r="H115" s="394" t="s">
        <v>879</v>
      </c>
      <c r="I115"/>
      <c r="J115" s="86" t="s">
        <v>737</v>
      </c>
      <c r="K115" s="551">
        <f>IFERROR(ROUND(K113*$C98,0),0)</f>
        <v>0</v>
      </c>
      <c r="L115" s="394" t="s">
        <v>879</v>
      </c>
    </row>
    <row r="116" spans="1:26" s="78" customFormat="1" x14ac:dyDescent="0.2">
      <c r="B116" s="86" t="s">
        <v>738</v>
      </c>
      <c r="C116" s="551">
        <f>IFERROR(ROUND(C114*$C98,0),0)</f>
        <v>0</v>
      </c>
      <c r="D116" s="394" t="s">
        <v>879</v>
      </c>
      <c r="E116" s="212"/>
      <c r="F116" s="86" t="s">
        <v>738</v>
      </c>
      <c r="G116" s="551">
        <f>IFERROR(ROUND(G114*$C98,0),0)</f>
        <v>0</v>
      </c>
      <c r="H116" s="394" t="s">
        <v>879</v>
      </c>
      <c r="I116"/>
      <c r="J116" s="86" t="s">
        <v>738</v>
      </c>
      <c r="K116" s="551">
        <f>IFERROR(ROUND(K114*$C98,0),0)</f>
        <v>0</v>
      </c>
      <c r="L116" s="394" t="s">
        <v>879</v>
      </c>
    </row>
    <row r="117" spans="1:26" s="78" customFormat="1" x14ac:dyDescent="0.2">
      <c r="A117" s="81"/>
      <c r="C117" s="212"/>
      <c r="D117" s="212"/>
      <c r="E117" s="212"/>
      <c r="F117" s="212"/>
      <c r="I117"/>
    </row>
    <row r="118" spans="1:26" customFormat="1" ht="13.5" thickBot="1" x14ac:dyDescent="0.25">
      <c r="T118" s="489"/>
      <c r="U118" s="489"/>
      <c r="V118" s="489"/>
      <c r="W118" s="489"/>
      <c r="X118" s="489"/>
      <c r="Y118" s="489"/>
      <c r="Z118" s="489"/>
    </row>
    <row r="119" spans="1:26" s="78" customFormat="1" ht="18.75" x14ac:dyDescent="0.2">
      <c r="A119" s="831" t="s">
        <v>123</v>
      </c>
      <c r="B119" s="829"/>
      <c r="C119" s="830"/>
      <c r="D119" s="830"/>
      <c r="E119" s="830"/>
      <c r="F119" s="830"/>
      <c r="G119" s="830"/>
      <c r="H119" s="829"/>
      <c r="I119" s="829"/>
      <c r="J119" s="829"/>
    </row>
    <row r="120" spans="1:26" s="78" customFormat="1" x14ac:dyDescent="0.2">
      <c r="A120" s="212"/>
      <c r="B120" s="212"/>
      <c r="C120" s="212"/>
      <c r="D120" s="212"/>
      <c r="E120" s="212"/>
      <c r="G120" s="212"/>
      <c r="H120" s="212"/>
    </row>
    <row r="121" spans="1:26" s="78" customFormat="1" x14ac:dyDescent="0.2">
      <c r="A121" s="212"/>
      <c r="B121" s="86" t="s">
        <v>875</v>
      </c>
      <c r="C121" s="212"/>
      <c r="D121" s="212"/>
      <c r="E121" s="212"/>
      <c r="F121" s="507">
        <f>'OSNOVNI PODATKI'!G383</f>
        <v>0</v>
      </c>
      <c r="H121" s="212"/>
      <c r="I121" s="212"/>
      <c r="J121" s="212"/>
    </row>
    <row r="122" spans="1:26" s="78" customFormat="1" x14ac:dyDescent="0.2">
      <c r="A122" s="212"/>
      <c r="B122" s="86" t="s">
        <v>876</v>
      </c>
      <c r="C122" s="210"/>
      <c r="D122" s="85"/>
      <c r="E122" s="85"/>
      <c r="F122" s="493">
        <f>'ARHIGRAM 6'!I16</f>
        <v>46</v>
      </c>
      <c r="G122" s="210"/>
      <c r="H122" s="210"/>
      <c r="I122" s="210"/>
      <c r="J122" s="210"/>
    </row>
    <row r="123" spans="1:26" s="78" customFormat="1" x14ac:dyDescent="0.2">
      <c r="A123" s="212"/>
      <c r="B123" s="212"/>
      <c r="C123" s="212"/>
      <c r="D123" s="212"/>
      <c r="E123" s="212"/>
      <c r="G123" s="212"/>
      <c r="H123" s="212"/>
      <c r="I123" s="212"/>
      <c r="J123" s="212"/>
    </row>
    <row r="124" spans="1:26" s="78" customFormat="1" x14ac:dyDescent="0.2">
      <c r="B124" s="86" t="str">
        <f>'OSNOVNI PODATKI'!$B$394</f>
        <v>PRIBITEK ZA PRENOVO</v>
      </c>
      <c r="C124" s="210"/>
      <c r="D124" s="85"/>
      <c r="E124" s="85"/>
      <c r="F124" s="314">
        <f>'OSNOVNI PODATKI'!$F$394</f>
        <v>0</v>
      </c>
      <c r="G124" s="210" t="str">
        <f>'OSNOVNI PODATKI'!G394</f>
        <v>upošteva se v vseh fazah, samo za storitve projektiranja</v>
      </c>
      <c r="H124" s="210"/>
      <c r="I124" s="210"/>
      <c r="J124" s="210"/>
    </row>
    <row r="125" spans="1:26" x14ac:dyDescent="0.2">
      <c r="B125" s="86" t="str">
        <f>'OSNOVNI PODATKI'!B404</f>
        <v>BREZ NAČRTA UTOROV IN PREBOJEV V NAČRTIH INŠTALACIJ</v>
      </c>
      <c r="C125" s="210"/>
      <c r="D125" s="85"/>
      <c r="E125" s="85"/>
      <c r="F125" s="662" t="str">
        <f>IF('OSNOVNI PODATKI'!F404=TRUE,"DA","NE")</f>
        <v>DA</v>
      </c>
      <c r="G125" s="210" t="str">
        <f>+'OSNOVNI PODATKI'!G404</f>
        <v>če je opcija izbrana, se v fazi 2.4 EI, SI, TH upošteva odbitek 4 %</v>
      </c>
      <c r="H125" s="210"/>
      <c r="I125" s="210"/>
      <c r="J125" s="210"/>
    </row>
    <row r="126" spans="1:26" x14ac:dyDescent="0.2">
      <c r="B126" s="86" t="str">
        <f>'OSNOVNI PODATKI'!B405</f>
        <v>BREZ PREVERJANJA MONTAŽNIH IN DELAVNIŠKIH NAČRTOV V TEHNIČNIH NAČRTIH</v>
      </c>
      <c r="C126" s="210"/>
      <c r="D126" s="85"/>
      <c r="E126" s="85"/>
      <c r="F126" s="662" t="str">
        <f>IF('OSNOVNI PODATKI'!F405=TRUE,"DA","NE")</f>
        <v>DA</v>
      </c>
      <c r="G126" s="210" t="str">
        <f>+'OSNOVNI PODATKI'!G405</f>
        <v>če je opcija izbrana, se v fazi 2.4 EI, SI, TH upošteva odbitek 4 %</v>
      </c>
      <c r="H126" s="210"/>
      <c r="I126" s="210"/>
      <c r="J126" s="210"/>
    </row>
    <row r="127" spans="1:26" s="78" customFormat="1" x14ac:dyDescent="0.2">
      <c r="B127" s="86" t="str">
        <f>'OSNOVNI PODATKI'!$B398</f>
        <v>PROJEKTANTSKI PREDRAČUN</v>
      </c>
      <c r="C127" s="210"/>
      <c r="D127" s="85"/>
      <c r="E127" s="85"/>
      <c r="F127" s="662" t="str">
        <f>IF('OSNOVNI PODATKI'!F398=TRUE,"DA","NE")</f>
        <v>NE</v>
      </c>
      <c r="G127" s="210"/>
      <c r="H127" s="210"/>
      <c r="I127" s="210"/>
      <c r="J127" s="210"/>
    </row>
    <row r="128" spans="1:26" s="78" customFormat="1" x14ac:dyDescent="0.2">
      <c r="B128" s="86" t="str">
        <f>'OSNOVNI PODATKI'!$B401</f>
        <v>GRADBENI NADZOR</v>
      </c>
      <c r="C128" s="210"/>
      <c r="D128" s="85"/>
      <c r="E128" s="85"/>
      <c r="F128" s="662" t="str">
        <f>IF('OSNOVNI PODATKI'!F401=TRUE,"DA","NE")</f>
        <v>NE</v>
      </c>
      <c r="G128" s="664"/>
      <c r="H128" s="210"/>
      <c r="I128" s="210"/>
      <c r="J128" s="210"/>
    </row>
    <row r="129" spans="1:10" s="78" customFormat="1" x14ac:dyDescent="0.2">
      <c r="B129" s="300"/>
      <c r="D129" s="302"/>
      <c r="E129" s="302"/>
      <c r="F129" s="871"/>
      <c r="G129" s="872"/>
    </row>
    <row r="130" spans="1:10" s="78" customFormat="1" x14ac:dyDescent="0.2">
      <c r="B130" s="207"/>
      <c r="D130" s="79"/>
      <c r="E130" s="79"/>
      <c r="F130" s="871"/>
      <c r="G130" s="872"/>
    </row>
    <row r="131" spans="1:10" s="2" customFormat="1" x14ac:dyDescent="0.2">
      <c r="A131" s="78"/>
      <c r="B131" s="213" t="s">
        <v>975</v>
      </c>
      <c r="C131" s="213"/>
      <c r="D131" s="213"/>
      <c r="E131" s="213"/>
      <c r="F131" s="213"/>
      <c r="G131" s="213"/>
      <c r="H131" s="213"/>
      <c r="I131" s="213"/>
      <c r="J131" s="213"/>
    </row>
    <row r="132" spans="1:10" x14ac:dyDescent="0.2">
      <c r="A132" s="212"/>
      <c r="B132" s="214"/>
      <c r="C132" s="214"/>
      <c r="D132" s="214"/>
      <c r="E132" s="214"/>
      <c r="F132" s="214"/>
      <c r="G132" s="214"/>
      <c r="H132" s="214"/>
      <c r="I132" s="214"/>
      <c r="J132" s="214"/>
    </row>
    <row r="133" spans="1:10" ht="38.25" x14ac:dyDescent="0.2">
      <c r="A133" s="107"/>
      <c r="B133" s="108"/>
      <c r="C133" s="108"/>
      <c r="D133" s="108"/>
      <c r="E133" s="109" t="s">
        <v>25</v>
      </c>
      <c r="F133" s="303" t="s">
        <v>484</v>
      </c>
      <c r="G133" s="620" t="s">
        <v>57</v>
      </c>
      <c r="H133" s="110" t="s">
        <v>70</v>
      </c>
      <c r="I133" s="421" t="s">
        <v>915</v>
      </c>
      <c r="J133" s="421" t="s">
        <v>917</v>
      </c>
    </row>
    <row r="134" spans="1:10" ht="14.25" x14ac:dyDescent="0.2">
      <c r="A134" s="103" t="s">
        <v>29</v>
      </c>
      <c r="B134" s="104" t="s">
        <v>30</v>
      </c>
      <c r="C134" s="104"/>
      <c r="D134" s="104"/>
      <c r="E134" s="105"/>
      <c r="F134" s="105"/>
      <c r="G134" s="621"/>
      <c r="H134" s="106"/>
      <c r="I134" s="13"/>
    </row>
    <row r="135" spans="1:10" ht="14.25" x14ac:dyDescent="0.2">
      <c r="A135" s="87" t="s">
        <v>31</v>
      </c>
      <c r="B135" s="99" t="s">
        <v>65</v>
      </c>
      <c r="C135" s="99"/>
      <c r="D135" s="99"/>
      <c r="E135" s="88"/>
      <c r="F135" s="88"/>
      <c r="G135" s="622"/>
      <c r="H135" s="89" t="str">
        <f>IF(J142=TRUE,G135*'VREDNOST NU'!#REF!,"")</f>
        <v/>
      </c>
      <c r="I135" s="13"/>
    </row>
    <row r="136" spans="1:10" ht="14.25" x14ac:dyDescent="0.2">
      <c r="A136" s="112" t="s">
        <v>32</v>
      </c>
      <c r="B136" s="113" t="s">
        <v>66</v>
      </c>
      <c r="C136" s="113"/>
      <c r="D136" s="113"/>
      <c r="E136" s="114"/>
      <c r="F136" s="114"/>
      <c r="G136" s="623"/>
      <c r="H136" s="93" t="str">
        <f>IF(J143=TRUE,G136*'VREDNOST NU'!#REF!,"")</f>
        <v/>
      </c>
      <c r="I136" s="13"/>
    </row>
    <row r="137" spans="1:10" x14ac:dyDescent="0.2">
      <c r="A137" s="111" t="s">
        <v>33</v>
      </c>
      <c r="B137" s="104" t="s">
        <v>34</v>
      </c>
      <c r="C137" s="104"/>
      <c r="D137" s="104"/>
      <c r="E137" s="105">
        <f>SUM(E138:E140)</f>
        <v>0.02</v>
      </c>
      <c r="F137" s="105">
        <f>SUM(F138:F140)</f>
        <v>0.02</v>
      </c>
      <c r="G137" s="627">
        <f>SUM(G138:G140)</f>
        <v>0</v>
      </c>
      <c r="H137" s="106">
        <f>SUM(H138:H140)</f>
        <v>0</v>
      </c>
      <c r="I137" s="127" t="e">
        <f>H137/'OSNOVNI PODATKI'!$E$329</f>
        <v>#DIV/0!</v>
      </c>
      <c r="J137" s="127" t="e">
        <f>H137/'OSNOVNI PODATKI'!$E$331</f>
        <v>#DIV/0!</v>
      </c>
    </row>
    <row r="138" spans="1:10" s="78" customFormat="1" ht="14.25" x14ac:dyDescent="0.2">
      <c r="A138" s="90" t="s">
        <v>35</v>
      </c>
      <c r="B138" s="98" t="s">
        <v>67</v>
      </c>
      <c r="C138" s="98"/>
      <c r="D138" s="98"/>
      <c r="E138" s="88">
        <v>0.01</v>
      </c>
      <c r="F138" s="88">
        <f>E138*(100%+$F$124)</f>
        <v>0.01</v>
      </c>
      <c r="G138" s="628">
        <f>F138*$F$121</f>
        <v>0</v>
      </c>
      <c r="H138" s="89">
        <f>+G138*'ARHIGRAM 6'!$I$16</f>
        <v>0</v>
      </c>
      <c r="I138" s="13"/>
    </row>
    <row r="139" spans="1:10" s="2" customFormat="1" ht="14.25" x14ac:dyDescent="0.2">
      <c r="A139" s="90" t="s">
        <v>36</v>
      </c>
      <c r="B139" s="98" t="s">
        <v>68</v>
      </c>
      <c r="C139" s="98"/>
      <c r="D139" s="98"/>
      <c r="E139" s="88">
        <v>0.01</v>
      </c>
      <c r="F139" s="88">
        <f>E139*(100%+$F$124)</f>
        <v>0.01</v>
      </c>
      <c r="G139" s="628">
        <f>F139*$F$121</f>
        <v>0</v>
      </c>
      <c r="H139" s="89">
        <f>+G139*'ARHIGRAM 6'!$I$16</f>
        <v>0</v>
      </c>
      <c r="I139" s="13"/>
    </row>
    <row r="140" spans="1:10" s="12" customFormat="1" ht="14.25" x14ac:dyDescent="0.25">
      <c r="A140" s="116" t="s">
        <v>37</v>
      </c>
      <c r="B140" s="117" t="s">
        <v>844</v>
      </c>
      <c r="C140" s="117"/>
      <c r="D140" s="117"/>
      <c r="E140" s="114">
        <v>0</v>
      </c>
      <c r="F140" s="114">
        <f>E140*(100%+$F$124)</f>
        <v>0</v>
      </c>
      <c r="G140" s="629">
        <f>F140*$F$121</f>
        <v>0</v>
      </c>
      <c r="H140" s="93">
        <f>+G140*'ARHIGRAM 6'!$I$16</f>
        <v>0</v>
      </c>
      <c r="I140" s="13"/>
    </row>
    <row r="141" spans="1:10" s="13" customFormat="1" ht="14.25" x14ac:dyDescent="0.2">
      <c r="A141" s="115">
        <v>2</v>
      </c>
      <c r="B141" s="104" t="s">
        <v>38</v>
      </c>
      <c r="C141" s="104"/>
      <c r="D141" s="104"/>
      <c r="E141" s="105">
        <f>SUM(E142:E147)</f>
        <v>0.57000000000000006</v>
      </c>
      <c r="F141" s="105">
        <f>SUM(F142:F147)</f>
        <v>0.49000000000000005</v>
      </c>
      <c r="G141" s="630">
        <f>SUM(G142:G147)</f>
        <v>0</v>
      </c>
      <c r="H141" s="106">
        <f>SUM(H142:H147)</f>
        <v>0</v>
      </c>
      <c r="I141" s="127" t="e">
        <f>H141/'OSNOVNI PODATKI'!$E$329</f>
        <v>#DIV/0!</v>
      </c>
      <c r="J141" s="127" t="e">
        <f>H141/'OSNOVNI PODATKI'!$E$331</f>
        <v>#DIV/0!</v>
      </c>
    </row>
    <row r="142" spans="1:10" s="13" customFormat="1" ht="14.25" x14ac:dyDescent="0.2">
      <c r="A142" s="90" t="s">
        <v>51</v>
      </c>
      <c r="B142" s="98" t="s">
        <v>95</v>
      </c>
      <c r="C142" s="98"/>
      <c r="D142" s="98"/>
      <c r="E142" s="101">
        <v>0.09</v>
      </c>
      <c r="F142" s="101">
        <f>E142*(100%+$F$124)</f>
        <v>0.09</v>
      </c>
      <c r="G142" s="628">
        <f>F142*$F$121</f>
        <v>0</v>
      </c>
      <c r="H142" s="89">
        <f>+G142*'ARHIGRAM 6'!$I$16</f>
        <v>0</v>
      </c>
    </row>
    <row r="143" spans="1:10" s="13" customFormat="1" ht="14.25" x14ac:dyDescent="0.2">
      <c r="A143" s="91" t="s">
        <v>52</v>
      </c>
      <c r="B143" s="102" t="s">
        <v>744</v>
      </c>
      <c r="C143" s="102"/>
      <c r="D143" s="102"/>
      <c r="E143" s="101">
        <v>0.19</v>
      </c>
      <c r="F143" s="101">
        <f>E143*(100%+$F$124)</f>
        <v>0.19</v>
      </c>
      <c r="G143" s="628">
        <f>F143*$F$121</f>
        <v>0</v>
      </c>
      <c r="H143" s="89">
        <f>+G143*'ARHIGRAM 6'!$I$16</f>
        <v>0</v>
      </c>
    </row>
    <row r="144" spans="1:10" s="13" customFormat="1" ht="14.25" x14ac:dyDescent="0.2">
      <c r="A144" s="91" t="s">
        <v>53</v>
      </c>
      <c r="B144" s="102" t="s">
        <v>848</v>
      </c>
      <c r="C144" s="102"/>
      <c r="D144" s="102"/>
      <c r="E144" s="101"/>
      <c r="F144" s="101"/>
      <c r="G144" s="628"/>
      <c r="H144" s="89"/>
    </row>
    <row r="145" spans="1:27" s="13" customFormat="1" ht="14.25" x14ac:dyDescent="0.2">
      <c r="A145" s="91" t="s">
        <v>96</v>
      </c>
      <c r="B145" s="102" t="s">
        <v>745</v>
      </c>
      <c r="C145" s="102"/>
      <c r="D145" s="102"/>
      <c r="E145" s="101">
        <v>0.22</v>
      </c>
      <c r="F145" s="101">
        <f>(E145+IF(F125="DA",-4%,0%)+IF(F126="DA",-4%,0%))*(100%+F124)</f>
        <v>0.13999999999999999</v>
      </c>
      <c r="G145" s="628">
        <f>F145*$F$121</f>
        <v>0</v>
      </c>
      <c r="H145" s="89">
        <f>+G145*'ARHIGRAM 6'!$I$16</f>
        <v>0</v>
      </c>
    </row>
    <row r="146" spans="1:27" s="13" customFormat="1" ht="14.25" x14ac:dyDescent="0.2">
      <c r="A146" s="91" t="s">
        <v>97</v>
      </c>
      <c r="B146" s="102" t="s">
        <v>845</v>
      </c>
      <c r="C146" s="102"/>
      <c r="D146" s="102"/>
      <c r="E146" s="101">
        <v>0.05</v>
      </c>
      <c r="F146" s="101">
        <f>E146*(100%+$F$124)</f>
        <v>0.05</v>
      </c>
      <c r="G146" s="628">
        <f>F146*$F$121</f>
        <v>0</v>
      </c>
      <c r="H146" s="89">
        <f>+G146*'ARHIGRAM 6'!$I$16</f>
        <v>0</v>
      </c>
    </row>
    <row r="147" spans="1:27" s="800" customFormat="1" ht="14.25" x14ac:dyDescent="0.2">
      <c r="A147" s="852"/>
      <c r="B147" s="853" t="s">
        <v>965</v>
      </c>
      <c r="C147" s="853"/>
      <c r="D147" s="853"/>
      <c r="E147" s="854">
        <v>0.02</v>
      </c>
      <c r="F147" s="873">
        <f>E147*(100%+$F$124)</f>
        <v>0.02</v>
      </c>
      <c r="G147" s="874">
        <f t="shared" ref="G147" si="0">F147*$F$121</f>
        <v>0</v>
      </c>
      <c r="H147" s="857">
        <f t="shared" ref="H147" si="1">+G147*$F$122</f>
        <v>0</v>
      </c>
      <c r="K147" s="13"/>
      <c r="L147" s="13"/>
      <c r="M147" s="13"/>
      <c r="N147" s="13"/>
      <c r="O147" s="13"/>
      <c r="P147" s="13"/>
      <c r="Q147" s="13"/>
      <c r="R147" s="13"/>
      <c r="S147" s="13"/>
      <c r="T147" s="13"/>
      <c r="U147" s="13"/>
      <c r="V147" s="13"/>
      <c r="W147" s="13"/>
      <c r="X147" s="13"/>
      <c r="Y147" s="13"/>
      <c r="Z147" s="13"/>
      <c r="AA147" s="13"/>
    </row>
    <row r="148" spans="1:27" s="13" customFormat="1" ht="14.25" x14ac:dyDescent="0.2">
      <c r="A148" s="118" t="s">
        <v>39</v>
      </c>
      <c r="B148" s="104" t="s">
        <v>122</v>
      </c>
      <c r="C148" s="104"/>
      <c r="D148" s="104"/>
      <c r="E148" s="105">
        <f>SUM(E149:E150)</f>
        <v>0.05</v>
      </c>
      <c r="F148" s="105">
        <f>SUM(F149:F150)</f>
        <v>0.05</v>
      </c>
      <c r="G148" s="627">
        <f>SUM(G149:G150)</f>
        <v>0</v>
      </c>
      <c r="H148" s="106">
        <f>SUM(H149:H150)</f>
        <v>0</v>
      </c>
      <c r="I148" s="127" t="e">
        <f>H148/'OSNOVNI PODATKI'!$E$329</f>
        <v>#DIV/0!</v>
      </c>
      <c r="J148" s="127" t="e">
        <f>H148/'OSNOVNI PODATKI'!$E$331</f>
        <v>#DIV/0!</v>
      </c>
    </row>
    <row r="149" spans="1:27" s="13" customFormat="1" ht="14.25" x14ac:dyDescent="0.2">
      <c r="A149" s="91" t="s">
        <v>40</v>
      </c>
      <c r="B149" s="97" t="s">
        <v>846</v>
      </c>
      <c r="C149" s="97"/>
      <c r="D149" s="97"/>
      <c r="E149" s="88">
        <v>0.03</v>
      </c>
      <c r="F149" s="88">
        <f>E149*(100%+$F$124)</f>
        <v>0.03</v>
      </c>
      <c r="G149" s="628">
        <f>F149*$F$121</f>
        <v>0</v>
      </c>
      <c r="H149" s="89">
        <f>+G149*'ARHIGRAM 6'!$I$16</f>
        <v>0</v>
      </c>
    </row>
    <row r="150" spans="1:27" s="13" customFormat="1" ht="14.25" x14ac:dyDescent="0.2">
      <c r="A150" s="119" t="s">
        <v>41</v>
      </c>
      <c r="B150" s="92" t="s">
        <v>202</v>
      </c>
      <c r="C150" s="92"/>
      <c r="D150" s="92"/>
      <c r="E150" s="114">
        <v>0.02</v>
      </c>
      <c r="F150" s="114">
        <f>E150*(100%+$F$124)</f>
        <v>0.02</v>
      </c>
      <c r="G150" s="629">
        <f>F150*$F$121</f>
        <v>0</v>
      </c>
      <c r="H150" s="93">
        <f>+G150*'ARHIGRAM 6'!$I$16</f>
        <v>0</v>
      </c>
    </row>
    <row r="151" spans="1:27" s="13" customFormat="1" ht="14.25" x14ac:dyDescent="0.2">
      <c r="A151" s="122">
        <v>4</v>
      </c>
      <c r="B151" s="104" t="s">
        <v>60</v>
      </c>
      <c r="C151" s="104"/>
      <c r="D151" s="104"/>
      <c r="E151" s="105">
        <f>SUM(E152:E159)</f>
        <v>0.35000000000000009</v>
      </c>
      <c r="F151" s="105">
        <f>SUM(F152:F159)</f>
        <v>0.35000000000000009</v>
      </c>
      <c r="G151" s="627">
        <f>SUM(G152:G159)</f>
        <v>0</v>
      </c>
      <c r="H151" s="106">
        <f>SUM(H152:H159)</f>
        <v>0</v>
      </c>
      <c r="I151" s="127" t="e">
        <f>H151/'OSNOVNI PODATKI'!$E$329</f>
        <v>#DIV/0!</v>
      </c>
      <c r="J151" s="127" t="e">
        <f>H151/'OSNOVNI PODATKI'!$E$331</f>
        <v>#DIV/0!</v>
      </c>
    </row>
    <row r="152" spans="1:27" s="13" customFormat="1" ht="14.25" x14ac:dyDescent="0.2">
      <c r="A152" s="91" t="s">
        <v>42</v>
      </c>
      <c r="B152" s="97" t="s">
        <v>203</v>
      </c>
      <c r="C152" s="97"/>
      <c r="D152" s="97"/>
      <c r="E152" s="88">
        <v>0</v>
      </c>
      <c r="F152" s="88">
        <f>E152*(100%+$F$124)</f>
        <v>0</v>
      </c>
      <c r="G152" s="628">
        <f>F152*$F$121</f>
        <v>0</v>
      </c>
      <c r="H152" s="89">
        <f>+G152*'ARHIGRAM 6'!$I$16</f>
        <v>0</v>
      </c>
    </row>
    <row r="153" spans="1:27" s="13" customFormat="1" ht="14.25" x14ac:dyDescent="0.2">
      <c r="A153" s="91" t="s">
        <v>43</v>
      </c>
      <c r="B153" s="97" t="s">
        <v>865</v>
      </c>
      <c r="C153" s="97"/>
      <c r="D153" s="97"/>
      <c r="E153" s="88">
        <v>7.0000000000000007E-2</v>
      </c>
      <c r="F153" s="88">
        <f>E153*(100%+$F$124)</f>
        <v>7.0000000000000007E-2</v>
      </c>
      <c r="G153" s="628">
        <f>F153*$F$121</f>
        <v>0</v>
      </c>
      <c r="H153" s="89">
        <f>+G153*'ARHIGRAM 6'!$I$16</f>
        <v>0</v>
      </c>
    </row>
    <row r="154" spans="1:27" s="800" customFormat="1" ht="14.25" x14ac:dyDescent="0.2">
      <c r="A154" s="795"/>
      <c r="B154" s="796" t="s">
        <v>505</v>
      </c>
      <c r="C154" s="796"/>
      <c r="D154" s="796"/>
      <c r="E154" s="794">
        <v>0.23</v>
      </c>
      <c r="F154" s="801">
        <f t="shared" ref="F154" si="2">E154*(100%+$F$124)</f>
        <v>0.23</v>
      </c>
      <c r="G154" s="846">
        <f t="shared" ref="G154" si="3">F154*$F$121</f>
        <v>0</v>
      </c>
      <c r="H154" s="803">
        <f t="shared" ref="H154" si="4">+G154*$F$122</f>
        <v>0</v>
      </c>
      <c r="K154" s="13"/>
      <c r="L154" s="13"/>
      <c r="M154" s="13"/>
      <c r="N154" s="13"/>
      <c r="O154" s="13"/>
      <c r="P154" s="13"/>
      <c r="Q154" s="13"/>
      <c r="R154" s="13"/>
      <c r="S154" s="13"/>
      <c r="T154" s="13"/>
      <c r="U154" s="13"/>
      <c r="V154" s="13"/>
      <c r="W154" s="13"/>
      <c r="X154" s="13"/>
      <c r="Y154" s="13"/>
      <c r="Z154" s="13"/>
      <c r="AA154" s="13"/>
    </row>
    <row r="155" spans="1:27" s="13" customFormat="1" ht="14.25" x14ac:dyDescent="0.2">
      <c r="A155" s="91" t="s">
        <v>44</v>
      </c>
      <c r="B155" s="97" t="s">
        <v>963</v>
      </c>
      <c r="C155" s="97"/>
      <c r="D155" s="97"/>
      <c r="E155" s="88">
        <v>6.0000000000000001E-3</v>
      </c>
      <c r="F155" s="88">
        <f>E155*(100%+$F$124)</f>
        <v>6.0000000000000001E-3</v>
      </c>
      <c r="G155" s="628">
        <f>F155*$F$121</f>
        <v>0</v>
      </c>
      <c r="H155" s="89">
        <f>+G155*'ARHIGRAM 6'!$I$16</f>
        <v>0</v>
      </c>
    </row>
    <row r="156" spans="1:27" s="800" customFormat="1" ht="14.25" x14ac:dyDescent="0.2">
      <c r="A156" s="795"/>
      <c r="B156" s="796" t="s">
        <v>505</v>
      </c>
      <c r="C156" s="796"/>
      <c r="D156" s="796"/>
      <c r="E156" s="794">
        <v>4.0000000000000001E-3</v>
      </c>
      <c r="F156" s="801">
        <f t="shared" ref="F156" si="5">E156*(100%+$F$124)</f>
        <v>4.0000000000000001E-3</v>
      </c>
      <c r="G156" s="846">
        <f t="shared" ref="G156" si="6">F156*$F$121</f>
        <v>0</v>
      </c>
      <c r="H156" s="803">
        <f t="shared" ref="H156" si="7">+G156*$F$122</f>
        <v>0</v>
      </c>
      <c r="K156" s="13"/>
      <c r="L156" s="13"/>
      <c r="M156" s="13"/>
      <c r="N156" s="13"/>
      <c r="O156" s="13"/>
      <c r="P156" s="13"/>
      <c r="Q156" s="13"/>
      <c r="R156" s="13"/>
      <c r="S156" s="13"/>
      <c r="T156" s="13"/>
      <c r="U156" s="13"/>
      <c r="V156" s="13"/>
      <c r="W156" s="13"/>
      <c r="X156" s="13"/>
      <c r="Y156" s="13"/>
      <c r="Z156" s="13"/>
      <c r="AA156" s="13"/>
    </row>
    <row r="157" spans="1:27" s="13" customFormat="1" ht="14.25" x14ac:dyDescent="0.2">
      <c r="A157" s="91" t="s">
        <v>45</v>
      </c>
      <c r="B157" s="97" t="s">
        <v>866</v>
      </c>
      <c r="C157" s="97"/>
      <c r="D157" s="97"/>
      <c r="E157" s="88">
        <v>1.2E-2</v>
      </c>
      <c r="F157" s="88">
        <f>E157*(100%+$F$124)</f>
        <v>1.2E-2</v>
      </c>
      <c r="G157" s="628">
        <f>F157*$F$121</f>
        <v>0</v>
      </c>
      <c r="H157" s="89">
        <f>+G157*'ARHIGRAM 6'!$I$16</f>
        <v>0</v>
      </c>
    </row>
    <row r="158" spans="1:27" s="800" customFormat="1" ht="14.25" x14ac:dyDescent="0.2">
      <c r="A158" s="795"/>
      <c r="B158" s="796" t="s">
        <v>505</v>
      </c>
      <c r="C158" s="796"/>
      <c r="D158" s="796"/>
      <c r="E158" s="794">
        <v>8.0000000000000002E-3</v>
      </c>
      <c r="F158" s="801">
        <f t="shared" ref="F158" si="8">E158*(100%+$F$124)</f>
        <v>8.0000000000000002E-3</v>
      </c>
      <c r="G158" s="846">
        <f t="shared" ref="G158" si="9">F158*$F$121</f>
        <v>0</v>
      </c>
      <c r="H158" s="803">
        <f t="shared" ref="H158" si="10">+G158*$F$122</f>
        <v>0</v>
      </c>
      <c r="K158" s="13"/>
      <c r="L158" s="13"/>
      <c r="M158" s="13"/>
      <c r="N158" s="13"/>
      <c r="O158" s="13"/>
      <c r="P158" s="13"/>
      <c r="Q158" s="13"/>
      <c r="R158" s="13"/>
      <c r="S158" s="13"/>
      <c r="T158" s="13"/>
      <c r="U158" s="13"/>
      <c r="V158" s="13"/>
      <c r="W158" s="13"/>
      <c r="X158" s="13"/>
      <c r="Y158" s="13"/>
      <c r="Z158" s="13"/>
      <c r="AA158" s="13"/>
    </row>
    <row r="159" spans="1:27" s="13" customFormat="1" ht="14.25" x14ac:dyDescent="0.2">
      <c r="A159" s="119" t="s">
        <v>46</v>
      </c>
      <c r="B159" s="92" t="s">
        <v>847</v>
      </c>
      <c r="C159" s="92"/>
      <c r="D159" s="92"/>
      <c r="E159" s="114">
        <v>0.02</v>
      </c>
      <c r="F159" s="114">
        <f>E159*(100%+$F$124)</f>
        <v>0.02</v>
      </c>
      <c r="G159" s="629">
        <f>F159*$F$121</f>
        <v>0</v>
      </c>
      <c r="H159" s="93">
        <f>+G159*'ARHIGRAM 6'!$I$16</f>
        <v>0</v>
      </c>
    </row>
    <row r="160" spans="1:27" s="13" customFormat="1" ht="14.25" x14ac:dyDescent="0.2">
      <c r="A160" s="123">
        <v>5</v>
      </c>
      <c r="B160" s="104" t="s">
        <v>47</v>
      </c>
      <c r="C160" s="104"/>
      <c r="D160" s="104"/>
      <c r="E160" s="105">
        <f>SUM(E161:E162)</f>
        <v>0.01</v>
      </c>
      <c r="F160" s="105">
        <f>SUM(F161:F162)</f>
        <v>0.01</v>
      </c>
      <c r="G160" s="627">
        <f>SUM(G161:G162)</f>
        <v>0</v>
      </c>
      <c r="H160" s="106">
        <f>SUM(H161:H162)</f>
        <v>0</v>
      </c>
      <c r="I160" s="127" t="e">
        <f>H160/'OSNOVNI PODATKI'!$E$329</f>
        <v>#DIV/0!</v>
      </c>
      <c r="J160" s="127" t="e">
        <f>H160/'OSNOVNI PODATKI'!$E$331</f>
        <v>#DIV/0!</v>
      </c>
    </row>
    <row r="161" spans="1:10" s="13" customFormat="1" ht="14.25" x14ac:dyDescent="0.2">
      <c r="A161" s="91" t="s">
        <v>48</v>
      </c>
      <c r="B161" s="100" t="s">
        <v>205</v>
      </c>
      <c r="C161" s="100"/>
      <c r="D161" s="100"/>
      <c r="E161" s="88">
        <v>5.0000000000000001E-3</v>
      </c>
      <c r="F161" s="88">
        <f>E161*(100%+$F$124)</f>
        <v>5.0000000000000001E-3</v>
      </c>
      <c r="G161" s="628">
        <f>F161*$F$121</f>
        <v>0</v>
      </c>
      <c r="H161" s="89">
        <f>+G161*'ARHIGRAM 6'!$I$16</f>
        <v>0</v>
      </c>
    </row>
    <row r="162" spans="1:10" s="13" customFormat="1" ht="14.25" x14ac:dyDescent="0.2">
      <c r="A162" s="119" t="s">
        <v>49</v>
      </c>
      <c r="B162" s="125" t="s">
        <v>206</v>
      </c>
      <c r="C162" s="125"/>
      <c r="D162" s="125"/>
      <c r="E162" s="114">
        <v>5.0000000000000001E-3</v>
      </c>
      <c r="F162" s="114">
        <f>E162*(100%+$F$124)</f>
        <v>5.0000000000000001E-3</v>
      </c>
      <c r="G162" s="629">
        <f>F162*$F$121</f>
        <v>0</v>
      </c>
      <c r="H162" s="93">
        <f>+G162*'ARHIGRAM 6'!$I$16</f>
        <v>0</v>
      </c>
    </row>
    <row r="163" spans="1:10" s="13" customFormat="1" ht="14.25" x14ac:dyDescent="0.2">
      <c r="A163" s="124">
        <v>6</v>
      </c>
      <c r="B163" s="104" t="s">
        <v>50</v>
      </c>
      <c r="C163" s="104"/>
      <c r="D163" s="104"/>
      <c r="E163" s="105"/>
      <c r="F163" s="105"/>
      <c r="G163" s="621"/>
      <c r="H163" s="106"/>
    </row>
    <row r="164" spans="1:10" s="13" customFormat="1" ht="14.25" x14ac:dyDescent="0.2">
      <c r="A164" s="91" t="s">
        <v>54</v>
      </c>
      <c r="B164" s="100" t="s">
        <v>207</v>
      </c>
      <c r="C164" s="100"/>
      <c r="D164" s="100"/>
      <c r="E164" s="88"/>
      <c r="F164" s="88"/>
      <c r="G164" s="622"/>
      <c r="H164" s="89"/>
    </row>
    <row r="165" spans="1:10" s="13" customFormat="1" ht="14.25" x14ac:dyDescent="0.2">
      <c r="A165" s="91" t="s">
        <v>55</v>
      </c>
      <c r="B165" s="100" t="s">
        <v>208</v>
      </c>
      <c r="C165" s="100"/>
      <c r="D165" s="100"/>
      <c r="E165" s="88"/>
      <c r="F165" s="88"/>
      <c r="G165" s="622"/>
      <c r="H165" s="89"/>
    </row>
    <row r="166" spans="1:10" s="13" customFormat="1" ht="14.25" x14ac:dyDescent="0.2">
      <c r="A166" s="119" t="s">
        <v>56</v>
      </c>
      <c r="B166" s="125" t="s">
        <v>209</v>
      </c>
      <c r="C166" s="125"/>
      <c r="D166" s="125"/>
      <c r="E166" s="114"/>
      <c r="F166" s="114"/>
      <c r="G166" s="623"/>
      <c r="H166" s="93"/>
    </row>
    <row r="167" spans="1:10" s="13" customFormat="1" ht="14.25" x14ac:dyDescent="0.2">
      <c r="A167" s="94"/>
      <c r="B167" s="95"/>
      <c r="C167" s="95"/>
      <c r="D167" s="95"/>
      <c r="E167" s="96"/>
      <c r="F167" s="96"/>
      <c r="G167" s="624"/>
      <c r="H167" s="95"/>
    </row>
    <row r="168" spans="1:10" s="13" customFormat="1" ht="14.25" x14ac:dyDescent="0.2">
      <c r="A168" s="128"/>
      <c r="B168" s="129" t="s">
        <v>1</v>
      </c>
      <c r="C168" s="129"/>
      <c r="D168" s="129"/>
      <c r="E168" s="130">
        <f>E134+E137+E141+E148+E151+E160+E163</f>
        <v>1.0000000000000002</v>
      </c>
      <c r="F168" s="130">
        <f>F134+F137+F141+F148+F151+F160+F163</f>
        <v>0.92000000000000015</v>
      </c>
      <c r="G168" s="625">
        <f>G134+G137+G141+G148+G151+G160+G163</f>
        <v>0</v>
      </c>
      <c r="H168" s="131">
        <f>H134+H137+H141+H148+H151+H160+H163</f>
        <v>0</v>
      </c>
      <c r="I168" s="127" t="e">
        <f>H168/'OSNOVNI PODATKI'!$E$329</f>
        <v>#DIV/0!</v>
      </c>
      <c r="J168" s="127" t="e">
        <f>H168/'OSNOVNI PODATKI'!$E$331</f>
        <v>#DIV/0!</v>
      </c>
    </row>
    <row r="169" spans="1:10" s="13" customFormat="1" ht="14.25" x14ac:dyDescent="0.2">
      <c r="A169" s="29"/>
      <c r="B169" s="126"/>
      <c r="E169" s="30"/>
      <c r="G169" s="30"/>
      <c r="H169" s="127"/>
    </row>
    <row r="170" spans="1:10" s="13" customFormat="1" ht="14.25" x14ac:dyDescent="0.2">
      <c r="A170" s="29"/>
      <c r="B170" s="126"/>
      <c r="E170" s="30"/>
      <c r="G170" s="30"/>
      <c r="H170" s="127"/>
    </row>
    <row r="171" spans="1:10" s="13" customFormat="1" ht="15" thickBot="1" x14ac:dyDescent="0.25">
      <c r="A171" s="76"/>
      <c r="B171" s="76"/>
      <c r="C171" s="76"/>
      <c r="D171" s="76"/>
      <c r="E171" s="76"/>
      <c r="F171" s="76"/>
      <c r="G171" s="76"/>
    </row>
    <row r="172" spans="1:10" s="13" customFormat="1" ht="18.75" x14ac:dyDescent="0.2">
      <c r="A172" s="831" t="s">
        <v>124</v>
      </c>
      <c r="B172" s="831"/>
      <c r="C172" s="831"/>
      <c r="D172" s="831"/>
      <c r="E172" s="831"/>
      <c r="F172" s="831"/>
      <c r="G172" s="831"/>
      <c r="H172" s="831"/>
      <c r="I172" s="831"/>
      <c r="J172" s="831"/>
    </row>
    <row r="173" spans="1:10" s="78" customFormat="1" x14ac:dyDescent="0.2">
      <c r="A173" s="212"/>
      <c r="B173" s="212"/>
      <c r="C173" s="752"/>
      <c r="D173" s="752"/>
      <c r="E173" s="752"/>
      <c r="F173" s="640"/>
      <c r="G173" s="752"/>
      <c r="H173" s="752"/>
    </row>
    <row r="174" spans="1:10" s="78" customFormat="1" x14ac:dyDescent="0.2">
      <c r="A174" s="212"/>
      <c r="B174" s="86" t="s">
        <v>875</v>
      </c>
      <c r="C174" s="212"/>
      <c r="D174" s="212"/>
      <c r="E174" s="212"/>
      <c r="F174" s="507">
        <f>'OSNOVNI PODATKI'!G384</f>
        <v>0</v>
      </c>
      <c r="G174" s="640"/>
      <c r="H174" s="212"/>
    </row>
    <row r="175" spans="1:10" s="78" customFormat="1" x14ac:dyDescent="0.2">
      <c r="A175" s="212"/>
      <c r="B175" s="86" t="s">
        <v>876</v>
      </c>
      <c r="C175" s="210"/>
      <c r="D175" s="85"/>
      <c r="E175" s="85"/>
      <c r="F175" s="493">
        <f>'ARHIGRAM 6'!$I$16</f>
        <v>46</v>
      </c>
      <c r="G175" s="210"/>
      <c r="H175" s="210"/>
    </row>
    <row r="176" spans="1:10" s="78" customFormat="1" x14ac:dyDescent="0.2">
      <c r="A176" s="212"/>
      <c r="B176" s="212"/>
      <c r="C176" s="212"/>
      <c r="D176" s="212"/>
      <c r="E176" s="212"/>
      <c r="G176" s="210"/>
      <c r="H176" s="212"/>
    </row>
    <row r="177" spans="1:10" s="78" customFormat="1" x14ac:dyDescent="0.2">
      <c r="B177" s="86" t="str">
        <f>'OSNOVNI PODATKI'!$B$394</f>
        <v>PRIBITEK ZA PRENOVO</v>
      </c>
      <c r="C177" s="210"/>
      <c r="D177" s="85"/>
      <c r="E177" s="85"/>
      <c r="F177" s="314">
        <f>'OSNOVNI PODATKI'!F394</f>
        <v>0</v>
      </c>
      <c r="G177" s="210" t="str">
        <f t="shared" ref="G177:G179" si="11">G124</f>
        <v>upošteva se v vseh fazah, samo za storitve projektiranja</v>
      </c>
      <c r="H177" s="210"/>
    </row>
    <row r="178" spans="1:10" x14ac:dyDescent="0.2">
      <c r="B178" s="86" t="str">
        <f>'OSNOVNI PODATKI'!B404</f>
        <v>BREZ NAČRTA UTOROV IN PREBOJEV V NAČRTIH INŠTALACIJ</v>
      </c>
      <c r="C178" s="210"/>
      <c r="D178" s="85"/>
      <c r="E178" s="85"/>
      <c r="F178" s="662" t="str">
        <f>IF('OSNOVNI PODATKI'!F404=TRUE,"DA","NE")</f>
        <v>DA</v>
      </c>
      <c r="G178" s="875" t="str">
        <f t="shared" si="11"/>
        <v>če je opcija izbrana, se v fazi 2.4 EI, SI, TH upošteva odbitek 4 %</v>
      </c>
      <c r="H178" s="210"/>
    </row>
    <row r="179" spans="1:10" x14ac:dyDescent="0.2">
      <c r="B179" s="86" t="str">
        <f>'OSNOVNI PODATKI'!B405</f>
        <v>BREZ PREVERJANJA MONTAŽNIH IN DELAVNIŠKIH NAČRTOV V TEHNIČNIH NAČRTIH</v>
      </c>
      <c r="C179" s="210"/>
      <c r="D179" s="85"/>
      <c r="E179" s="85"/>
      <c r="F179" s="662" t="str">
        <f>IF('OSNOVNI PODATKI'!F405=TRUE,"DA","NE")</f>
        <v>DA</v>
      </c>
      <c r="G179" s="875" t="str">
        <f t="shared" si="11"/>
        <v>če je opcija izbrana, se v fazi 2.4 EI, SI, TH upošteva odbitek 4 %</v>
      </c>
      <c r="H179" s="210"/>
    </row>
    <row r="180" spans="1:10" x14ac:dyDescent="0.2">
      <c r="B180" s="86" t="str">
        <f>'OSNOVNI PODATKI'!$B398</f>
        <v>PROJEKTANTSKI PREDRAČUN</v>
      </c>
      <c r="C180" s="210"/>
      <c r="D180" s="85"/>
      <c r="E180" s="85"/>
      <c r="F180" s="314" t="str">
        <f>IF('OSNOVNI PODATKI'!F398=TRUE,"DA","NE")</f>
        <v>NE</v>
      </c>
      <c r="G180" s="875"/>
      <c r="H180" s="210"/>
    </row>
    <row r="181" spans="1:10" s="78" customFormat="1" x14ac:dyDescent="0.2">
      <c r="B181" s="86" t="str">
        <f>'OSNOVNI PODATKI'!$B$401</f>
        <v>GRADBENI NADZOR</v>
      </c>
      <c r="C181" s="210"/>
      <c r="D181" s="85"/>
      <c r="E181" s="85"/>
      <c r="F181" s="314" t="str">
        <f>IF('OSNOVNI PODATKI'!F401=TRUE,"DA","NE")</f>
        <v>NE</v>
      </c>
      <c r="G181" s="210"/>
      <c r="H181" s="210"/>
    </row>
    <row r="182" spans="1:10" s="78" customFormat="1" x14ac:dyDescent="0.2">
      <c r="B182" s="300"/>
      <c r="D182" s="302"/>
      <c r="E182" s="302"/>
      <c r="F182" s="631"/>
    </row>
    <row r="183" spans="1:10" s="78" customFormat="1" x14ac:dyDescent="0.2">
      <c r="B183" s="207"/>
      <c r="D183" s="79"/>
      <c r="E183" s="79"/>
      <c r="F183" s="631"/>
    </row>
    <row r="184" spans="1:10" s="2" customFormat="1" x14ac:dyDescent="0.2">
      <c r="A184" s="78"/>
      <c r="B184" s="212"/>
      <c r="C184" s="212"/>
      <c r="D184" s="212"/>
      <c r="E184" s="212"/>
      <c r="F184" s="212"/>
      <c r="G184" s="212"/>
    </row>
    <row r="185" spans="1:10" s="13" customFormat="1" ht="14.25" x14ac:dyDescent="0.2">
      <c r="A185" s="214"/>
      <c r="B185" s="214"/>
      <c r="C185" s="214"/>
      <c r="D185" s="214"/>
      <c r="E185" s="214"/>
      <c r="F185" s="214"/>
      <c r="G185" s="214"/>
      <c r="H185" s="214"/>
    </row>
    <row r="186" spans="1:10" s="13" customFormat="1" ht="38.25" x14ac:dyDescent="0.2">
      <c r="A186" s="107"/>
      <c r="B186" s="108"/>
      <c r="C186" s="108"/>
      <c r="D186" s="108"/>
      <c r="E186" s="109" t="s">
        <v>25</v>
      </c>
      <c r="F186" s="303" t="s">
        <v>484</v>
      </c>
      <c r="G186" s="620" t="s">
        <v>57</v>
      </c>
      <c r="H186" s="110" t="s">
        <v>70</v>
      </c>
      <c r="I186" s="421" t="s">
        <v>915</v>
      </c>
      <c r="J186" s="421" t="s">
        <v>1136</v>
      </c>
    </row>
    <row r="187" spans="1:10" s="13" customFormat="1" ht="14.25" x14ac:dyDescent="0.2">
      <c r="A187" s="103" t="s">
        <v>29</v>
      </c>
      <c r="B187" s="104" t="s">
        <v>30</v>
      </c>
      <c r="C187" s="104"/>
      <c r="D187" s="104"/>
      <c r="E187" s="105"/>
      <c r="F187" s="105"/>
      <c r="G187" s="621"/>
      <c r="H187" s="106"/>
      <c r="J187" s="76"/>
    </row>
    <row r="188" spans="1:10" s="13" customFormat="1" ht="14.25" x14ac:dyDescent="0.2">
      <c r="A188" s="87" t="s">
        <v>31</v>
      </c>
      <c r="B188" s="99" t="s">
        <v>65</v>
      </c>
      <c r="C188" s="99"/>
      <c r="D188" s="99"/>
      <c r="E188" s="88"/>
      <c r="F188" s="88"/>
      <c r="G188" s="622"/>
      <c r="H188" s="89" t="str">
        <f>IF(J195=TRUE,G188*'VREDNOST NU'!#REF!,"")</f>
        <v/>
      </c>
      <c r="J188" s="76"/>
    </row>
    <row r="189" spans="1:10" ht="14.25" x14ac:dyDescent="0.2">
      <c r="A189" s="112" t="s">
        <v>32</v>
      </c>
      <c r="B189" s="113" t="s">
        <v>66</v>
      </c>
      <c r="C189" s="113"/>
      <c r="D189" s="113"/>
      <c r="E189" s="114"/>
      <c r="F189" s="114"/>
      <c r="G189" s="623"/>
      <c r="H189" s="93" t="str">
        <f>IF(J196=TRUE,G189*'VREDNOST NU'!#REF!,"")</f>
        <v/>
      </c>
      <c r="I189" s="13"/>
    </row>
    <row r="190" spans="1:10" x14ac:dyDescent="0.2">
      <c r="A190" s="111" t="s">
        <v>33</v>
      </c>
      <c r="B190" s="104" t="s">
        <v>34</v>
      </c>
      <c r="C190" s="104"/>
      <c r="D190" s="104"/>
      <c r="E190" s="105">
        <f>SUM(E191:E193)</f>
        <v>0.02</v>
      </c>
      <c r="F190" s="105">
        <f>SUM(F191:F193)</f>
        <v>0.02</v>
      </c>
      <c r="G190" s="627">
        <f>SUM(G191:G193)</f>
        <v>0</v>
      </c>
      <c r="H190" s="106">
        <f>SUM(H191:H193)</f>
        <v>0</v>
      </c>
      <c r="I190" s="127" t="e">
        <f>H190/'OSNOVNI PODATKI'!$E$329</f>
        <v>#DIV/0!</v>
      </c>
      <c r="J190" s="127" t="e">
        <f>H190/'OSNOVNI PODATKI'!$E$332</f>
        <v>#DIV/0!</v>
      </c>
    </row>
    <row r="191" spans="1:10" s="78" customFormat="1" ht="14.25" x14ac:dyDescent="0.2">
      <c r="A191" s="90" t="s">
        <v>35</v>
      </c>
      <c r="B191" s="98" t="s">
        <v>67</v>
      </c>
      <c r="C191" s="98"/>
      <c r="D191" s="98"/>
      <c r="E191" s="88">
        <v>0.01</v>
      </c>
      <c r="F191" s="88">
        <f>E191*(100%+$F$124)</f>
        <v>0.01</v>
      </c>
      <c r="G191" s="628">
        <f>F191*$F$174</f>
        <v>0</v>
      </c>
      <c r="H191" s="89">
        <f>+G191*'ARHIGRAM 6'!$I$16</f>
        <v>0</v>
      </c>
      <c r="I191" s="13"/>
    </row>
    <row r="192" spans="1:10" s="2" customFormat="1" ht="14.25" x14ac:dyDescent="0.2">
      <c r="A192" s="90" t="s">
        <v>36</v>
      </c>
      <c r="B192" s="98" t="s">
        <v>68</v>
      </c>
      <c r="C192" s="98"/>
      <c r="D192" s="98"/>
      <c r="E192" s="88">
        <v>0.01</v>
      </c>
      <c r="F192" s="88">
        <f>E192*(100%+$F$124)</f>
        <v>0.01</v>
      </c>
      <c r="G192" s="628">
        <f t="shared" ref="G192:G193" si="12">F192*$F$174</f>
        <v>0</v>
      </c>
      <c r="H192" s="89">
        <f>+G192*'ARHIGRAM 6'!$I$16</f>
        <v>0</v>
      </c>
      <c r="I192" s="13"/>
    </row>
    <row r="193" spans="1:27" s="12" customFormat="1" ht="14.25" x14ac:dyDescent="0.25">
      <c r="A193" s="116" t="s">
        <v>37</v>
      </c>
      <c r="B193" s="117" t="s">
        <v>844</v>
      </c>
      <c r="C193" s="117"/>
      <c r="D193" s="117"/>
      <c r="E193" s="114">
        <v>0</v>
      </c>
      <c r="F193" s="114">
        <f>E193*(100%+$F$124)</f>
        <v>0</v>
      </c>
      <c r="G193" s="629">
        <f t="shared" si="12"/>
        <v>0</v>
      </c>
      <c r="H193" s="93">
        <f>+G193*'ARHIGRAM 6'!$I$16</f>
        <v>0</v>
      </c>
      <c r="I193" s="13"/>
    </row>
    <row r="194" spans="1:27" s="13" customFormat="1" ht="14.25" x14ac:dyDescent="0.2">
      <c r="A194" s="115">
        <v>2</v>
      </c>
      <c r="B194" s="104" t="s">
        <v>38</v>
      </c>
      <c r="C194" s="104"/>
      <c r="D194" s="104"/>
      <c r="E194" s="105">
        <f>SUM(E195:E200)</f>
        <v>0.57000000000000006</v>
      </c>
      <c r="F194" s="105">
        <f>SUM(F195:F200)</f>
        <v>0.49000000000000005</v>
      </c>
      <c r="G194" s="630">
        <f>SUM(G195:G200)</f>
        <v>0</v>
      </c>
      <c r="H194" s="106">
        <f>SUM(H195:H200)</f>
        <v>0</v>
      </c>
      <c r="I194" s="127" t="e">
        <f>H194/'OSNOVNI PODATKI'!$E$329</f>
        <v>#DIV/0!</v>
      </c>
      <c r="J194" s="127" t="e">
        <f>H194/'OSNOVNI PODATKI'!$E$332</f>
        <v>#DIV/0!</v>
      </c>
    </row>
    <row r="195" spans="1:27" s="13" customFormat="1" ht="14.25" x14ac:dyDescent="0.2">
      <c r="A195" s="90" t="s">
        <v>51</v>
      </c>
      <c r="B195" s="98" t="s">
        <v>95</v>
      </c>
      <c r="C195" s="98"/>
      <c r="D195" s="98"/>
      <c r="E195" s="101">
        <v>0.09</v>
      </c>
      <c r="F195" s="101">
        <f>E195*(100%+$F$124)</f>
        <v>0.09</v>
      </c>
      <c r="G195" s="628">
        <f t="shared" ref="G195:G199" si="13">F195*$F$174</f>
        <v>0</v>
      </c>
      <c r="H195" s="89">
        <f>+G195*'ARHIGRAM 6'!$I$16</f>
        <v>0</v>
      </c>
    </row>
    <row r="196" spans="1:27" s="13" customFormat="1" ht="14.25" x14ac:dyDescent="0.2">
      <c r="A196" s="91" t="s">
        <v>52</v>
      </c>
      <c r="B196" s="102" t="s">
        <v>744</v>
      </c>
      <c r="C196" s="102"/>
      <c r="D196" s="102"/>
      <c r="E196" s="101">
        <v>0.19</v>
      </c>
      <c r="F196" s="101">
        <f>E196*(100%+$F$124)</f>
        <v>0.19</v>
      </c>
      <c r="G196" s="628">
        <f t="shared" si="13"/>
        <v>0</v>
      </c>
      <c r="H196" s="89">
        <f>+G196*'ARHIGRAM 6'!$I$16</f>
        <v>0</v>
      </c>
    </row>
    <row r="197" spans="1:27" s="13" customFormat="1" ht="14.25" x14ac:dyDescent="0.2">
      <c r="A197" s="91" t="s">
        <v>53</v>
      </c>
      <c r="B197" s="102" t="s">
        <v>848</v>
      </c>
      <c r="C197" s="102"/>
      <c r="D197" s="102"/>
      <c r="E197" s="101"/>
      <c r="F197" s="101"/>
      <c r="G197" s="628"/>
      <c r="H197" s="89"/>
    </row>
    <row r="198" spans="1:27" s="13" customFormat="1" ht="14.25" x14ac:dyDescent="0.2">
      <c r="A198" s="91" t="s">
        <v>96</v>
      </c>
      <c r="B198" s="102" t="s">
        <v>745</v>
      </c>
      <c r="C198" s="102"/>
      <c r="D198" s="102"/>
      <c r="E198" s="101">
        <v>0.22</v>
      </c>
      <c r="F198" s="101">
        <f>(E198+IF(F178="DA",-4%,0%)+IF(F179="DA",-4%,0%))*(100%+F177)</f>
        <v>0.13999999999999999</v>
      </c>
      <c r="G198" s="628">
        <f t="shared" si="13"/>
        <v>0</v>
      </c>
      <c r="H198" s="89">
        <f>+G198*'ARHIGRAM 6'!$I$16</f>
        <v>0</v>
      </c>
    </row>
    <row r="199" spans="1:27" s="13" customFormat="1" ht="14.25" x14ac:dyDescent="0.2">
      <c r="A199" s="91" t="s">
        <v>97</v>
      </c>
      <c r="B199" s="102" t="s">
        <v>845</v>
      </c>
      <c r="C199" s="102"/>
      <c r="D199" s="102"/>
      <c r="E199" s="101">
        <v>0.05</v>
      </c>
      <c r="F199" s="101">
        <f>E199*(100%+$F$124)</f>
        <v>0.05</v>
      </c>
      <c r="G199" s="628">
        <f t="shared" si="13"/>
        <v>0</v>
      </c>
      <c r="H199" s="89">
        <f>+G199*'ARHIGRAM 6'!$I$16</f>
        <v>0</v>
      </c>
    </row>
    <row r="200" spans="1:27" s="800" customFormat="1" ht="14.25" x14ac:dyDescent="0.2">
      <c r="A200" s="852"/>
      <c r="B200" s="853" t="s">
        <v>965</v>
      </c>
      <c r="C200" s="853"/>
      <c r="D200" s="853"/>
      <c r="E200" s="854">
        <v>0.02</v>
      </c>
      <c r="F200" s="873">
        <f>E200*(100%+$F$124)</f>
        <v>0.02</v>
      </c>
      <c r="G200" s="874">
        <f>F200*F174</f>
        <v>0</v>
      </c>
      <c r="H200" s="857">
        <f t="shared" ref="H200" si="14">+G200*$F$122</f>
        <v>0</v>
      </c>
      <c r="K200" s="13"/>
      <c r="L200" s="13"/>
      <c r="M200" s="13"/>
      <c r="N200" s="13"/>
      <c r="O200" s="13"/>
      <c r="P200" s="13"/>
      <c r="Q200" s="13"/>
      <c r="R200" s="13"/>
      <c r="S200" s="13"/>
      <c r="T200" s="13"/>
      <c r="U200" s="13"/>
      <c r="V200" s="13"/>
      <c r="W200" s="13"/>
      <c r="X200" s="13"/>
      <c r="Y200" s="13"/>
      <c r="Z200" s="13"/>
      <c r="AA200" s="13"/>
    </row>
    <row r="201" spans="1:27" s="13" customFormat="1" ht="14.25" x14ac:dyDescent="0.2">
      <c r="A201" s="118" t="s">
        <v>39</v>
      </c>
      <c r="B201" s="104" t="s">
        <v>122</v>
      </c>
      <c r="C201" s="104"/>
      <c r="D201" s="104"/>
      <c r="E201" s="105">
        <f>SUM(E202:E203)</f>
        <v>0.05</v>
      </c>
      <c r="F201" s="105">
        <f>SUM(F202:F203)</f>
        <v>0.05</v>
      </c>
      <c r="G201" s="627">
        <f>SUM(G202:G203)</f>
        <v>0</v>
      </c>
      <c r="H201" s="106">
        <f>SUM(H202:H203)</f>
        <v>0</v>
      </c>
      <c r="I201" s="127" t="e">
        <f>H201/'OSNOVNI PODATKI'!$E$329</f>
        <v>#DIV/0!</v>
      </c>
      <c r="J201" s="127" t="e">
        <f>H201/'OSNOVNI PODATKI'!$E$332</f>
        <v>#DIV/0!</v>
      </c>
    </row>
    <row r="202" spans="1:27" s="13" customFormat="1" ht="14.25" x14ac:dyDescent="0.2">
      <c r="A202" s="91" t="s">
        <v>40</v>
      </c>
      <c r="B202" s="97" t="s">
        <v>846</v>
      </c>
      <c r="C202" s="97"/>
      <c r="D202" s="97"/>
      <c r="E202" s="88">
        <v>0.03</v>
      </c>
      <c r="F202" s="88">
        <f>E202*(100%+$F$124)</f>
        <v>0.03</v>
      </c>
      <c r="G202" s="628">
        <f t="shared" ref="G202:G203" si="15">F202*$F$174</f>
        <v>0</v>
      </c>
      <c r="H202" s="89">
        <f>+G202*'ARHIGRAM 6'!$I$16</f>
        <v>0</v>
      </c>
    </row>
    <row r="203" spans="1:27" s="13" customFormat="1" ht="14.25" x14ac:dyDescent="0.2">
      <c r="A203" s="119" t="s">
        <v>41</v>
      </c>
      <c r="B203" s="92" t="s">
        <v>202</v>
      </c>
      <c r="C203" s="92"/>
      <c r="D203" s="92"/>
      <c r="E203" s="114">
        <v>0.02</v>
      </c>
      <c r="F203" s="114">
        <f>E203*(100%+$F$124)</f>
        <v>0.02</v>
      </c>
      <c r="G203" s="629">
        <f t="shared" si="15"/>
        <v>0</v>
      </c>
      <c r="H203" s="93">
        <f>+G203*'ARHIGRAM 6'!$I$16</f>
        <v>0</v>
      </c>
    </row>
    <row r="204" spans="1:27" s="13" customFormat="1" ht="14.25" x14ac:dyDescent="0.2">
      <c r="A204" s="122">
        <v>4</v>
      </c>
      <c r="B204" s="104" t="s">
        <v>60</v>
      </c>
      <c r="C204" s="104"/>
      <c r="D204" s="104"/>
      <c r="E204" s="105">
        <f>SUM(E205:E212)</f>
        <v>0.35000000000000009</v>
      </c>
      <c r="F204" s="105">
        <f>SUM(F205:F212)</f>
        <v>0.35000000000000009</v>
      </c>
      <c r="G204" s="627">
        <f>SUM(G205:G212)</f>
        <v>0</v>
      </c>
      <c r="H204" s="106">
        <f>SUM(H205:H212)</f>
        <v>0</v>
      </c>
      <c r="I204" s="127" t="e">
        <f>H204/'OSNOVNI PODATKI'!$E$329</f>
        <v>#DIV/0!</v>
      </c>
      <c r="J204" s="127" t="e">
        <f>H204/'OSNOVNI PODATKI'!$E$332</f>
        <v>#DIV/0!</v>
      </c>
    </row>
    <row r="205" spans="1:27" s="13" customFormat="1" ht="14.25" x14ac:dyDescent="0.2">
      <c r="A205" s="91" t="s">
        <v>42</v>
      </c>
      <c r="B205" s="97" t="s">
        <v>203</v>
      </c>
      <c r="C205" s="97"/>
      <c r="D205" s="97"/>
      <c r="E205" s="88">
        <v>0</v>
      </c>
      <c r="F205" s="88">
        <f>E205*(100%+$F$124)</f>
        <v>0</v>
      </c>
      <c r="G205" s="628">
        <f t="shared" ref="G205:G212" si="16">F205*$F$174</f>
        <v>0</v>
      </c>
      <c r="H205" s="89">
        <f>+G205*'ARHIGRAM 6'!$I$16</f>
        <v>0</v>
      </c>
    </row>
    <row r="206" spans="1:27" s="13" customFormat="1" ht="14.25" x14ac:dyDescent="0.2">
      <c r="A206" s="91" t="s">
        <v>43</v>
      </c>
      <c r="B206" s="97" t="s">
        <v>865</v>
      </c>
      <c r="C206" s="97"/>
      <c r="D206" s="97"/>
      <c r="E206" s="88">
        <v>7.0000000000000007E-2</v>
      </c>
      <c r="F206" s="88">
        <f>E206*(100%+$F$124)</f>
        <v>7.0000000000000007E-2</v>
      </c>
      <c r="G206" s="628">
        <f t="shared" si="16"/>
        <v>0</v>
      </c>
      <c r="H206" s="89">
        <f>+G206*'ARHIGRAM 6'!$I$16</f>
        <v>0</v>
      </c>
    </row>
    <row r="207" spans="1:27" s="800" customFormat="1" ht="14.25" x14ac:dyDescent="0.2">
      <c r="A207" s="795"/>
      <c r="B207" s="796" t="s">
        <v>505</v>
      </c>
      <c r="C207" s="796"/>
      <c r="D207" s="796"/>
      <c r="E207" s="794">
        <v>0.23</v>
      </c>
      <c r="F207" s="801">
        <f t="shared" ref="F207" si="17">E207*(100%+$F$124)</f>
        <v>0.23</v>
      </c>
      <c r="G207" s="846">
        <f>F207*F174</f>
        <v>0</v>
      </c>
      <c r="H207" s="803">
        <f t="shared" ref="H207" si="18">+G207*$F$122</f>
        <v>0</v>
      </c>
      <c r="K207" s="13"/>
      <c r="L207" s="13"/>
      <c r="M207" s="13"/>
      <c r="N207" s="13"/>
      <c r="O207" s="13"/>
      <c r="P207" s="13"/>
      <c r="Q207" s="13"/>
      <c r="R207" s="13"/>
      <c r="S207" s="13"/>
      <c r="T207" s="13"/>
      <c r="U207" s="13"/>
      <c r="V207" s="13"/>
      <c r="W207" s="13"/>
      <c r="X207" s="13"/>
      <c r="Y207" s="13"/>
      <c r="Z207" s="13"/>
      <c r="AA207" s="13"/>
    </row>
    <row r="208" spans="1:27" s="13" customFormat="1" ht="14.25" x14ac:dyDescent="0.2">
      <c r="A208" s="91" t="s">
        <v>44</v>
      </c>
      <c r="B208" s="97" t="s">
        <v>963</v>
      </c>
      <c r="C208" s="97"/>
      <c r="D208" s="97"/>
      <c r="E208" s="88">
        <v>6.0000000000000001E-3</v>
      </c>
      <c r="F208" s="88">
        <f>E208*(100%+$F$124)</f>
        <v>6.0000000000000001E-3</v>
      </c>
      <c r="G208" s="628">
        <f t="shared" si="16"/>
        <v>0</v>
      </c>
      <c r="H208" s="89">
        <f>+G208*'ARHIGRAM 6'!$I$16</f>
        <v>0</v>
      </c>
    </row>
    <row r="209" spans="1:27" s="800" customFormat="1" ht="14.25" x14ac:dyDescent="0.2">
      <c r="A209" s="795"/>
      <c r="B209" s="796" t="s">
        <v>505</v>
      </c>
      <c r="C209" s="796"/>
      <c r="D209" s="796"/>
      <c r="E209" s="794">
        <v>4.0000000000000001E-3</v>
      </c>
      <c r="F209" s="801">
        <f t="shared" ref="F209" si="19">E209*(100%+$F$124)</f>
        <v>4.0000000000000001E-3</v>
      </c>
      <c r="G209" s="846">
        <f>F209*F174</f>
        <v>0</v>
      </c>
      <c r="H209" s="803">
        <f t="shared" ref="H209" si="20">+G209*$F$122</f>
        <v>0</v>
      </c>
      <c r="K209" s="13"/>
      <c r="L209" s="13"/>
      <c r="M209" s="13"/>
      <c r="N209" s="13"/>
      <c r="O209" s="13"/>
      <c r="P209" s="13"/>
      <c r="Q209" s="13"/>
      <c r="R209" s="13"/>
      <c r="S209" s="13"/>
      <c r="T209" s="13"/>
      <c r="U209" s="13"/>
      <c r="V209" s="13"/>
      <c r="W209" s="13"/>
      <c r="X209" s="13"/>
      <c r="Y209" s="13"/>
      <c r="Z209" s="13"/>
      <c r="AA209" s="13"/>
    </row>
    <row r="210" spans="1:27" s="13" customFormat="1" ht="14.25" x14ac:dyDescent="0.2">
      <c r="A210" s="91" t="s">
        <v>45</v>
      </c>
      <c r="B210" s="97" t="s">
        <v>866</v>
      </c>
      <c r="C210" s="97"/>
      <c r="D210" s="97"/>
      <c r="E210" s="88">
        <v>1.2E-2</v>
      </c>
      <c r="F210" s="88">
        <f>E210*(100%+$F$124)</f>
        <v>1.2E-2</v>
      </c>
      <c r="G210" s="628">
        <f t="shared" si="16"/>
        <v>0</v>
      </c>
      <c r="H210" s="89">
        <f>+G210*'ARHIGRAM 6'!$I$16</f>
        <v>0</v>
      </c>
    </row>
    <row r="211" spans="1:27" s="800" customFormat="1" ht="14.25" x14ac:dyDescent="0.2">
      <c r="A211" s="795"/>
      <c r="B211" s="796" t="s">
        <v>505</v>
      </c>
      <c r="C211" s="796"/>
      <c r="D211" s="796"/>
      <c r="E211" s="794">
        <v>8.0000000000000002E-3</v>
      </c>
      <c r="F211" s="801">
        <f t="shared" ref="F211" si="21">E211*(100%+$F$124)</f>
        <v>8.0000000000000002E-3</v>
      </c>
      <c r="G211" s="846">
        <f>F211*F174</f>
        <v>0</v>
      </c>
      <c r="H211" s="803">
        <f t="shared" ref="H211" si="22">+G211*$F$122</f>
        <v>0</v>
      </c>
      <c r="K211" s="13"/>
      <c r="L211" s="13"/>
      <c r="M211" s="13"/>
      <c r="N211" s="13"/>
      <c r="O211" s="13"/>
      <c r="P211" s="13"/>
      <c r="Q211" s="13"/>
      <c r="R211" s="13"/>
      <c r="S211" s="13"/>
      <c r="T211" s="13"/>
      <c r="U211" s="13"/>
      <c r="V211" s="13"/>
      <c r="W211" s="13"/>
      <c r="X211" s="13"/>
      <c r="Y211" s="13"/>
      <c r="Z211" s="13"/>
      <c r="AA211" s="13"/>
    </row>
    <row r="212" spans="1:27" s="13" customFormat="1" ht="14.25" x14ac:dyDescent="0.2">
      <c r="A212" s="119" t="s">
        <v>46</v>
      </c>
      <c r="B212" s="92" t="s">
        <v>847</v>
      </c>
      <c r="C212" s="92"/>
      <c r="D212" s="92"/>
      <c r="E212" s="114">
        <v>0.02</v>
      </c>
      <c r="F212" s="114">
        <f>E212*(100%+$F$124)</f>
        <v>0.02</v>
      </c>
      <c r="G212" s="629">
        <f t="shared" si="16"/>
        <v>0</v>
      </c>
      <c r="H212" s="93">
        <f>+G212*'ARHIGRAM 6'!$I$16</f>
        <v>0</v>
      </c>
    </row>
    <row r="213" spans="1:27" s="13" customFormat="1" ht="14.25" x14ac:dyDescent="0.2">
      <c r="A213" s="123">
        <v>5</v>
      </c>
      <c r="B213" s="104" t="s">
        <v>47</v>
      </c>
      <c r="C213" s="104"/>
      <c r="D213" s="104"/>
      <c r="E213" s="105">
        <f>SUM(E214:E215)</f>
        <v>0.01</v>
      </c>
      <c r="F213" s="105">
        <f>SUM(F214:F215)</f>
        <v>0.01</v>
      </c>
      <c r="G213" s="627">
        <f>SUM(G214:G215)</f>
        <v>0</v>
      </c>
      <c r="H213" s="106">
        <f>SUM(H214:H215)</f>
        <v>0</v>
      </c>
      <c r="I213" s="127" t="e">
        <f>H213/'OSNOVNI PODATKI'!$E$329</f>
        <v>#DIV/0!</v>
      </c>
      <c r="J213" s="127" t="e">
        <f>H213/'OSNOVNI PODATKI'!$E$332</f>
        <v>#DIV/0!</v>
      </c>
    </row>
    <row r="214" spans="1:27" s="13" customFormat="1" ht="14.25" x14ac:dyDescent="0.2">
      <c r="A214" s="91" t="s">
        <v>48</v>
      </c>
      <c r="B214" s="100" t="s">
        <v>205</v>
      </c>
      <c r="C214" s="100"/>
      <c r="D214" s="100"/>
      <c r="E214" s="88">
        <v>5.0000000000000001E-3</v>
      </c>
      <c r="F214" s="88">
        <f>E214*(100%+$F$124)</f>
        <v>5.0000000000000001E-3</v>
      </c>
      <c r="G214" s="628">
        <f t="shared" ref="G214:G215" si="23">F214*$F$174</f>
        <v>0</v>
      </c>
      <c r="H214" s="89">
        <f>+G214*'ARHIGRAM 6'!$I$16</f>
        <v>0</v>
      </c>
    </row>
    <row r="215" spans="1:27" s="13" customFormat="1" ht="14.25" x14ac:dyDescent="0.2">
      <c r="A215" s="119" t="s">
        <v>49</v>
      </c>
      <c r="B215" s="125" t="s">
        <v>206</v>
      </c>
      <c r="C215" s="125"/>
      <c r="D215" s="125"/>
      <c r="E215" s="114">
        <v>5.0000000000000001E-3</v>
      </c>
      <c r="F215" s="114">
        <f>E215*(100%+$F$124)</f>
        <v>5.0000000000000001E-3</v>
      </c>
      <c r="G215" s="629">
        <f t="shared" si="23"/>
        <v>0</v>
      </c>
      <c r="H215" s="93">
        <f>+G215*'ARHIGRAM 6'!$I$16</f>
        <v>0</v>
      </c>
    </row>
    <row r="216" spans="1:27" s="13" customFormat="1" ht="14.25" x14ac:dyDescent="0.2">
      <c r="A216" s="124">
        <v>6</v>
      </c>
      <c r="B216" s="104" t="s">
        <v>50</v>
      </c>
      <c r="C216" s="104"/>
      <c r="D216" s="104"/>
      <c r="E216" s="105"/>
      <c r="F216" s="105"/>
      <c r="G216" s="621"/>
      <c r="H216" s="106"/>
    </row>
    <row r="217" spans="1:27" s="13" customFormat="1" ht="14.25" x14ac:dyDescent="0.2">
      <c r="A217" s="91" t="s">
        <v>54</v>
      </c>
      <c r="B217" s="100" t="s">
        <v>207</v>
      </c>
      <c r="C217" s="100"/>
      <c r="D217" s="100"/>
      <c r="E217" s="88"/>
      <c r="F217" s="88"/>
      <c r="G217" s="622"/>
      <c r="H217" s="89"/>
    </row>
    <row r="218" spans="1:27" s="13" customFormat="1" ht="14.25" x14ac:dyDescent="0.2">
      <c r="A218" s="91" t="s">
        <v>55</v>
      </c>
      <c r="B218" s="100" t="s">
        <v>208</v>
      </c>
      <c r="C218" s="100"/>
      <c r="D218" s="100"/>
      <c r="E218" s="88"/>
      <c r="F218" s="88"/>
      <c r="G218" s="622"/>
      <c r="H218" s="89"/>
    </row>
    <row r="219" spans="1:27" s="13" customFormat="1" ht="14.25" x14ac:dyDescent="0.2">
      <c r="A219" s="119" t="s">
        <v>56</v>
      </c>
      <c r="B219" s="125" t="s">
        <v>209</v>
      </c>
      <c r="C219" s="125"/>
      <c r="D219" s="125"/>
      <c r="E219" s="114"/>
      <c r="F219" s="114"/>
      <c r="G219" s="623"/>
      <c r="H219" s="93"/>
    </row>
    <row r="220" spans="1:27" s="13" customFormat="1" ht="14.25" x14ac:dyDescent="0.2">
      <c r="A220" s="291"/>
      <c r="B220" s="292"/>
      <c r="C220" s="292"/>
      <c r="D220" s="292"/>
      <c r="E220" s="293"/>
      <c r="F220" s="96"/>
      <c r="G220" s="626"/>
      <c r="H220" s="294"/>
    </row>
    <row r="221" spans="1:27" s="13" customFormat="1" ht="14.25" x14ac:dyDescent="0.2">
      <c r="A221" s="128"/>
      <c r="B221" s="129" t="s">
        <v>1</v>
      </c>
      <c r="C221" s="129"/>
      <c r="D221" s="129"/>
      <c r="E221" s="130">
        <f>E187+E190+E194+E201+E204+E213+E216</f>
        <v>1.0000000000000002</v>
      </c>
      <c r="F221" s="130">
        <f>F187+F190+F194+F201+F204+F213+F216</f>
        <v>0.92000000000000015</v>
      </c>
      <c r="G221" s="625">
        <f>G187+G190+G194+G201+G204+G213+G216</f>
        <v>0</v>
      </c>
      <c r="H221" s="131">
        <f>H187+H190+H194+H201+H204+H213+H216</f>
        <v>0</v>
      </c>
      <c r="I221" s="127" t="e">
        <f>H221/'OSNOVNI PODATKI'!$E$329</f>
        <v>#DIV/0!</v>
      </c>
      <c r="J221" s="127" t="e">
        <f>H221/'OSNOVNI PODATKI'!$E$332</f>
        <v>#DIV/0!</v>
      </c>
    </row>
    <row r="222" spans="1:27" s="13" customFormat="1" ht="14.25" x14ac:dyDescent="0.2">
      <c r="A222" s="29"/>
      <c r="B222" s="126"/>
      <c r="E222" s="30"/>
      <c r="G222" s="30"/>
      <c r="H222" s="127"/>
    </row>
    <row r="223" spans="1:27" s="13" customFormat="1" ht="14.25" x14ac:dyDescent="0.2">
      <c r="A223" s="29"/>
      <c r="B223" s="126"/>
      <c r="E223" s="30"/>
      <c r="G223" s="30"/>
      <c r="H223" s="127"/>
    </row>
    <row r="224" spans="1:27" s="13" customFormat="1" ht="15" thickBot="1" x14ac:dyDescent="0.25"/>
    <row r="225" spans="1:10" s="13" customFormat="1" ht="18.75" x14ac:dyDescent="0.2">
      <c r="A225" s="831" t="s">
        <v>1137</v>
      </c>
      <c r="B225" s="831"/>
      <c r="C225" s="831"/>
      <c r="D225" s="831"/>
      <c r="E225" s="831"/>
      <c r="F225" s="831"/>
      <c r="G225" s="831"/>
      <c r="H225" s="831"/>
      <c r="I225" s="831"/>
      <c r="J225" s="831"/>
    </row>
    <row r="226" spans="1:10" s="78" customFormat="1" x14ac:dyDescent="0.2">
      <c r="A226" s="212"/>
      <c r="B226" s="212"/>
      <c r="C226" s="752"/>
      <c r="D226" s="752"/>
      <c r="E226" s="752"/>
      <c r="F226" s="640"/>
      <c r="G226" s="752"/>
      <c r="H226" s="752"/>
    </row>
    <row r="227" spans="1:10" s="78" customFormat="1" x14ac:dyDescent="0.2">
      <c r="A227" s="212"/>
      <c r="B227" s="86" t="s">
        <v>875</v>
      </c>
      <c r="C227" s="212"/>
      <c r="D227" s="212"/>
      <c r="E227" s="212"/>
      <c r="F227" s="507">
        <f>'OSNOVNI PODATKI'!G385</f>
        <v>0</v>
      </c>
      <c r="G227" s="210"/>
      <c r="H227" s="212"/>
    </row>
    <row r="228" spans="1:10" s="78" customFormat="1" x14ac:dyDescent="0.2">
      <c r="A228" s="212"/>
      <c r="B228" s="86" t="s">
        <v>876</v>
      </c>
      <c r="C228" s="210"/>
      <c r="D228" s="85"/>
      <c r="E228" s="85"/>
      <c r="F228" s="493">
        <f>'ARHIGRAM 6'!$I$16</f>
        <v>46</v>
      </c>
      <c r="G228" s="210"/>
      <c r="H228" s="210"/>
    </row>
    <row r="229" spans="1:10" s="78" customFormat="1" x14ac:dyDescent="0.2">
      <c r="A229" s="212"/>
      <c r="B229" s="212"/>
      <c r="C229" s="212"/>
      <c r="D229" s="212"/>
      <c r="E229" s="212"/>
      <c r="H229" s="212"/>
    </row>
    <row r="230" spans="1:10" s="78" customFormat="1" x14ac:dyDescent="0.2">
      <c r="B230" s="86" t="str">
        <f>'OSNOVNI PODATKI'!B394</f>
        <v>PRIBITEK ZA PRENOVO</v>
      </c>
      <c r="C230" s="210"/>
      <c r="D230" s="85"/>
      <c r="E230" s="85"/>
      <c r="F230" s="314">
        <f>'OSNOVNI PODATKI'!F394</f>
        <v>0</v>
      </c>
      <c r="G230" s="210" t="str">
        <f>$G$177</f>
        <v>upošteva se v vseh fazah, samo za storitve projektiranja</v>
      </c>
      <c r="H230" s="210"/>
    </row>
    <row r="231" spans="1:10" s="78" customFormat="1" x14ac:dyDescent="0.2">
      <c r="B231" s="1338" t="str">
        <f>'OSNOVNI PODATKI'!B405</f>
        <v>BREZ PREVERJANJA MONTAŽNIH IN DELAVNIŠKIH NAČRTOV V TEHNIČNIH NAČRTIH</v>
      </c>
      <c r="C231" s="1338"/>
      <c r="D231" s="1338"/>
      <c r="E231" s="1338"/>
      <c r="F231" s="662" t="str">
        <f>IF('OSNOVNI PODATKI'!F405=TRUE,"DA","NE")</f>
        <v>DA</v>
      </c>
      <c r="G231" s="210" t="str">
        <f>$G$179</f>
        <v>če je opcija izbrana, se v fazi 2.4 EI, SI, TH upošteva odbitek 4 %</v>
      </c>
      <c r="H231" s="210"/>
    </row>
    <row r="232" spans="1:10" s="78" customFormat="1" x14ac:dyDescent="0.2">
      <c r="B232" s="316" t="str">
        <f>'OSNOVNI PODATKI'!$B398</f>
        <v>PROJEKTANTSKI PREDRAČUN</v>
      </c>
      <c r="C232" s="316"/>
      <c r="D232" s="316"/>
      <c r="E232" s="316"/>
      <c r="F232" s="314" t="str">
        <f>IF('OSNOVNI PODATKI'!F398=TRUE,"DA","NE")</f>
        <v>NE</v>
      </c>
      <c r="G232" s="210"/>
      <c r="H232" s="210"/>
    </row>
    <row r="233" spans="1:10" s="78" customFormat="1" x14ac:dyDescent="0.2">
      <c r="B233" s="86" t="str">
        <f>'OSNOVNI PODATKI'!B401</f>
        <v>GRADBENI NADZOR</v>
      </c>
      <c r="C233" s="210"/>
      <c r="D233" s="85"/>
      <c r="E233" s="85"/>
      <c r="F233" s="314" t="str">
        <f>IF('OSNOVNI PODATKI'!F401=TRUE,"DA","NE")</f>
        <v>NE</v>
      </c>
      <c r="G233" s="210"/>
      <c r="H233" s="210"/>
    </row>
    <row r="234" spans="1:10" s="2" customFormat="1" x14ac:dyDescent="0.2">
      <c r="A234" s="78"/>
      <c r="B234" s="212"/>
      <c r="C234" s="212"/>
      <c r="D234" s="212"/>
      <c r="E234" s="212"/>
      <c r="F234" s="212"/>
      <c r="G234" s="212"/>
    </row>
    <row r="235" spans="1:10" s="13" customFormat="1" ht="14.25" x14ac:dyDescent="0.2">
      <c r="A235" s="214"/>
      <c r="B235" s="214"/>
      <c r="C235" s="214"/>
      <c r="D235" s="214"/>
      <c r="E235" s="214"/>
      <c r="F235" s="214"/>
      <c r="G235" s="214"/>
      <c r="H235" s="214"/>
    </row>
    <row r="236" spans="1:10" s="13" customFormat="1" ht="38.25" x14ac:dyDescent="0.2">
      <c r="A236" s="107"/>
      <c r="B236" s="108"/>
      <c r="C236" s="108"/>
      <c r="D236" s="108"/>
      <c r="E236" s="109" t="s">
        <v>25</v>
      </c>
      <c r="F236" s="303" t="s">
        <v>484</v>
      </c>
      <c r="G236" s="620" t="s">
        <v>57</v>
      </c>
      <c r="H236" s="110" t="s">
        <v>70</v>
      </c>
      <c r="I236" s="421" t="s">
        <v>915</v>
      </c>
      <c r="J236" s="421" t="s">
        <v>943</v>
      </c>
    </row>
    <row r="237" spans="1:10" s="13" customFormat="1" ht="14.25" x14ac:dyDescent="0.2">
      <c r="A237" s="103" t="s">
        <v>29</v>
      </c>
      <c r="B237" s="104" t="s">
        <v>30</v>
      </c>
      <c r="C237" s="104"/>
      <c r="D237" s="104"/>
      <c r="E237" s="105"/>
      <c r="F237" s="105"/>
      <c r="G237" s="621"/>
      <c r="H237" s="106"/>
      <c r="J237" s="76"/>
    </row>
    <row r="238" spans="1:10" s="13" customFormat="1" ht="14.25" x14ac:dyDescent="0.2">
      <c r="A238" s="87" t="s">
        <v>31</v>
      </c>
      <c r="B238" s="99" t="s">
        <v>65</v>
      </c>
      <c r="C238" s="99"/>
      <c r="D238" s="99"/>
      <c r="E238" s="88"/>
      <c r="F238" s="88"/>
      <c r="G238" s="622"/>
      <c r="H238" s="89" t="str">
        <f>IF(J245=TRUE,G238*'VREDNOST NU'!#REF!,"")</f>
        <v/>
      </c>
      <c r="J238" s="76"/>
    </row>
    <row r="239" spans="1:10" ht="14.25" x14ac:dyDescent="0.2">
      <c r="A239" s="112" t="s">
        <v>32</v>
      </c>
      <c r="B239" s="113" t="s">
        <v>66</v>
      </c>
      <c r="C239" s="113"/>
      <c r="D239" s="113"/>
      <c r="E239" s="114"/>
      <c r="F239" s="114"/>
      <c r="G239" s="623"/>
      <c r="H239" s="93" t="str">
        <f>IF(J246=TRUE,G239*'VREDNOST NU'!#REF!,"")</f>
        <v/>
      </c>
      <c r="I239" s="13"/>
    </row>
    <row r="240" spans="1:10" x14ac:dyDescent="0.2">
      <c r="A240" s="111" t="s">
        <v>33</v>
      </c>
      <c r="B240" s="104" t="s">
        <v>34</v>
      </c>
      <c r="C240" s="104"/>
      <c r="D240" s="104"/>
      <c r="E240" s="105">
        <f>SUM(E241:E243)</f>
        <v>0.02</v>
      </c>
      <c r="F240" s="105">
        <f>SUM(F241:F243)</f>
        <v>0.02</v>
      </c>
      <c r="G240" s="627">
        <f>SUM(G241:G243)</f>
        <v>0</v>
      </c>
      <c r="H240" s="106">
        <f>SUM(H241:H243)</f>
        <v>0</v>
      </c>
      <c r="I240" s="127" t="e">
        <f>H240/'OSNOVNI PODATKI'!$E$329</f>
        <v>#DIV/0!</v>
      </c>
      <c r="J240" s="127" t="e">
        <f>H240/'OSNOVNI PODATKI'!$E$333</f>
        <v>#DIV/0!</v>
      </c>
    </row>
    <row r="241" spans="1:27" s="78" customFormat="1" ht="14.25" x14ac:dyDescent="0.2">
      <c r="A241" s="90" t="s">
        <v>35</v>
      </c>
      <c r="B241" s="98" t="s">
        <v>67</v>
      </c>
      <c r="C241" s="98"/>
      <c r="D241" s="98"/>
      <c r="E241" s="88">
        <v>0.01</v>
      </c>
      <c r="F241" s="88">
        <f>E241*(100%+$F$230)</f>
        <v>0.01</v>
      </c>
      <c r="G241" s="628">
        <f>F241*$F$227</f>
        <v>0</v>
      </c>
      <c r="H241" s="89">
        <f>+G241*'ARHIGRAM 6'!$I$16</f>
        <v>0</v>
      </c>
      <c r="I241" s="13"/>
    </row>
    <row r="242" spans="1:27" s="2" customFormat="1" ht="14.25" x14ac:dyDescent="0.2">
      <c r="A242" s="90" t="s">
        <v>36</v>
      </c>
      <c r="B242" s="98" t="s">
        <v>68</v>
      </c>
      <c r="C242" s="98"/>
      <c r="D242" s="98"/>
      <c r="E242" s="88">
        <v>0.01</v>
      </c>
      <c r="F242" s="88">
        <f>E242*(100%+$F$230)</f>
        <v>0.01</v>
      </c>
      <c r="G242" s="628">
        <f t="shared" ref="G242" si="24">F242*$F$227</f>
        <v>0</v>
      </c>
      <c r="H242" s="89">
        <f>+G242*'ARHIGRAM 6'!$I$16</f>
        <v>0</v>
      </c>
      <c r="I242" s="13"/>
    </row>
    <row r="243" spans="1:27" s="12" customFormat="1" ht="14.25" x14ac:dyDescent="0.25">
      <c r="A243" s="116" t="s">
        <v>37</v>
      </c>
      <c r="B243" s="117" t="s">
        <v>844</v>
      </c>
      <c r="C243" s="117"/>
      <c r="D243" s="117"/>
      <c r="E243" s="114"/>
      <c r="F243" s="114"/>
      <c r="G243" s="629"/>
      <c r="H243" s="93"/>
      <c r="I243" s="13"/>
    </row>
    <row r="244" spans="1:27" s="13" customFormat="1" ht="14.25" x14ac:dyDescent="0.2">
      <c r="A244" s="115">
        <v>2</v>
      </c>
      <c r="B244" s="104" t="s">
        <v>38</v>
      </c>
      <c r="C244" s="104"/>
      <c r="D244" s="104"/>
      <c r="E244" s="105">
        <f>SUM(E245:E250)</f>
        <v>0.57000000000000006</v>
      </c>
      <c r="F244" s="105">
        <f>SUM(F245:F250)</f>
        <v>0.53</v>
      </c>
      <c r="G244" s="630">
        <f>SUM(G245:G250)</f>
        <v>0</v>
      </c>
      <c r="H244" s="106">
        <f>SUM(H245:H250)</f>
        <v>0</v>
      </c>
      <c r="I244" s="127" t="e">
        <f>H244/'OSNOVNI PODATKI'!$E$329</f>
        <v>#DIV/0!</v>
      </c>
      <c r="J244" s="127" t="e">
        <f>H244/'OSNOVNI PODATKI'!$E$333</f>
        <v>#DIV/0!</v>
      </c>
    </row>
    <row r="245" spans="1:27" s="13" customFormat="1" ht="14.25" x14ac:dyDescent="0.2">
      <c r="A245" s="90" t="s">
        <v>51</v>
      </c>
      <c r="B245" s="98" t="s">
        <v>95</v>
      </c>
      <c r="C245" s="98"/>
      <c r="D245" s="98"/>
      <c r="E245" s="101">
        <v>0.09</v>
      </c>
      <c r="F245" s="88">
        <f t="shared" ref="F245:F246" si="25">E245*(100%+$F$230)</f>
        <v>0.09</v>
      </c>
      <c r="G245" s="628">
        <f t="shared" ref="G245:G249" si="26">F245*$F$227</f>
        <v>0</v>
      </c>
      <c r="H245" s="89">
        <f>+G245*'ARHIGRAM 6'!$I$16</f>
        <v>0</v>
      </c>
    </row>
    <row r="246" spans="1:27" s="13" customFormat="1" ht="14.25" x14ac:dyDescent="0.2">
      <c r="A246" s="91" t="s">
        <v>52</v>
      </c>
      <c r="B246" s="102" t="s">
        <v>744</v>
      </c>
      <c r="C246" s="102"/>
      <c r="D246" s="102"/>
      <c r="E246" s="101">
        <v>0.19</v>
      </c>
      <c r="F246" s="88">
        <f t="shared" si="25"/>
        <v>0.19</v>
      </c>
      <c r="G246" s="628">
        <f t="shared" si="26"/>
        <v>0</v>
      </c>
      <c r="H246" s="89">
        <f>+G246*'ARHIGRAM 6'!$I$16</f>
        <v>0</v>
      </c>
    </row>
    <row r="247" spans="1:27" s="13" customFormat="1" ht="14.25" x14ac:dyDescent="0.2">
      <c r="A247" s="91" t="s">
        <v>53</v>
      </c>
      <c r="B247" s="102" t="s">
        <v>848</v>
      </c>
      <c r="C247" s="102"/>
      <c r="D247" s="102"/>
      <c r="E247" s="101"/>
      <c r="F247" s="101"/>
      <c r="G247" s="628"/>
      <c r="H247" s="89"/>
    </row>
    <row r="248" spans="1:27" s="13" customFormat="1" ht="14.25" x14ac:dyDescent="0.2">
      <c r="A248" s="91" t="s">
        <v>96</v>
      </c>
      <c r="B248" s="102" t="s">
        <v>745</v>
      </c>
      <c r="C248" s="102"/>
      <c r="D248" s="102"/>
      <c r="E248" s="101">
        <v>0.22</v>
      </c>
      <c r="F248" s="101">
        <f>(E248+IF(F231="DA",-4%,0%))*(100%+F230)</f>
        <v>0.18</v>
      </c>
      <c r="G248" s="628">
        <f t="shared" si="26"/>
        <v>0</v>
      </c>
      <c r="H248" s="89">
        <f>+G248*'ARHIGRAM 6'!$I$16</f>
        <v>0</v>
      </c>
    </row>
    <row r="249" spans="1:27" s="13" customFormat="1" ht="14.25" x14ac:dyDescent="0.2">
      <c r="A249" s="91" t="s">
        <v>97</v>
      </c>
      <c r="B249" s="102" t="s">
        <v>845</v>
      </c>
      <c r="C249" s="102"/>
      <c r="D249" s="102"/>
      <c r="E249" s="101">
        <v>0.05</v>
      </c>
      <c r="F249" s="101">
        <f t="shared" ref="F249:F250" si="27">E249*(100%+$F$230)</f>
        <v>0.05</v>
      </c>
      <c r="G249" s="628">
        <f t="shared" si="26"/>
        <v>0</v>
      </c>
      <c r="H249" s="89">
        <f>+G249*'ARHIGRAM 6'!$I$16</f>
        <v>0</v>
      </c>
    </row>
    <row r="250" spans="1:27" s="800" customFormat="1" ht="14.25" x14ac:dyDescent="0.2">
      <c r="A250" s="852"/>
      <c r="B250" s="853" t="s">
        <v>965</v>
      </c>
      <c r="C250" s="853"/>
      <c r="D250" s="853"/>
      <c r="E250" s="854">
        <v>0.02</v>
      </c>
      <c r="F250" s="873">
        <f t="shared" si="27"/>
        <v>0.02</v>
      </c>
      <c r="G250" s="874">
        <f>F250*F227</f>
        <v>0</v>
      </c>
      <c r="H250" s="857">
        <f t="shared" ref="H250" si="28">+G250*$F$122</f>
        <v>0</v>
      </c>
      <c r="K250" s="13"/>
      <c r="L250" s="13"/>
      <c r="M250" s="13"/>
      <c r="N250" s="13"/>
      <c r="O250" s="13"/>
      <c r="P250" s="13"/>
      <c r="Q250" s="13"/>
      <c r="R250" s="13"/>
      <c r="S250" s="13"/>
      <c r="T250" s="13"/>
      <c r="U250" s="13"/>
      <c r="V250" s="13"/>
      <c r="W250" s="13"/>
      <c r="X250" s="13"/>
      <c r="Y250" s="13"/>
      <c r="Z250" s="13"/>
      <c r="AA250" s="13"/>
    </row>
    <row r="251" spans="1:27" s="13" customFormat="1" ht="14.25" x14ac:dyDescent="0.2">
      <c r="A251" s="118" t="s">
        <v>39</v>
      </c>
      <c r="B251" s="104" t="s">
        <v>122</v>
      </c>
      <c r="C251" s="104"/>
      <c r="D251" s="104"/>
      <c r="E251" s="105">
        <f>SUM(E252:E253)</f>
        <v>0.05</v>
      </c>
      <c r="F251" s="105">
        <f>SUM(F252:F253)</f>
        <v>0.05</v>
      </c>
      <c r="G251" s="627">
        <f>SUM(G252:G253)</f>
        <v>0</v>
      </c>
      <c r="H251" s="106">
        <f>SUM(H252:H253)</f>
        <v>0</v>
      </c>
      <c r="I251" s="127" t="e">
        <f>H251/'OSNOVNI PODATKI'!$E$329</f>
        <v>#DIV/0!</v>
      </c>
      <c r="J251" s="127" t="e">
        <f>H251/'OSNOVNI PODATKI'!$E$333</f>
        <v>#DIV/0!</v>
      </c>
    </row>
    <row r="252" spans="1:27" s="13" customFormat="1" ht="14.25" x14ac:dyDescent="0.2">
      <c r="A252" s="91" t="s">
        <v>40</v>
      </c>
      <c r="B252" s="97" t="s">
        <v>846</v>
      </c>
      <c r="C252" s="97"/>
      <c r="D252" s="97"/>
      <c r="E252" s="88">
        <v>0.03</v>
      </c>
      <c r="F252" s="88">
        <f t="shared" ref="F252:F253" si="29">E252*(100%+$F$230)</f>
        <v>0.03</v>
      </c>
      <c r="G252" s="628">
        <f t="shared" ref="G252:G253" si="30">F252*$F$227</f>
        <v>0</v>
      </c>
      <c r="H252" s="89">
        <f>+G252*'ARHIGRAM 6'!$I$16</f>
        <v>0</v>
      </c>
    </row>
    <row r="253" spans="1:27" s="13" customFormat="1" ht="14.25" x14ac:dyDescent="0.2">
      <c r="A253" s="119" t="s">
        <v>41</v>
      </c>
      <c r="B253" s="92" t="s">
        <v>202</v>
      </c>
      <c r="C253" s="92"/>
      <c r="D253" s="92"/>
      <c r="E253" s="114">
        <v>0.02</v>
      </c>
      <c r="F253" s="114">
        <f t="shared" si="29"/>
        <v>0.02</v>
      </c>
      <c r="G253" s="629">
        <f t="shared" si="30"/>
        <v>0</v>
      </c>
      <c r="H253" s="93">
        <f>+G253*'ARHIGRAM 6'!$I$16</f>
        <v>0</v>
      </c>
    </row>
    <row r="254" spans="1:27" s="13" customFormat="1" ht="14.25" x14ac:dyDescent="0.2">
      <c r="A254" s="122">
        <v>4</v>
      </c>
      <c r="B254" s="104" t="s">
        <v>60</v>
      </c>
      <c r="C254" s="104"/>
      <c r="D254" s="104"/>
      <c r="E254" s="105">
        <f>SUM(E255:E262)</f>
        <v>0.35000000000000009</v>
      </c>
      <c r="F254" s="105">
        <f>SUM(F255:F262)</f>
        <v>0.35000000000000009</v>
      </c>
      <c r="G254" s="627">
        <f>SUM(G255:G262)</f>
        <v>0</v>
      </c>
      <c r="H254" s="106">
        <f>SUM(H255:H262)</f>
        <v>0</v>
      </c>
      <c r="I254" s="127" t="e">
        <f>H254/'OSNOVNI PODATKI'!$E$329</f>
        <v>#DIV/0!</v>
      </c>
      <c r="J254" s="127" t="e">
        <f>H254/'OSNOVNI PODATKI'!$E$333</f>
        <v>#DIV/0!</v>
      </c>
    </row>
    <row r="255" spans="1:27" s="13" customFormat="1" ht="14.25" x14ac:dyDescent="0.2">
      <c r="A255" s="91" t="s">
        <v>42</v>
      </c>
      <c r="B255" s="97" t="s">
        <v>203</v>
      </c>
      <c r="C255" s="97"/>
      <c r="D255" s="97"/>
      <c r="E255" s="88"/>
      <c r="F255" s="88"/>
      <c r="G255" s="628"/>
      <c r="H255" s="89"/>
    </row>
    <row r="256" spans="1:27" s="13" customFormat="1" ht="14.25" x14ac:dyDescent="0.2">
      <c r="A256" s="91" t="s">
        <v>43</v>
      </c>
      <c r="B256" s="97" t="s">
        <v>865</v>
      </c>
      <c r="C256" s="97"/>
      <c r="D256" s="97"/>
      <c r="E256" s="88">
        <v>7.0000000000000007E-2</v>
      </c>
      <c r="F256" s="88">
        <f t="shared" ref="F256:F262" si="31">E256*(100%+$F$230)</f>
        <v>7.0000000000000007E-2</v>
      </c>
      <c r="G256" s="628">
        <f t="shared" ref="G256:G262" si="32">F256*$F$227</f>
        <v>0</v>
      </c>
      <c r="H256" s="89">
        <f>+G256*'ARHIGRAM 6'!$I$16</f>
        <v>0</v>
      </c>
    </row>
    <row r="257" spans="1:27" s="800" customFormat="1" ht="14.25" x14ac:dyDescent="0.2">
      <c r="A257" s="795"/>
      <c r="B257" s="796" t="s">
        <v>505</v>
      </c>
      <c r="C257" s="796"/>
      <c r="D257" s="796"/>
      <c r="E257" s="794">
        <v>0.23</v>
      </c>
      <c r="F257" s="801">
        <f t="shared" si="31"/>
        <v>0.23</v>
      </c>
      <c r="G257" s="846">
        <f>F257*F227</f>
        <v>0</v>
      </c>
      <c r="H257" s="803">
        <f t="shared" ref="H257" si="33">+G257*$F$122</f>
        <v>0</v>
      </c>
      <c r="K257" s="13"/>
      <c r="L257" s="13"/>
      <c r="M257" s="13"/>
      <c r="N257" s="13"/>
      <c r="O257" s="13"/>
      <c r="P257" s="13"/>
      <c r="Q257" s="13"/>
      <c r="R257" s="13"/>
      <c r="S257" s="13"/>
      <c r="T257" s="13"/>
      <c r="U257" s="13"/>
      <c r="V257" s="13"/>
      <c r="W257" s="13"/>
      <c r="X257" s="13"/>
      <c r="Y257" s="13"/>
      <c r="Z257" s="13"/>
      <c r="AA257" s="13"/>
    </row>
    <row r="258" spans="1:27" s="13" customFormat="1" ht="14.25" x14ac:dyDescent="0.2">
      <c r="A258" s="91" t="s">
        <v>44</v>
      </c>
      <c r="B258" s="97" t="s">
        <v>963</v>
      </c>
      <c r="C258" s="97"/>
      <c r="D258" s="97"/>
      <c r="E258" s="88">
        <v>6.0000000000000001E-3</v>
      </c>
      <c r="F258" s="88">
        <f t="shared" si="31"/>
        <v>6.0000000000000001E-3</v>
      </c>
      <c r="G258" s="628">
        <f t="shared" si="32"/>
        <v>0</v>
      </c>
      <c r="H258" s="89">
        <f>+G258*'ARHIGRAM 6'!$I$16</f>
        <v>0</v>
      </c>
    </row>
    <row r="259" spans="1:27" s="800" customFormat="1" ht="14.25" x14ac:dyDescent="0.2">
      <c r="A259" s="795"/>
      <c r="B259" s="796" t="s">
        <v>505</v>
      </c>
      <c r="C259" s="796"/>
      <c r="D259" s="796"/>
      <c r="E259" s="794">
        <v>4.0000000000000001E-3</v>
      </c>
      <c r="F259" s="801">
        <f t="shared" si="31"/>
        <v>4.0000000000000001E-3</v>
      </c>
      <c r="G259" s="846">
        <f>F259*F227</f>
        <v>0</v>
      </c>
      <c r="H259" s="803">
        <f t="shared" ref="H259" si="34">+G259*$F$122</f>
        <v>0</v>
      </c>
      <c r="K259" s="13"/>
      <c r="L259" s="13"/>
      <c r="M259" s="13"/>
      <c r="N259" s="13"/>
      <c r="O259" s="13"/>
      <c r="P259" s="13"/>
      <c r="Q259" s="13"/>
      <c r="R259" s="13"/>
      <c r="S259" s="13"/>
      <c r="T259" s="13"/>
      <c r="U259" s="13"/>
      <c r="V259" s="13"/>
      <c r="W259" s="13"/>
      <c r="X259" s="13"/>
      <c r="Y259" s="13"/>
      <c r="Z259" s="13"/>
      <c r="AA259" s="13"/>
    </row>
    <row r="260" spans="1:27" s="13" customFormat="1" ht="14.25" x14ac:dyDescent="0.2">
      <c r="A260" s="91" t="s">
        <v>45</v>
      </c>
      <c r="B260" s="97" t="s">
        <v>866</v>
      </c>
      <c r="C260" s="97"/>
      <c r="D260" s="97"/>
      <c r="E260" s="88">
        <v>1.2E-2</v>
      </c>
      <c r="F260" s="88">
        <f t="shared" si="31"/>
        <v>1.2E-2</v>
      </c>
      <c r="G260" s="628">
        <f t="shared" si="32"/>
        <v>0</v>
      </c>
      <c r="H260" s="89">
        <f>+G260*'ARHIGRAM 6'!$I$16</f>
        <v>0</v>
      </c>
    </row>
    <row r="261" spans="1:27" s="800" customFormat="1" ht="14.25" x14ac:dyDescent="0.2">
      <c r="A261" s="795"/>
      <c r="B261" s="796" t="s">
        <v>505</v>
      </c>
      <c r="C261" s="796"/>
      <c r="D261" s="796"/>
      <c r="E261" s="794">
        <v>8.0000000000000002E-3</v>
      </c>
      <c r="F261" s="801">
        <f t="shared" si="31"/>
        <v>8.0000000000000002E-3</v>
      </c>
      <c r="G261" s="846">
        <f>F261*F227</f>
        <v>0</v>
      </c>
      <c r="H261" s="803">
        <f t="shared" ref="H261" si="35">+G261*$F$122</f>
        <v>0</v>
      </c>
      <c r="K261" s="13"/>
      <c r="L261" s="13"/>
      <c r="M261" s="13"/>
      <c r="N261" s="13"/>
      <c r="O261" s="13"/>
      <c r="P261" s="13"/>
      <c r="Q261" s="13"/>
      <c r="R261" s="13"/>
      <c r="S261" s="13"/>
      <c r="T261" s="13"/>
      <c r="U261" s="13"/>
      <c r="V261" s="13"/>
      <c r="W261" s="13"/>
      <c r="X261" s="13"/>
      <c r="Y261" s="13"/>
      <c r="Z261" s="13"/>
      <c r="AA261" s="13"/>
    </row>
    <row r="262" spans="1:27" s="13" customFormat="1" ht="14.25" x14ac:dyDescent="0.2">
      <c r="A262" s="119" t="s">
        <v>46</v>
      </c>
      <c r="B262" s="92" t="s">
        <v>847</v>
      </c>
      <c r="C262" s="92"/>
      <c r="D262" s="92"/>
      <c r="E262" s="114">
        <v>0.02</v>
      </c>
      <c r="F262" s="114">
        <f t="shared" si="31"/>
        <v>0.02</v>
      </c>
      <c r="G262" s="629">
        <f t="shared" si="32"/>
        <v>0</v>
      </c>
      <c r="H262" s="93">
        <f>+G262*'ARHIGRAM 6'!$I$16</f>
        <v>0</v>
      </c>
    </row>
    <row r="263" spans="1:27" s="13" customFormat="1" ht="14.25" x14ac:dyDescent="0.2">
      <c r="A263" s="123">
        <v>5</v>
      </c>
      <c r="B263" s="104" t="s">
        <v>47</v>
      </c>
      <c r="C263" s="104"/>
      <c r="D263" s="104"/>
      <c r="E263" s="105">
        <f>SUM(E264:E265)</f>
        <v>0.01</v>
      </c>
      <c r="F263" s="105">
        <f>SUM(F264:F265)</f>
        <v>0.01</v>
      </c>
      <c r="G263" s="627">
        <f>SUM(G264:G265)</f>
        <v>0</v>
      </c>
      <c r="H263" s="106">
        <f>SUM(H264:H265)</f>
        <v>0</v>
      </c>
      <c r="I263" s="127" t="e">
        <f>H263/'OSNOVNI PODATKI'!$E$329</f>
        <v>#DIV/0!</v>
      </c>
      <c r="J263" s="127" t="e">
        <f>H263/'OSNOVNI PODATKI'!$E$333</f>
        <v>#DIV/0!</v>
      </c>
    </row>
    <row r="264" spans="1:27" s="13" customFormat="1" ht="14.25" x14ac:dyDescent="0.2">
      <c r="A264" s="91" t="s">
        <v>48</v>
      </c>
      <c r="B264" s="100" t="s">
        <v>205</v>
      </c>
      <c r="C264" s="100"/>
      <c r="D264" s="100"/>
      <c r="E264" s="88">
        <v>5.0000000000000001E-3</v>
      </c>
      <c r="F264" s="88">
        <f t="shared" ref="F264:F265" si="36">E264*(100%+$F$230)</f>
        <v>5.0000000000000001E-3</v>
      </c>
      <c r="G264" s="628">
        <f t="shared" ref="G264:G265" si="37">F264*$F$227</f>
        <v>0</v>
      </c>
      <c r="H264" s="89">
        <f>+G264*'ARHIGRAM 6'!$I$16</f>
        <v>0</v>
      </c>
    </row>
    <row r="265" spans="1:27" s="13" customFormat="1" ht="14.25" x14ac:dyDescent="0.2">
      <c r="A265" s="119" t="s">
        <v>49</v>
      </c>
      <c r="B265" s="125" t="s">
        <v>206</v>
      </c>
      <c r="C265" s="125"/>
      <c r="D265" s="125"/>
      <c r="E265" s="114">
        <v>5.0000000000000001E-3</v>
      </c>
      <c r="F265" s="114">
        <f t="shared" si="36"/>
        <v>5.0000000000000001E-3</v>
      </c>
      <c r="G265" s="629">
        <f t="shared" si="37"/>
        <v>0</v>
      </c>
      <c r="H265" s="93">
        <f>+G265*'ARHIGRAM 6'!$I$16</f>
        <v>0</v>
      </c>
    </row>
    <row r="266" spans="1:27" s="13" customFormat="1" ht="14.25" x14ac:dyDescent="0.2">
      <c r="A266" s="124">
        <v>6</v>
      </c>
      <c r="B266" s="104" t="s">
        <v>50</v>
      </c>
      <c r="C266" s="104"/>
      <c r="D266" s="104"/>
      <c r="E266" s="105"/>
      <c r="F266" s="105"/>
      <c r="G266" s="621"/>
      <c r="H266" s="106"/>
    </row>
    <row r="267" spans="1:27" s="13" customFormat="1" ht="14.25" x14ac:dyDescent="0.2">
      <c r="A267" s="91" t="s">
        <v>54</v>
      </c>
      <c r="B267" s="100" t="s">
        <v>207</v>
      </c>
      <c r="C267" s="100"/>
      <c r="D267" s="100"/>
      <c r="E267" s="88"/>
      <c r="F267" s="88"/>
      <c r="G267" s="622"/>
      <c r="H267" s="89"/>
    </row>
    <row r="268" spans="1:27" s="13" customFormat="1" ht="14.25" x14ac:dyDescent="0.2">
      <c r="A268" s="91" t="s">
        <v>55</v>
      </c>
      <c r="B268" s="100" t="s">
        <v>208</v>
      </c>
      <c r="C268" s="100"/>
      <c r="D268" s="100"/>
      <c r="E268" s="88"/>
      <c r="F268" s="88"/>
      <c r="G268" s="622"/>
      <c r="H268" s="89"/>
    </row>
    <row r="269" spans="1:27" s="13" customFormat="1" ht="14.25" x14ac:dyDescent="0.2">
      <c r="A269" s="119" t="s">
        <v>56</v>
      </c>
      <c r="B269" s="125" t="s">
        <v>209</v>
      </c>
      <c r="C269" s="125"/>
      <c r="D269" s="125"/>
      <c r="E269" s="114"/>
      <c r="F269" s="114"/>
      <c r="G269" s="623"/>
      <c r="H269" s="93"/>
    </row>
    <row r="270" spans="1:27" s="13" customFormat="1" ht="14.25" x14ac:dyDescent="0.2">
      <c r="A270" s="291"/>
      <c r="B270" s="292"/>
      <c r="C270" s="292"/>
      <c r="D270" s="292"/>
      <c r="E270" s="293"/>
      <c r="F270" s="96"/>
      <c r="G270" s="626"/>
      <c r="H270" s="294"/>
    </row>
    <row r="271" spans="1:27" s="13" customFormat="1" ht="14.25" x14ac:dyDescent="0.2">
      <c r="A271" s="128"/>
      <c r="B271" s="129" t="s">
        <v>1</v>
      </c>
      <c r="C271" s="129"/>
      <c r="D271" s="129"/>
      <c r="E271" s="130">
        <f>E237+E240+E244+E251+E254+E263+E266</f>
        <v>1.0000000000000002</v>
      </c>
      <c r="F271" s="130">
        <f>F237+F240+F244+F251+F254+F263+F266</f>
        <v>0.96000000000000019</v>
      </c>
      <c r="G271" s="625">
        <f>G237+G240+G244+G251+G254+G263+G266</f>
        <v>0</v>
      </c>
      <c r="H271" s="618">
        <f>H237+H240+H244+H251+H254+H263+H266</f>
        <v>0</v>
      </c>
      <c r="I271" s="127" t="e">
        <f>H271/'OSNOVNI PODATKI'!$E$329</f>
        <v>#DIV/0!</v>
      </c>
      <c r="J271" s="127" t="e">
        <f>H271/'OSNOVNI PODATKI'!$E$333</f>
        <v>#DIV/0!</v>
      </c>
    </row>
    <row r="272" spans="1:27" s="13" customFormat="1" ht="14.25" x14ac:dyDescent="0.2">
      <c r="A272" s="29"/>
      <c r="B272" s="126"/>
      <c r="E272" s="30"/>
      <c r="G272" s="30"/>
      <c r="H272" s="127"/>
    </row>
    <row r="273" spans="1:8" s="13" customFormat="1" ht="14.25" x14ac:dyDescent="0.2">
      <c r="A273" s="29"/>
      <c r="B273" s="126"/>
      <c r="E273" s="30"/>
      <c r="G273" s="30"/>
      <c r="H273" s="127"/>
    </row>
    <row r="274" spans="1:8" s="13" customFormat="1" ht="14.25" x14ac:dyDescent="0.2"/>
    <row r="275" spans="1:8" s="13" customFormat="1" ht="14.25" x14ac:dyDescent="0.2"/>
  </sheetData>
  <sheetProtection algorithmName="SHA-512" hashValue="SEB5t0g8X2YJjogD8Ux9CS/j1EejEND48aUEIO6GnuelT2SoxdkPnF+qoKzwc7fxPW0/hdU2jsDgB07aEKXdSA==" saltValue="E+j21NcJzObEuKu6SvSGmA==" spinCount="100000" sheet="1" objects="1" scenarios="1"/>
  <mergeCells count="1">
    <mergeCell ref="B231:E23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61B56-B98F-4C60-8049-6097967B2B49}">
  <sheetPr codeName="Sheet15"/>
  <dimension ref="A1:Q192"/>
  <sheetViews>
    <sheetView showGridLines="0" workbookViewId="0">
      <selection activeCell="B165" sqref="B165"/>
    </sheetView>
    <sheetView workbookViewId="1"/>
  </sheetViews>
  <sheetFormatPr defaultColWidth="9.140625" defaultRowHeight="12.75" x14ac:dyDescent="0.2"/>
  <cols>
    <col min="1" max="1" width="8.140625" style="76" customWidth="1"/>
    <col min="2" max="2" width="28.7109375" style="76" customWidth="1"/>
    <col min="3" max="8" width="13.5703125" style="76" customWidth="1"/>
    <col min="9" max="9" width="14.28515625" style="76" customWidth="1"/>
    <col min="10" max="12" width="13.5703125" style="76" customWidth="1"/>
    <col min="13" max="16384" width="9.140625" style="76"/>
  </cols>
  <sheetData>
    <row r="1" spans="1:17" ht="26.25" x14ac:dyDescent="0.2">
      <c r="B1" s="5" t="s">
        <v>947</v>
      </c>
      <c r="C1" s="4"/>
      <c r="D1" s="4"/>
      <c r="E1" s="4"/>
      <c r="F1" s="4"/>
      <c r="G1" s="4"/>
      <c r="H1" s="4"/>
      <c r="I1"/>
      <c r="J1"/>
      <c r="K1"/>
      <c r="L1"/>
      <c r="Q1" s="5"/>
    </row>
    <row r="2" spans="1:17" ht="15" thickBot="1" x14ac:dyDescent="0.25">
      <c r="B2" s="11"/>
    </row>
    <row r="3" spans="1:17" s="78" customFormat="1" ht="18.75" x14ac:dyDescent="0.2">
      <c r="A3" s="831" t="s">
        <v>922</v>
      </c>
      <c r="B3" s="831"/>
      <c r="C3" s="831"/>
      <c r="D3" s="831"/>
      <c r="E3" s="831"/>
      <c r="F3" s="831"/>
      <c r="G3" s="831"/>
      <c r="H3" s="831"/>
      <c r="I3" s="831"/>
      <c r="K3" s="208"/>
    </row>
    <row r="4" spans="1:17" s="78" customFormat="1" ht="18.75" x14ac:dyDescent="0.2">
      <c r="A4" s="882"/>
      <c r="B4" s="882"/>
      <c r="C4" s="882"/>
      <c r="D4" s="882"/>
      <c r="E4" s="882"/>
      <c r="F4" s="882"/>
      <c r="G4" s="882"/>
      <c r="H4" s="882"/>
      <c r="I4" s="882"/>
      <c r="K4" s="208"/>
    </row>
    <row r="5" spans="1:17" s="78" customFormat="1" x14ac:dyDescent="0.2">
      <c r="A5" s="81"/>
      <c r="B5" s="550" t="s">
        <v>950</v>
      </c>
      <c r="C5" s="657">
        <f>'OSNOVNI PODATKI'!F11</f>
        <v>1</v>
      </c>
      <c r="D5" s="550" t="str">
        <f>IF(C5=1,'OSNOVNI PODATKI'!B11,'OSNOVNI PODATKI'!B12)</f>
        <v>ENA STAVBA Z RAZLIČNIMI DELI (PRI IZRAČUNU POTREBNIH NU SE UPOŠTEVA SEŠTEVEK POVRŠIN VSEH DELOV)</v>
      </c>
      <c r="E5" s="509"/>
      <c r="F5" s="509"/>
      <c r="G5" s="210"/>
      <c r="H5" s="210"/>
      <c r="I5" s="210"/>
    </row>
    <row r="6" spans="1:17" s="78" customFormat="1" x14ac:dyDescent="0.2">
      <c r="A6" s="81"/>
      <c r="B6" s="550" t="s">
        <v>951</v>
      </c>
      <c r="C6" s="632">
        <f>'OSNOVNI PODATKI'!E326</f>
        <v>0</v>
      </c>
      <c r="D6" s="550"/>
      <c r="E6" s="509"/>
      <c r="F6" s="509"/>
      <c r="G6" s="210"/>
      <c r="H6" s="210"/>
      <c r="I6" s="210"/>
    </row>
    <row r="7" spans="1:17" s="78" customFormat="1" x14ac:dyDescent="0.2">
      <c r="A7" s="81"/>
      <c r="B7" s="661" t="s">
        <v>961</v>
      </c>
      <c r="D7" s="212"/>
      <c r="E7" s="212"/>
    </row>
    <row r="8" spans="1:17" s="78" customFormat="1" x14ac:dyDescent="0.2">
      <c r="A8" s="81"/>
      <c r="B8" s="212" t="str">
        <f>'OSNOVNI PODATKI'!A14</f>
        <v>STAVBA 1 / DEL 1</v>
      </c>
      <c r="C8" s="553">
        <f>'OSNOVNI PODATKI'!E14</f>
        <v>0</v>
      </c>
      <c r="D8" s="212"/>
      <c r="E8" s="212"/>
    </row>
    <row r="9" spans="1:17" s="78" customFormat="1" x14ac:dyDescent="0.2">
      <c r="A9" s="81"/>
      <c r="B9" s="205" t="s">
        <v>722</v>
      </c>
      <c r="C9" s="86">
        <f>'OSNOVNI PODATKI'!E15</f>
        <v>0</v>
      </c>
      <c r="D9" s="509"/>
      <c r="E9" s="509"/>
    </row>
    <row r="10" spans="1:17" s="78" customFormat="1" x14ac:dyDescent="0.2">
      <c r="A10" s="81"/>
      <c r="B10" s="205" t="s">
        <v>952</v>
      </c>
      <c r="C10" s="86">
        <f>'OSNOVNI PODATKI'!E16</f>
        <v>0</v>
      </c>
      <c r="D10" s="509"/>
      <c r="E10" s="509"/>
    </row>
    <row r="11" spans="1:17" s="78" customFormat="1" x14ac:dyDescent="0.2">
      <c r="A11" s="81"/>
      <c r="B11" s="205" t="s">
        <v>953</v>
      </c>
      <c r="C11" s="86">
        <f>IF($C$5=1,$C$6,C10)</f>
        <v>0</v>
      </c>
      <c r="D11" s="509"/>
      <c r="E11" s="509"/>
    </row>
    <row r="12" spans="1:17" s="78" customFormat="1" x14ac:dyDescent="0.2">
      <c r="A12" s="81"/>
      <c r="B12" s="550" t="s">
        <v>885</v>
      </c>
      <c r="C12" s="549" t="str">
        <f>'OSNOVNI PODATKI'!E26</f>
        <v>/</v>
      </c>
      <c r="D12" s="509"/>
      <c r="E12" s="509"/>
    </row>
    <row r="13" spans="1:17" s="78" customFormat="1" x14ac:dyDescent="0.2">
      <c r="A13" s="81"/>
      <c r="B13" s="205" t="s">
        <v>117</v>
      </c>
      <c r="C13" s="86" t="str">
        <f>'OSNOVNI PODATKI'!E22</f>
        <v>Cenovni razred I</v>
      </c>
      <c r="D13" s="509"/>
      <c r="E13" s="509"/>
    </row>
    <row r="14" spans="1:17" s="78" customFormat="1" x14ac:dyDescent="0.2">
      <c r="A14" s="81"/>
      <c r="B14" s="542" t="s">
        <v>84</v>
      </c>
      <c r="C14" s="543" t="str">
        <f>IFERROR(0.0122*POWER(C11*(1000+C12),0.5823)/C11,"/")</f>
        <v>/</v>
      </c>
      <c r="D14" s="544" t="s">
        <v>878</v>
      </c>
      <c r="E14" s="212"/>
    </row>
    <row r="15" spans="1:17" s="78" customFormat="1" x14ac:dyDescent="0.2">
      <c r="A15" s="81"/>
      <c r="B15" s="545" t="s">
        <v>85</v>
      </c>
      <c r="C15" s="546" t="str">
        <f>IFERROR(0.0138*POWER(C11*(1000+C12),0.5835)/C11,"/")</f>
        <v>/</v>
      </c>
      <c r="D15" s="508" t="s">
        <v>878</v>
      </c>
      <c r="E15" s="212"/>
    </row>
    <row r="16" spans="1:17" s="78" customFormat="1" x14ac:dyDescent="0.2">
      <c r="A16" s="81"/>
      <c r="B16" s="545" t="s">
        <v>86</v>
      </c>
      <c r="C16" s="546" t="str">
        <f>IFERROR(0.0168*POWER(C11*(1000+C12),0.5814)/C11,"/")</f>
        <v>/</v>
      </c>
      <c r="D16" s="508" t="s">
        <v>878</v>
      </c>
      <c r="E16" s="212"/>
    </row>
    <row r="17" spans="1:5" s="78" customFormat="1" x14ac:dyDescent="0.2">
      <c r="A17" s="81"/>
      <c r="B17" s="545" t="s">
        <v>87</v>
      </c>
      <c r="C17" s="546" t="str">
        <f>IFERROR(0.0201*POWER(C11*(1000+C12),0.5829)/C11,"/")</f>
        <v>/</v>
      </c>
      <c r="D17" s="508" t="s">
        <v>878</v>
      </c>
      <c r="E17" s="212"/>
    </row>
    <row r="18" spans="1:5" s="78" customFormat="1" x14ac:dyDescent="0.2">
      <c r="A18" s="81"/>
      <c r="B18" s="545"/>
      <c r="C18" s="546"/>
      <c r="D18" s="508"/>
      <c r="E18" s="212"/>
    </row>
    <row r="19" spans="1:5" s="78" customFormat="1" x14ac:dyDescent="0.2">
      <c r="A19" s="81"/>
      <c r="B19" s="545"/>
      <c r="C19" s="546"/>
      <c r="D19" s="508"/>
      <c r="E19" s="212"/>
    </row>
    <row r="20" spans="1:5" s="78" customFormat="1" x14ac:dyDescent="0.2">
      <c r="A20" s="81"/>
      <c r="B20" s="545" t="str">
        <f>'OSNOVNI PODATKI'!B68</f>
        <v>GRADBENO OBRTNIŠKA DELA (GO)</v>
      </c>
      <c r="C20" s="651">
        <f>'OSNOVNI PODATKI'!D37</f>
        <v>0</v>
      </c>
      <c r="D20" s="649"/>
      <c r="E20" s="654" t="e">
        <f>C20*$C$11*(1000+$C$12)</f>
        <v>#VALUE!</v>
      </c>
    </row>
    <row r="21" spans="1:5" s="78" customFormat="1" x14ac:dyDescent="0.2">
      <c r="A21" s="81"/>
      <c r="B21" s="545" t="str">
        <f>'OSNOVNI PODATKI'!B69</f>
        <v>ELEKTRIČNE INŠTALACIJE (EI)</v>
      </c>
      <c r="C21" s="651">
        <f>'OSNOVNI PODATKI'!D38</f>
        <v>0</v>
      </c>
      <c r="D21" s="649"/>
      <c r="E21" s="654" t="e">
        <f t="shared" ref="E21:E23" si="0">C21*$C$11*(1000+$C$12)</f>
        <v>#VALUE!</v>
      </c>
    </row>
    <row r="22" spans="1:5" s="78" customFormat="1" x14ac:dyDescent="0.2">
      <c r="A22" s="81"/>
      <c r="B22" s="545" t="str">
        <f>'OSNOVNI PODATKI'!B70</f>
        <v>STROJNE INŠTALACIJE (SI)</v>
      </c>
      <c r="C22" s="651">
        <f>'OSNOVNI PODATKI'!D39</f>
        <v>0</v>
      </c>
      <c r="D22" s="649"/>
      <c r="E22" s="654" t="e">
        <f t="shared" si="0"/>
        <v>#VALUE!</v>
      </c>
    </row>
    <row r="23" spans="1:5" s="78" customFormat="1" x14ac:dyDescent="0.2">
      <c r="A23" s="81"/>
      <c r="B23" s="545" t="str">
        <f>'OSNOVNI PODATKI'!B71</f>
        <v>TEHNOLOGIJA (TH)</v>
      </c>
      <c r="C23" s="651">
        <f>'OSNOVNI PODATKI'!D40</f>
        <v>0</v>
      </c>
      <c r="D23" s="649"/>
      <c r="E23" s="654" t="e">
        <f t="shared" si="0"/>
        <v>#VALUE!</v>
      </c>
    </row>
    <row r="24" spans="1:5" s="78" customFormat="1" x14ac:dyDescent="0.2">
      <c r="A24" s="81"/>
      <c r="C24" s="655"/>
      <c r="D24" s="509"/>
      <c r="E24" s="656"/>
    </row>
    <row r="25" spans="1:5" s="78" customFormat="1" ht="14.25" x14ac:dyDescent="0.2">
      <c r="B25" s="86" t="s">
        <v>886</v>
      </c>
      <c r="C25" s="527" t="str">
        <f>IFERROR(LOOKUP(C13,B14:C17),"/")</f>
        <v>/</v>
      </c>
      <c r="D25" s="394" t="s">
        <v>877</v>
      </c>
      <c r="E25" s="509"/>
    </row>
    <row r="26" spans="1:5" s="78" customFormat="1" ht="14.25" x14ac:dyDescent="0.2">
      <c r="B26" s="86" t="s">
        <v>887</v>
      </c>
      <c r="C26" s="527" t="str" cm="1">
        <f t="array" ref="C26">IFERROR(INDEX(C14:C17,MATCH(C13,B14:B17)+1),"/")</f>
        <v>/</v>
      </c>
      <c r="D26" s="394" t="s">
        <v>877</v>
      </c>
      <c r="E26" s="509"/>
    </row>
    <row r="27" spans="1:5" s="78" customFormat="1" x14ac:dyDescent="0.2">
      <c r="B27" s="86" t="s">
        <v>737</v>
      </c>
      <c r="C27" s="551">
        <f>IFERROR(ROUND(C25*$C10,0),0)</f>
        <v>0</v>
      </c>
      <c r="D27" s="394" t="s">
        <v>879</v>
      </c>
      <c r="E27" s="509"/>
    </row>
    <row r="28" spans="1:5" s="78" customFormat="1" x14ac:dyDescent="0.2">
      <c r="B28" s="86" t="s">
        <v>738</v>
      </c>
      <c r="C28" s="551">
        <f>IFERROR(ROUND(C26*$C10,0),0)</f>
        <v>0</v>
      </c>
      <c r="D28" s="394" t="s">
        <v>879</v>
      </c>
      <c r="E28" s="509"/>
    </row>
    <row r="29" spans="1:5" s="78" customFormat="1" x14ac:dyDescent="0.2">
      <c r="A29" s="81"/>
      <c r="C29" s="300"/>
      <c r="D29" s="212"/>
      <c r="E29" s="212"/>
    </row>
    <row r="30" spans="1:5" s="78" customFormat="1" x14ac:dyDescent="0.2">
      <c r="A30" s="81"/>
      <c r="B30" s="212" t="str">
        <f>'OSNOVNI PODATKI'!A45</f>
        <v>STAVBA 2 / DEL 2</v>
      </c>
      <c r="C30" s="553">
        <f>'OSNOVNI PODATKI'!E45</f>
        <v>0</v>
      </c>
      <c r="D30" s="212"/>
      <c r="E30" s="212"/>
    </row>
    <row r="31" spans="1:5" s="78" customFormat="1" x14ac:dyDescent="0.2">
      <c r="A31" s="81"/>
      <c r="B31" s="205" t="s">
        <v>722</v>
      </c>
      <c r="C31" s="86">
        <f>'OSNOVNI PODATKI'!E46</f>
        <v>0</v>
      </c>
      <c r="D31" s="509"/>
      <c r="E31" s="509"/>
    </row>
    <row r="32" spans="1:5" s="78" customFormat="1" x14ac:dyDescent="0.2">
      <c r="A32" s="81"/>
      <c r="B32" s="205" t="s">
        <v>952</v>
      </c>
      <c r="C32" s="86">
        <f>'OSNOVNI PODATKI'!E47</f>
        <v>0</v>
      </c>
      <c r="D32" s="509"/>
      <c r="E32" s="509"/>
    </row>
    <row r="33" spans="1:5" s="78" customFormat="1" x14ac:dyDescent="0.2">
      <c r="A33" s="81"/>
      <c r="B33" s="205" t="s">
        <v>953</v>
      </c>
      <c r="C33" s="86">
        <f>IF($C$5=1,$C$6,C32)</f>
        <v>0</v>
      </c>
      <c r="D33" s="509"/>
      <c r="E33" s="509"/>
    </row>
    <row r="34" spans="1:5" s="78" customFormat="1" x14ac:dyDescent="0.2">
      <c r="A34" s="81"/>
      <c r="B34" s="550" t="s">
        <v>885</v>
      </c>
      <c r="C34" s="549" t="str">
        <f>'OSNOVNI PODATKI'!E57</f>
        <v>/</v>
      </c>
      <c r="D34" s="509"/>
      <c r="E34" s="509"/>
    </row>
    <row r="35" spans="1:5" s="78" customFormat="1" x14ac:dyDescent="0.2">
      <c r="A35" s="81"/>
      <c r="B35" s="205" t="s">
        <v>117</v>
      </c>
      <c r="C35" s="86" t="str">
        <f>'OSNOVNI PODATKI'!E53</f>
        <v>Cenovni razred II</v>
      </c>
      <c r="D35" s="509"/>
      <c r="E35" s="509"/>
    </row>
    <row r="36" spans="1:5" s="78" customFormat="1" x14ac:dyDescent="0.2">
      <c r="A36" s="81"/>
      <c r="B36" s="542" t="s">
        <v>84</v>
      </c>
      <c r="C36" s="543" t="str">
        <f>IFERROR(0.0122*POWER(C33*(1000+C34),0.5823)/C33,"/")</f>
        <v>/</v>
      </c>
      <c r="D36" s="544" t="s">
        <v>878</v>
      </c>
      <c r="E36" s="212"/>
    </row>
    <row r="37" spans="1:5" s="78" customFormat="1" x14ac:dyDescent="0.2">
      <c r="A37" s="81"/>
      <c r="B37" s="545" t="s">
        <v>85</v>
      </c>
      <c r="C37" s="546" t="str">
        <f>IFERROR(0.0138*POWER(C33*(1000+C34),0.5835)/C33,"/")</f>
        <v>/</v>
      </c>
      <c r="D37" s="508" t="s">
        <v>878</v>
      </c>
      <c r="E37" s="212"/>
    </row>
    <row r="38" spans="1:5" s="78" customFormat="1" x14ac:dyDescent="0.2">
      <c r="A38" s="81"/>
      <c r="B38" s="545" t="s">
        <v>86</v>
      </c>
      <c r="C38" s="546" t="str">
        <f>IFERROR(0.0168*POWER(C33*(1000+C34),0.5814)/C33,"/")</f>
        <v>/</v>
      </c>
      <c r="D38" s="508" t="s">
        <v>878</v>
      </c>
      <c r="E38" s="212"/>
    </row>
    <row r="39" spans="1:5" s="78" customFormat="1" x14ac:dyDescent="0.2">
      <c r="A39" s="81"/>
      <c r="B39" s="545" t="s">
        <v>87</v>
      </c>
      <c r="C39" s="546" t="str">
        <f>IFERROR(0.0201*POWER(C33*(1000+C34),0.5829)/C33,"/")</f>
        <v>/</v>
      </c>
      <c r="D39" s="508" t="s">
        <v>878</v>
      </c>
      <c r="E39" s="212"/>
    </row>
    <row r="40" spans="1:5" s="78" customFormat="1" x14ac:dyDescent="0.2">
      <c r="A40" s="81"/>
      <c r="B40" s="545"/>
      <c r="C40" s="546"/>
      <c r="D40" s="508"/>
      <c r="E40" s="212"/>
    </row>
    <row r="41" spans="1:5" s="78" customFormat="1" x14ac:dyDescent="0.2">
      <c r="A41" s="81"/>
      <c r="B41" s="545"/>
      <c r="C41" s="546"/>
      <c r="D41" s="508"/>
      <c r="E41" s="212"/>
    </row>
    <row r="42" spans="1:5" s="78" customFormat="1" x14ac:dyDescent="0.2">
      <c r="A42" s="81"/>
      <c r="B42" s="545" t="str">
        <f>'OSNOVNI PODATKI'!B68</f>
        <v>GRADBENO OBRTNIŠKA DELA (GO)</v>
      </c>
      <c r="C42" s="651">
        <f>'OSNOVNI PODATKI'!D68</f>
        <v>0</v>
      </c>
      <c r="D42" s="649"/>
      <c r="E42" s="654" t="e">
        <f>C42*$C$33*(1000+$C$34)</f>
        <v>#VALUE!</v>
      </c>
    </row>
    <row r="43" spans="1:5" s="78" customFormat="1" x14ac:dyDescent="0.2">
      <c r="A43" s="81"/>
      <c r="B43" s="545" t="str">
        <f>'OSNOVNI PODATKI'!B69</f>
        <v>ELEKTRIČNE INŠTALACIJE (EI)</v>
      </c>
      <c r="C43" s="651">
        <f>'OSNOVNI PODATKI'!D69</f>
        <v>0</v>
      </c>
      <c r="D43" s="649"/>
      <c r="E43" s="654" t="e">
        <f t="shared" ref="E43:E45" si="1">C43*$C$11*(1000+$C$12)</f>
        <v>#VALUE!</v>
      </c>
    </row>
    <row r="44" spans="1:5" s="78" customFormat="1" x14ac:dyDescent="0.2">
      <c r="A44" s="81"/>
      <c r="B44" s="545" t="str">
        <f>'OSNOVNI PODATKI'!B70</f>
        <v>STROJNE INŠTALACIJE (SI)</v>
      </c>
      <c r="C44" s="651">
        <f>'OSNOVNI PODATKI'!D70</f>
        <v>0</v>
      </c>
      <c r="D44" s="649"/>
      <c r="E44" s="654" t="e">
        <f t="shared" si="1"/>
        <v>#VALUE!</v>
      </c>
    </row>
    <row r="45" spans="1:5" s="78" customFormat="1" x14ac:dyDescent="0.2">
      <c r="A45" s="81"/>
      <c r="B45" s="545" t="str">
        <f>'OSNOVNI PODATKI'!B71</f>
        <v>TEHNOLOGIJA (TH)</v>
      </c>
      <c r="C45" s="651">
        <f>'OSNOVNI PODATKI'!D71</f>
        <v>0</v>
      </c>
      <c r="D45" s="649"/>
      <c r="E45" s="654" t="e">
        <f t="shared" si="1"/>
        <v>#VALUE!</v>
      </c>
    </row>
    <row r="46" spans="1:5" s="78" customFormat="1" x14ac:dyDescent="0.2">
      <c r="A46" s="81"/>
      <c r="C46" s="86"/>
      <c r="D46" s="509"/>
      <c r="E46" s="509"/>
    </row>
    <row r="47" spans="1:5" s="78" customFormat="1" ht="14.25" x14ac:dyDescent="0.2">
      <c r="B47" s="86" t="s">
        <v>886</v>
      </c>
      <c r="C47" s="527" t="str">
        <f>IFERROR(LOOKUP(C35,B36:C39),"/")</f>
        <v>/</v>
      </c>
      <c r="D47" s="394" t="s">
        <v>877</v>
      </c>
      <c r="E47" s="509"/>
    </row>
    <row r="48" spans="1:5" s="78" customFormat="1" ht="14.25" x14ac:dyDescent="0.2">
      <c r="B48" s="86" t="s">
        <v>887</v>
      </c>
      <c r="C48" s="527" t="str" cm="1">
        <f t="array" ref="C48">IFERROR(INDEX(C36:C39,MATCH(C35,B36:B39)+1),"/")</f>
        <v>/</v>
      </c>
      <c r="D48" s="394" t="s">
        <v>877</v>
      </c>
      <c r="E48" s="509"/>
    </row>
    <row r="49" spans="1:5" s="78" customFormat="1" x14ac:dyDescent="0.2">
      <c r="B49" s="86" t="s">
        <v>737</v>
      </c>
      <c r="C49" s="551">
        <f>IFERROR(ROUND(C47*$C32,0),0)</f>
        <v>0</v>
      </c>
      <c r="D49" s="394" t="s">
        <v>879</v>
      </c>
      <c r="E49" s="509"/>
    </row>
    <row r="50" spans="1:5" s="78" customFormat="1" x14ac:dyDescent="0.2">
      <c r="B50" s="86" t="s">
        <v>738</v>
      </c>
      <c r="C50" s="551">
        <f>IFERROR(ROUND(C48*$C32,0),0)</f>
        <v>0</v>
      </c>
      <c r="D50" s="394" t="s">
        <v>879</v>
      </c>
      <c r="E50" s="509"/>
    </row>
    <row r="51" spans="1:5" s="78" customFormat="1" x14ac:dyDescent="0.2">
      <c r="A51" s="81"/>
      <c r="C51" s="212"/>
      <c r="D51" s="212"/>
      <c r="E51" s="212"/>
    </row>
    <row r="52" spans="1:5" s="78" customFormat="1" x14ac:dyDescent="0.2">
      <c r="A52" s="81"/>
      <c r="B52" s="212" t="str">
        <f>'OSNOVNI PODATKI'!A76</f>
        <v>STAVBA 3 / DEL 3</v>
      </c>
      <c r="C52" s="553">
        <f>'OSNOVNI PODATKI'!E76</f>
        <v>0</v>
      </c>
      <c r="D52" s="212"/>
      <c r="E52" s="212"/>
    </row>
    <row r="53" spans="1:5" s="78" customFormat="1" x14ac:dyDescent="0.2">
      <c r="A53" s="81"/>
      <c r="B53" s="205" t="s">
        <v>722</v>
      </c>
      <c r="C53" s="86">
        <f>'OSNOVNI PODATKI'!E77</f>
        <v>0</v>
      </c>
      <c r="D53" s="509"/>
      <c r="E53" s="509"/>
    </row>
    <row r="54" spans="1:5" s="78" customFormat="1" x14ac:dyDescent="0.2">
      <c r="A54" s="81"/>
      <c r="B54" s="205" t="s">
        <v>952</v>
      </c>
      <c r="C54" s="86">
        <f>'OSNOVNI PODATKI'!E78</f>
        <v>0</v>
      </c>
      <c r="D54" s="509"/>
      <c r="E54" s="509"/>
    </row>
    <row r="55" spans="1:5" s="78" customFormat="1" x14ac:dyDescent="0.2">
      <c r="A55" s="81"/>
      <c r="B55" s="205" t="s">
        <v>953</v>
      </c>
      <c r="C55" s="86">
        <f>IF($C$5=1,$C$6,C54)</f>
        <v>0</v>
      </c>
      <c r="D55" s="509"/>
      <c r="E55" s="509"/>
    </row>
    <row r="56" spans="1:5" s="78" customFormat="1" x14ac:dyDescent="0.2">
      <c r="A56" s="81"/>
      <c r="B56" s="550" t="s">
        <v>885</v>
      </c>
      <c r="C56" s="549" t="str">
        <f>'OSNOVNI PODATKI'!E88</f>
        <v>/</v>
      </c>
      <c r="D56" s="509"/>
      <c r="E56" s="509"/>
    </row>
    <row r="57" spans="1:5" s="78" customFormat="1" x14ac:dyDescent="0.2">
      <c r="A57" s="81"/>
      <c r="B57" s="205" t="s">
        <v>117</v>
      </c>
      <c r="C57" s="86" t="str">
        <f>'OSNOVNI PODATKI'!E84</f>
        <v>Cenovni razred II</v>
      </c>
      <c r="D57" s="509"/>
      <c r="E57" s="509"/>
    </row>
    <row r="58" spans="1:5" s="78" customFormat="1" x14ac:dyDescent="0.2">
      <c r="A58" s="81"/>
      <c r="B58" s="542" t="s">
        <v>84</v>
      </c>
      <c r="C58" s="543" t="str">
        <f>IFERROR(0.0122*POWER(C55*(1000+C56),0.5823)/C55,"/")</f>
        <v>/</v>
      </c>
      <c r="D58" s="544" t="s">
        <v>878</v>
      </c>
      <c r="E58" s="212"/>
    </row>
    <row r="59" spans="1:5" s="78" customFormat="1" x14ac:dyDescent="0.2">
      <c r="A59" s="81"/>
      <c r="B59" s="545" t="s">
        <v>85</v>
      </c>
      <c r="C59" s="546" t="str">
        <f>IFERROR(0.0138*POWER(C55*(1000+C56),0.5835)/C55,"/")</f>
        <v>/</v>
      </c>
      <c r="D59" s="508" t="s">
        <v>878</v>
      </c>
      <c r="E59" s="212"/>
    </row>
    <row r="60" spans="1:5" s="78" customFormat="1" x14ac:dyDescent="0.2">
      <c r="A60" s="81"/>
      <c r="B60" s="545" t="s">
        <v>86</v>
      </c>
      <c r="C60" s="546" t="str">
        <f>IFERROR(0.0168*POWER(C55*(1000+C56),0.5814)/C55,"/")</f>
        <v>/</v>
      </c>
      <c r="D60" s="508" t="s">
        <v>878</v>
      </c>
      <c r="E60" s="212"/>
    </row>
    <row r="61" spans="1:5" s="78" customFormat="1" x14ac:dyDescent="0.2">
      <c r="A61" s="81"/>
      <c r="B61" s="545" t="s">
        <v>87</v>
      </c>
      <c r="C61" s="546" t="str">
        <f>IFERROR(0.0201*POWER(C55*(1000+C56),0.5829)/C55,"/")</f>
        <v>/</v>
      </c>
      <c r="D61" s="508" t="s">
        <v>878</v>
      </c>
      <c r="E61" s="212"/>
    </row>
    <row r="62" spans="1:5" s="78" customFormat="1" x14ac:dyDescent="0.2">
      <c r="A62" s="81"/>
      <c r="B62" s="545"/>
      <c r="C62" s="546"/>
      <c r="D62" s="508"/>
      <c r="E62" s="212"/>
    </row>
    <row r="63" spans="1:5" s="78" customFormat="1" x14ac:dyDescent="0.2">
      <c r="A63" s="81"/>
      <c r="B63" s="545"/>
      <c r="C63" s="546"/>
      <c r="D63" s="508"/>
      <c r="E63" s="212"/>
    </row>
    <row r="64" spans="1:5" s="78" customFormat="1" x14ac:dyDescent="0.2">
      <c r="A64" s="81"/>
      <c r="B64" s="545" t="str">
        <f>'OSNOVNI PODATKI'!B99</f>
        <v>GRADBENO OBRTNIŠKA DELA (GO)</v>
      </c>
      <c r="C64" s="651">
        <f>'OSNOVNI PODATKI'!D99</f>
        <v>0</v>
      </c>
      <c r="D64" s="649"/>
      <c r="E64" s="654" t="e">
        <f>C64*$C$11*(1000+$C$12)</f>
        <v>#VALUE!</v>
      </c>
    </row>
    <row r="65" spans="1:5" s="78" customFormat="1" x14ac:dyDescent="0.2">
      <c r="A65" s="81"/>
      <c r="B65" s="545" t="str">
        <f>'OSNOVNI PODATKI'!B100</f>
        <v>ELEKTRIČNE INŠTALACIJE (EI)</v>
      </c>
      <c r="C65" s="651">
        <f>'OSNOVNI PODATKI'!D100</f>
        <v>0</v>
      </c>
      <c r="D65" s="649"/>
      <c r="E65" s="654" t="e">
        <f t="shared" ref="E65:E67" si="2">C65*$C$11*(1000+$C$12)</f>
        <v>#VALUE!</v>
      </c>
    </row>
    <row r="66" spans="1:5" s="78" customFormat="1" x14ac:dyDescent="0.2">
      <c r="A66" s="81"/>
      <c r="B66" s="545" t="str">
        <f>'OSNOVNI PODATKI'!B101</f>
        <v>STROJNE INŠTALACIJE (SI)</v>
      </c>
      <c r="C66" s="651">
        <f>'OSNOVNI PODATKI'!D101</f>
        <v>0</v>
      </c>
      <c r="D66" s="649"/>
      <c r="E66" s="654" t="e">
        <f t="shared" si="2"/>
        <v>#VALUE!</v>
      </c>
    </row>
    <row r="67" spans="1:5" s="78" customFormat="1" x14ac:dyDescent="0.2">
      <c r="A67" s="81"/>
      <c r="B67" s="545" t="str">
        <f>'OSNOVNI PODATKI'!B102</f>
        <v>TEHNOLOGIJA (TH)</v>
      </c>
      <c r="C67" s="651">
        <f>'OSNOVNI PODATKI'!D102</f>
        <v>0</v>
      </c>
      <c r="D67" s="649"/>
      <c r="E67" s="654" t="e">
        <f t="shared" si="2"/>
        <v>#VALUE!</v>
      </c>
    </row>
    <row r="68" spans="1:5" s="78" customFormat="1" x14ac:dyDescent="0.2">
      <c r="A68" s="81"/>
      <c r="C68" s="86"/>
      <c r="D68" s="509"/>
      <c r="E68" s="509"/>
    </row>
    <row r="69" spans="1:5" s="78" customFormat="1" ht="14.25" x14ac:dyDescent="0.2">
      <c r="B69" s="86" t="s">
        <v>886</v>
      </c>
      <c r="C69" s="527" t="str">
        <f>IFERROR(LOOKUP(C57,B58:C61),"/")</f>
        <v>/</v>
      </c>
      <c r="D69" s="394" t="s">
        <v>877</v>
      </c>
      <c r="E69" s="509"/>
    </row>
    <row r="70" spans="1:5" s="78" customFormat="1" ht="14.25" x14ac:dyDescent="0.2">
      <c r="B70" s="86" t="s">
        <v>887</v>
      </c>
      <c r="C70" s="527" t="str" cm="1">
        <f t="array" ref="C70">IFERROR(INDEX(C58:C61,MATCH(C57,B58:B61)+1),"/")</f>
        <v>/</v>
      </c>
      <c r="D70" s="394" t="s">
        <v>877</v>
      </c>
      <c r="E70" s="509"/>
    </row>
    <row r="71" spans="1:5" s="78" customFormat="1" x14ac:dyDescent="0.2">
      <c r="B71" s="86" t="s">
        <v>737</v>
      </c>
      <c r="C71" s="551">
        <f>IFERROR(ROUND(C69*$C54,0),0)</f>
        <v>0</v>
      </c>
      <c r="D71" s="394" t="s">
        <v>879</v>
      </c>
      <c r="E71" s="509"/>
    </row>
    <row r="72" spans="1:5" s="78" customFormat="1" x14ac:dyDescent="0.2">
      <c r="B72" s="86" t="s">
        <v>738</v>
      </c>
      <c r="C72" s="551">
        <f>IFERROR(ROUND(C70*$C54,0),0)</f>
        <v>0</v>
      </c>
      <c r="D72" s="394" t="s">
        <v>879</v>
      </c>
      <c r="E72" s="509"/>
    </row>
    <row r="73" spans="1:5" s="78" customFormat="1" x14ac:dyDescent="0.2">
      <c r="A73" s="81"/>
      <c r="C73" s="212"/>
      <c r="D73" s="212"/>
      <c r="E73" s="212"/>
    </row>
    <row r="74" spans="1:5" s="78" customFormat="1" x14ac:dyDescent="0.2">
      <c r="A74" s="81"/>
      <c r="B74" s="212" t="str">
        <f>'OSNOVNI PODATKI'!A107</f>
        <v>STAVBA 4 / DEL 4</v>
      </c>
      <c r="C74" s="553">
        <f>'OSNOVNI PODATKI'!E107</f>
        <v>0</v>
      </c>
      <c r="D74" s="212"/>
      <c r="E74" s="212"/>
    </row>
    <row r="75" spans="1:5" s="78" customFormat="1" x14ac:dyDescent="0.2">
      <c r="A75" s="81"/>
      <c r="B75" s="205" t="s">
        <v>722</v>
      </c>
      <c r="C75" s="86">
        <f>'OSNOVNI PODATKI'!E108</f>
        <v>0</v>
      </c>
      <c r="D75" s="509"/>
      <c r="E75" s="509"/>
    </row>
    <row r="76" spans="1:5" s="78" customFormat="1" x14ac:dyDescent="0.2">
      <c r="A76" s="81"/>
      <c r="B76" s="205" t="s">
        <v>952</v>
      </c>
      <c r="C76" s="86">
        <f>'OSNOVNI PODATKI'!E109</f>
        <v>0</v>
      </c>
      <c r="D76" s="509"/>
      <c r="E76" s="509"/>
    </row>
    <row r="77" spans="1:5" s="78" customFormat="1" x14ac:dyDescent="0.2">
      <c r="A77" s="81"/>
      <c r="B77" s="205" t="s">
        <v>953</v>
      </c>
      <c r="C77" s="86">
        <f>IF($C$5=1,$C$6,C76)</f>
        <v>0</v>
      </c>
      <c r="D77" s="509"/>
      <c r="E77" s="509"/>
    </row>
    <row r="78" spans="1:5" s="78" customFormat="1" x14ac:dyDescent="0.2">
      <c r="A78" s="81"/>
      <c r="B78" s="550" t="s">
        <v>885</v>
      </c>
      <c r="C78" s="549" t="str">
        <f>'OSNOVNI PODATKI'!E119</f>
        <v>/</v>
      </c>
      <c r="D78" s="509"/>
      <c r="E78" s="509"/>
    </row>
    <row r="79" spans="1:5" s="78" customFormat="1" x14ac:dyDescent="0.2">
      <c r="A79" s="81"/>
      <c r="B79" s="205" t="s">
        <v>117</v>
      </c>
      <c r="C79" s="86" t="str">
        <f>'OSNOVNI PODATKI'!E115</f>
        <v>Cenovni razred II</v>
      </c>
      <c r="D79" s="509"/>
      <c r="E79" s="509"/>
    </row>
    <row r="80" spans="1:5" s="78" customFormat="1" x14ac:dyDescent="0.2">
      <c r="A80" s="81"/>
      <c r="B80" s="542" t="s">
        <v>84</v>
      </c>
      <c r="C80" s="543" t="str">
        <f>IFERROR(0.0122*POWER(C77*(1000+C78),0.5823)/C77,"/")</f>
        <v>/</v>
      </c>
      <c r="D80" s="544" t="s">
        <v>878</v>
      </c>
      <c r="E80" s="212"/>
    </row>
    <row r="81" spans="1:5" s="78" customFormat="1" x14ac:dyDescent="0.2">
      <c r="A81" s="81"/>
      <c r="B81" s="545" t="s">
        <v>85</v>
      </c>
      <c r="C81" s="546" t="str">
        <f>IFERROR(0.0138*POWER(C77*(1000+C78),0.5835)/C77,"/")</f>
        <v>/</v>
      </c>
      <c r="D81" s="508" t="s">
        <v>878</v>
      </c>
      <c r="E81" s="212"/>
    </row>
    <row r="82" spans="1:5" s="78" customFormat="1" x14ac:dyDescent="0.2">
      <c r="A82" s="81"/>
      <c r="B82" s="545" t="s">
        <v>86</v>
      </c>
      <c r="C82" s="546" t="str">
        <f>IFERROR(0.0168*POWER(C77*(1000+C78),0.5814)/C77,"/")</f>
        <v>/</v>
      </c>
      <c r="D82" s="508" t="s">
        <v>878</v>
      </c>
      <c r="E82" s="212"/>
    </row>
    <row r="83" spans="1:5" s="78" customFormat="1" x14ac:dyDescent="0.2">
      <c r="A83" s="81"/>
      <c r="B83" s="545" t="s">
        <v>87</v>
      </c>
      <c r="C83" s="546" t="str">
        <f>IFERROR(0.0201*POWER(C77*(1000+C78),0.5829)/C77,"/")</f>
        <v>/</v>
      </c>
      <c r="D83" s="508" t="s">
        <v>878</v>
      </c>
      <c r="E83" s="212"/>
    </row>
    <row r="84" spans="1:5" s="78" customFormat="1" x14ac:dyDescent="0.2">
      <c r="A84" s="81"/>
      <c r="B84" s="545"/>
      <c r="C84" s="546"/>
      <c r="D84" s="508"/>
      <c r="E84" s="212"/>
    </row>
    <row r="85" spans="1:5" s="78" customFormat="1" x14ac:dyDescent="0.2">
      <c r="A85" s="81"/>
      <c r="B85" s="545"/>
      <c r="C85" s="546"/>
      <c r="D85" s="508"/>
      <c r="E85" s="212"/>
    </row>
    <row r="86" spans="1:5" s="78" customFormat="1" x14ac:dyDescent="0.2">
      <c r="A86" s="81"/>
      <c r="B86" s="545" t="str">
        <f>'OSNOVNI PODATKI'!B130</f>
        <v>GRADBENO OBRTNIŠKA DELA (GO)</v>
      </c>
      <c r="C86" s="651">
        <f>'OSNOVNI PODATKI'!D130</f>
        <v>0</v>
      </c>
      <c r="D86" s="649"/>
      <c r="E86" s="654" t="e">
        <f>C86*$C$11*(1000+$C$12)</f>
        <v>#VALUE!</v>
      </c>
    </row>
    <row r="87" spans="1:5" s="78" customFormat="1" x14ac:dyDescent="0.2">
      <c r="A87" s="81"/>
      <c r="B87" s="545" t="str">
        <f>'OSNOVNI PODATKI'!B131</f>
        <v>ELEKTRIČNE INŠTALACIJE (EI)</v>
      </c>
      <c r="C87" s="651">
        <f>'OSNOVNI PODATKI'!D131</f>
        <v>0</v>
      </c>
      <c r="D87" s="649"/>
      <c r="E87" s="654" t="e">
        <f t="shared" ref="E87:E89" si="3">C87*$C$11*(1000+$C$12)</f>
        <v>#VALUE!</v>
      </c>
    </row>
    <row r="88" spans="1:5" s="78" customFormat="1" x14ac:dyDescent="0.2">
      <c r="A88" s="81"/>
      <c r="B88" s="545" t="str">
        <f>'OSNOVNI PODATKI'!B132</f>
        <v>STROJNE INŠTALACIJE (SI)</v>
      </c>
      <c r="C88" s="651">
        <f>'OSNOVNI PODATKI'!D132</f>
        <v>0</v>
      </c>
      <c r="D88" s="649"/>
      <c r="E88" s="654" t="e">
        <f t="shared" si="3"/>
        <v>#VALUE!</v>
      </c>
    </row>
    <row r="89" spans="1:5" s="78" customFormat="1" x14ac:dyDescent="0.2">
      <c r="A89" s="81"/>
      <c r="B89" s="545" t="str">
        <f>'OSNOVNI PODATKI'!B133</f>
        <v>TEHNOLOGIJA (TH)</v>
      </c>
      <c r="C89" s="651">
        <f>'OSNOVNI PODATKI'!D133</f>
        <v>0</v>
      </c>
      <c r="D89" s="649"/>
      <c r="E89" s="654" t="e">
        <f t="shared" si="3"/>
        <v>#VALUE!</v>
      </c>
    </row>
    <row r="90" spans="1:5" s="78" customFormat="1" x14ac:dyDescent="0.2">
      <c r="A90" s="81"/>
      <c r="C90" s="86"/>
      <c r="D90" s="509"/>
      <c r="E90" s="509"/>
    </row>
    <row r="91" spans="1:5" s="78" customFormat="1" ht="14.25" x14ac:dyDescent="0.2">
      <c r="B91" s="86" t="s">
        <v>886</v>
      </c>
      <c r="C91" s="527" t="str">
        <f>IFERROR(LOOKUP(C79,B80:C83),"/")</f>
        <v>/</v>
      </c>
      <c r="D91" s="394" t="s">
        <v>877</v>
      </c>
      <c r="E91" s="509"/>
    </row>
    <row r="92" spans="1:5" s="78" customFormat="1" ht="14.25" x14ac:dyDescent="0.2">
      <c r="B92" s="86" t="s">
        <v>887</v>
      </c>
      <c r="C92" s="527" t="str" cm="1">
        <f t="array" ref="C92">IFERROR(INDEX(C80:C83,MATCH(C79,B80:B83)+1),"/")</f>
        <v>/</v>
      </c>
      <c r="D92" s="394" t="s">
        <v>877</v>
      </c>
      <c r="E92" s="509"/>
    </row>
    <row r="93" spans="1:5" s="78" customFormat="1" x14ac:dyDescent="0.2">
      <c r="B93" s="86" t="s">
        <v>737</v>
      </c>
      <c r="C93" s="551">
        <f>IFERROR(ROUND(C91*$C76,0),0)</f>
        <v>0</v>
      </c>
      <c r="D93" s="394" t="s">
        <v>879</v>
      </c>
      <c r="E93" s="509"/>
    </row>
    <row r="94" spans="1:5" s="78" customFormat="1" x14ac:dyDescent="0.2">
      <c r="B94" s="86" t="s">
        <v>738</v>
      </c>
      <c r="C94" s="551">
        <f>IFERROR(ROUND(C92*$C76,0),0)</f>
        <v>0</v>
      </c>
      <c r="D94" s="394" t="s">
        <v>879</v>
      </c>
      <c r="E94" s="509"/>
    </row>
    <row r="95" spans="1:5" s="78" customFormat="1" x14ac:dyDescent="0.2">
      <c r="A95" s="81"/>
      <c r="C95" s="212"/>
      <c r="D95" s="212"/>
      <c r="E95" s="212"/>
    </row>
    <row r="96" spans="1:5" s="78" customFormat="1" x14ac:dyDescent="0.2">
      <c r="A96" s="81"/>
      <c r="B96" s="212" t="str">
        <f>'OSNOVNI PODATKI'!A138</f>
        <v>STAVBA 5 / DEL 5</v>
      </c>
      <c r="C96" s="553">
        <f>'OSNOVNI PODATKI'!E138</f>
        <v>0</v>
      </c>
      <c r="D96" s="212"/>
      <c r="E96" s="212"/>
    </row>
    <row r="97" spans="1:5" s="78" customFormat="1" x14ac:dyDescent="0.2">
      <c r="A97" s="81"/>
      <c r="B97" s="205" t="s">
        <v>722</v>
      </c>
      <c r="C97" s="86">
        <f>'OSNOVNI PODATKI'!E139</f>
        <v>0</v>
      </c>
      <c r="D97" s="509"/>
      <c r="E97" s="509"/>
    </row>
    <row r="98" spans="1:5" s="78" customFormat="1" x14ac:dyDescent="0.2">
      <c r="A98" s="81"/>
      <c r="B98" s="205" t="s">
        <v>952</v>
      </c>
      <c r="C98" s="86">
        <f>'OSNOVNI PODATKI'!E140</f>
        <v>0</v>
      </c>
      <c r="D98" s="509"/>
      <c r="E98" s="509"/>
    </row>
    <row r="99" spans="1:5" s="78" customFormat="1" x14ac:dyDescent="0.2">
      <c r="A99" s="81"/>
      <c r="B99" s="205" t="s">
        <v>953</v>
      </c>
      <c r="C99" s="86">
        <f>IF($C$5=1,$C$6,C98)</f>
        <v>0</v>
      </c>
      <c r="D99" s="509"/>
      <c r="E99" s="509"/>
    </row>
    <row r="100" spans="1:5" s="78" customFormat="1" x14ac:dyDescent="0.2">
      <c r="A100" s="81"/>
      <c r="B100" s="550" t="s">
        <v>885</v>
      </c>
      <c r="C100" s="549" t="str">
        <f>'OSNOVNI PODATKI'!E150</f>
        <v>/</v>
      </c>
      <c r="D100" s="509"/>
      <c r="E100" s="509"/>
    </row>
    <row r="101" spans="1:5" s="78" customFormat="1" x14ac:dyDescent="0.2">
      <c r="A101" s="81"/>
      <c r="B101" s="205" t="s">
        <v>117</v>
      </c>
      <c r="C101" s="86" t="str">
        <f>'OSNOVNI PODATKI'!E146</f>
        <v>Cenovni razred II</v>
      </c>
      <c r="D101" s="509"/>
      <c r="E101" s="509"/>
    </row>
    <row r="102" spans="1:5" s="78" customFormat="1" x14ac:dyDescent="0.2">
      <c r="A102" s="81"/>
      <c r="B102" s="542" t="s">
        <v>84</v>
      </c>
      <c r="C102" s="543" t="str">
        <f>IFERROR(0.0122*POWER(C99*(1000+C100),0.5823)/C99,"/")</f>
        <v>/</v>
      </c>
      <c r="D102" s="544" t="s">
        <v>878</v>
      </c>
      <c r="E102" s="212"/>
    </row>
    <row r="103" spans="1:5" s="78" customFormat="1" x14ac:dyDescent="0.2">
      <c r="A103" s="81"/>
      <c r="B103" s="545" t="s">
        <v>85</v>
      </c>
      <c r="C103" s="546" t="str">
        <f>IFERROR(0.0138*POWER(C99*(1000+C100),0.5835)/C99,"/")</f>
        <v>/</v>
      </c>
      <c r="D103" s="508" t="s">
        <v>878</v>
      </c>
      <c r="E103" s="212"/>
    </row>
    <row r="104" spans="1:5" s="78" customFormat="1" x14ac:dyDescent="0.2">
      <c r="A104" s="81"/>
      <c r="B104" s="545" t="s">
        <v>86</v>
      </c>
      <c r="C104" s="546" t="str">
        <f>IFERROR(0.0168*POWER(C99*(1000+C100),0.5814)/C99,"/")</f>
        <v>/</v>
      </c>
      <c r="D104" s="508" t="s">
        <v>878</v>
      </c>
      <c r="E104" s="212"/>
    </row>
    <row r="105" spans="1:5" s="78" customFormat="1" x14ac:dyDescent="0.2">
      <c r="A105" s="81"/>
      <c r="B105" s="545" t="s">
        <v>87</v>
      </c>
      <c r="C105" s="546" t="str">
        <f>IFERROR(0.0201*POWER(C99*(1000+C100),0.5829)/C99,"/")</f>
        <v>/</v>
      </c>
      <c r="D105" s="508" t="s">
        <v>878</v>
      </c>
      <c r="E105" s="212"/>
    </row>
    <row r="106" spans="1:5" s="78" customFormat="1" x14ac:dyDescent="0.2">
      <c r="A106" s="81"/>
      <c r="B106" s="545"/>
      <c r="C106" s="546"/>
      <c r="D106" s="508"/>
      <c r="E106" s="212"/>
    </row>
    <row r="107" spans="1:5" s="78" customFormat="1" x14ac:dyDescent="0.2">
      <c r="A107" s="81"/>
      <c r="B107" s="545"/>
      <c r="C107" s="546"/>
      <c r="D107" s="508"/>
      <c r="E107" s="212"/>
    </row>
    <row r="108" spans="1:5" s="78" customFormat="1" x14ac:dyDescent="0.2">
      <c r="A108" s="81"/>
      <c r="B108" s="545" t="str">
        <f>'OSNOVNI PODATKI'!B161</f>
        <v>GRADBENO OBRTNIŠKA DELA (GO)</v>
      </c>
      <c r="C108" s="651">
        <f>'OSNOVNI PODATKI'!D161</f>
        <v>0</v>
      </c>
      <c r="D108" s="649"/>
      <c r="E108" s="654" t="e">
        <f>C108*$C$11*(1000+$C$12)</f>
        <v>#VALUE!</v>
      </c>
    </row>
    <row r="109" spans="1:5" s="78" customFormat="1" x14ac:dyDescent="0.2">
      <c r="A109" s="81"/>
      <c r="B109" s="545" t="str">
        <f>'OSNOVNI PODATKI'!B157</f>
        <v>INFORMATIVNA OCENA STROŠKOV GRADNJE</v>
      </c>
      <c r="C109" s="651">
        <f>'OSNOVNI PODATKI'!D162</f>
        <v>0</v>
      </c>
      <c r="D109" s="649"/>
      <c r="E109" s="654" t="e">
        <f t="shared" ref="E109:E111" si="4">C109*$C$11*(1000+$C$12)</f>
        <v>#VALUE!</v>
      </c>
    </row>
    <row r="110" spans="1:5" s="78" customFormat="1" x14ac:dyDescent="0.2">
      <c r="A110" s="81"/>
      <c r="B110" s="545" t="str">
        <f>'OSNOVNI PODATKI'!B158</f>
        <v>INFORMATIVNA VREDNOST STROŠKOV GRADNJE EUR/m2 BTP</v>
      </c>
      <c r="C110" s="651">
        <f>'OSNOVNI PODATKI'!D163</f>
        <v>0</v>
      </c>
      <c r="D110" s="649"/>
      <c r="E110" s="654" t="e">
        <f t="shared" si="4"/>
        <v>#VALUE!</v>
      </c>
    </row>
    <row r="111" spans="1:5" s="78" customFormat="1" x14ac:dyDescent="0.2">
      <c r="A111" s="81"/>
      <c r="B111" s="545" t="str">
        <f>'OSNOVNI PODATKI'!B159</f>
        <v>IZBRANA VREDNOST STROKOV GRADNJE EUR/m2 BEP</v>
      </c>
      <c r="C111" s="651">
        <f>'OSNOVNI PODATKI'!D164</f>
        <v>0</v>
      </c>
      <c r="D111" s="649"/>
      <c r="E111" s="654" t="e">
        <f t="shared" si="4"/>
        <v>#VALUE!</v>
      </c>
    </row>
    <row r="112" spans="1:5" s="78" customFormat="1" x14ac:dyDescent="0.2">
      <c r="A112" s="81"/>
      <c r="C112" s="86"/>
      <c r="D112" s="509"/>
      <c r="E112" s="509"/>
    </row>
    <row r="113" spans="1:5" s="78" customFormat="1" ht="14.25" x14ac:dyDescent="0.2">
      <c r="B113" s="86" t="s">
        <v>886</v>
      </c>
      <c r="C113" s="527" t="str">
        <f>IFERROR(LOOKUP(C101,B102:C105),"/")</f>
        <v>/</v>
      </c>
      <c r="D113" s="394" t="s">
        <v>877</v>
      </c>
      <c r="E113" s="509"/>
    </row>
    <row r="114" spans="1:5" s="78" customFormat="1" ht="14.25" x14ac:dyDescent="0.2">
      <c r="B114" s="86" t="s">
        <v>887</v>
      </c>
      <c r="C114" s="527" t="str" cm="1">
        <f t="array" ref="C114">IFERROR(INDEX(C102:C105,MATCH(C101,B102:B105)+1),"/")</f>
        <v>/</v>
      </c>
      <c r="D114" s="394" t="s">
        <v>877</v>
      </c>
      <c r="E114" s="509"/>
    </row>
    <row r="115" spans="1:5" s="78" customFormat="1" x14ac:dyDescent="0.2">
      <c r="B115" s="86" t="s">
        <v>737</v>
      </c>
      <c r="C115" s="551">
        <f>IFERROR(ROUND(C113*$C98,0),0)</f>
        <v>0</v>
      </c>
      <c r="D115" s="394" t="s">
        <v>879</v>
      </c>
      <c r="E115" s="509"/>
    </row>
    <row r="116" spans="1:5" s="78" customFormat="1" x14ac:dyDescent="0.2">
      <c r="B116" s="86" t="s">
        <v>738</v>
      </c>
      <c r="C116" s="551">
        <f>IFERROR(ROUND(C114*$C98,0),0)</f>
        <v>0</v>
      </c>
      <c r="D116" s="394" t="s">
        <v>879</v>
      </c>
      <c r="E116" s="509"/>
    </row>
    <row r="117" spans="1:5" s="78" customFormat="1" x14ac:dyDescent="0.2">
      <c r="A117" s="81"/>
      <c r="C117" s="212"/>
      <c r="D117" s="212"/>
      <c r="E117" s="212"/>
    </row>
    <row r="118" spans="1:5" s="78" customFormat="1" x14ac:dyDescent="0.2">
      <c r="A118" s="81"/>
      <c r="C118" s="212"/>
      <c r="D118" s="212"/>
      <c r="E118" s="212"/>
    </row>
    <row r="119" spans="1:5" s="78" customFormat="1" x14ac:dyDescent="0.2">
      <c r="A119" s="81"/>
      <c r="C119" s="212"/>
      <c r="D119" s="212"/>
      <c r="E119" s="212"/>
    </row>
    <row r="120" spans="1:5" s="78" customFormat="1" x14ac:dyDescent="0.2">
      <c r="A120" s="81"/>
      <c r="C120" s="212"/>
      <c r="D120" s="212"/>
      <c r="E120" s="212"/>
    </row>
    <row r="121" spans="1:5" s="78" customFormat="1" x14ac:dyDescent="0.2">
      <c r="A121" s="81"/>
      <c r="C121" s="212"/>
      <c r="D121" s="212"/>
      <c r="E121" s="212"/>
    </row>
    <row r="122" spans="1:5" s="78" customFormat="1" x14ac:dyDescent="0.2">
      <c r="A122" s="81"/>
      <c r="C122" s="212"/>
      <c r="D122" s="212"/>
      <c r="E122" s="212"/>
    </row>
    <row r="123" spans="1:5" s="78" customFormat="1" x14ac:dyDescent="0.2">
      <c r="A123" s="81"/>
      <c r="C123" s="212"/>
      <c r="D123" s="212"/>
      <c r="E123" s="212"/>
    </row>
    <row r="124" spans="1:5" s="78" customFormat="1" x14ac:dyDescent="0.2">
      <c r="A124" s="81"/>
      <c r="C124" s="212"/>
      <c r="D124" s="212"/>
      <c r="E124" s="212"/>
    </row>
    <row r="125" spans="1:5" s="78" customFormat="1" x14ac:dyDescent="0.2">
      <c r="A125" s="81"/>
      <c r="C125" s="212"/>
      <c r="D125" s="212"/>
      <c r="E125" s="212"/>
    </row>
    <row r="126" spans="1:5" s="78" customFormat="1" x14ac:dyDescent="0.2">
      <c r="A126" s="81"/>
      <c r="C126" s="212"/>
      <c r="D126" s="212"/>
      <c r="E126" s="212"/>
    </row>
    <row r="127" spans="1:5" s="78" customFormat="1" x14ac:dyDescent="0.2">
      <c r="A127" s="81"/>
      <c r="C127" s="212"/>
      <c r="D127" s="212"/>
      <c r="E127" s="212"/>
    </row>
    <row r="128" spans="1:5" s="78" customFormat="1" x14ac:dyDescent="0.2">
      <c r="A128" s="81"/>
      <c r="C128" s="212"/>
      <c r="D128" s="212"/>
      <c r="E128" s="212"/>
    </row>
    <row r="129" spans="1:8" s="78" customFormat="1" x14ac:dyDescent="0.2">
      <c r="A129" s="81"/>
      <c r="C129" s="212"/>
      <c r="D129" s="212"/>
      <c r="E129" s="212"/>
      <c r="F129" s="212"/>
    </row>
    <row r="130" spans="1:8" s="78" customFormat="1" x14ac:dyDescent="0.2">
      <c r="A130" s="81"/>
      <c r="C130" s="212"/>
      <c r="D130" s="212"/>
      <c r="E130" s="212"/>
      <c r="F130" s="212"/>
    </row>
    <row r="131" spans="1:8" s="78" customFormat="1" x14ac:dyDescent="0.2">
      <c r="A131" s="81"/>
      <c r="C131" s="212"/>
      <c r="D131" s="212"/>
      <c r="E131" s="212"/>
      <c r="F131" s="212"/>
    </row>
    <row r="132" spans="1:8" s="78" customFormat="1" x14ac:dyDescent="0.2">
      <c r="A132" s="81"/>
      <c r="C132" s="212"/>
      <c r="D132" s="212"/>
      <c r="E132" s="212"/>
      <c r="F132" s="212"/>
    </row>
    <row r="133" spans="1:8" s="78" customFormat="1" ht="13.5" thickBot="1" x14ac:dyDescent="0.25">
      <c r="A133" s="81"/>
      <c r="C133" s="212"/>
      <c r="D133" s="212"/>
      <c r="E133" s="212"/>
      <c r="F133" s="212"/>
    </row>
    <row r="134" spans="1:8" s="78" customFormat="1" ht="18.75" x14ac:dyDescent="0.2">
      <c r="A134" s="831" t="s">
        <v>948</v>
      </c>
      <c r="B134" s="831"/>
      <c r="C134" s="831"/>
      <c r="D134" s="831"/>
      <c r="E134" s="831"/>
      <c r="F134" s="831"/>
      <c r="G134" s="831"/>
      <c r="H134" s="831"/>
    </row>
    <row r="135" spans="1:8" s="78" customFormat="1" x14ac:dyDescent="0.2">
      <c r="A135" s="212"/>
      <c r="B135" s="212"/>
      <c r="C135" s="752"/>
      <c r="D135" s="752"/>
      <c r="E135" s="752"/>
      <c r="F135" s="640"/>
      <c r="G135" s="752"/>
      <c r="H135" s="752"/>
    </row>
    <row r="136" spans="1:8" s="78" customFormat="1" x14ac:dyDescent="0.2">
      <c r="A136" s="212"/>
      <c r="B136" s="86" t="s">
        <v>875</v>
      </c>
      <c r="C136" s="212"/>
      <c r="D136" s="212"/>
      <c r="E136" s="212"/>
      <c r="F136" s="507">
        <f>'OSNOVNI PODATKI'!G386</f>
        <v>0</v>
      </c>
      <c r="G136" s="212"/>
      <c r="H136" s="212"/>
    </row>
    <row r="137" spans="1:8" s="78" customFormat="1" x14ac:dyDescent="0.2">
      <c r="A137" s="212"/>
      <c r="B137" s="86" t="s">
        <v>876</v>
      </c>
      <c r="C137" s="210"/>
      <c r="D137" s="85"/>
      <c r="E137" s="85"/>
      <c r="F137" s="493">
        <f>'ARHIGRAM 6'!I16</f>
        <v>46</v>
      </c>
      <c r="G137" s="210"/>
      <c r="H137" s="210"/>
    </row>
    <row r="138" spans="1:8" s="78" customFormat="1" x14ac:dyDescent="0.2">
      <c r="A138" s="212"/>
      <c r="B138" s="212"/>
      <c r="C138" s="212"/>
      <c r="D138" s="212"/>
      <c r="E138" s="212"/>
      <c r="G138" s="212"/>
      <c r="H138" s="212"/>
    </row>
    <row r="139" spans="1:8" s="78" customFormat="1" x14ac:dyDescent="0.2">
      <c r="B139" s="86" t="str">
        <f>'OSNOVNI PODATKI'!$B$394</f>
        <v>PRIBITEK ZA PRENOVO</v>
      </c>
      <c r="C139" s="210"/>
      <c r="D139" s="85"/>
      <c r="E139" s="85"/>
      <c r="F139" s="314">
        <f>'OSNOVNI PODATKI'!$F$394</f>
        <v>0</v>
      </c>
      <c r="G139" s="210"/>
      <c r="H139" s="210"/>
    </row>
    <row r="140" spans="1:8" s="78" customFormat="1" x14ac:dyDescent="0.2">
      <c r="B140" s="86"/>
      <c r="C140" s="210"/>
      <c r="D140" s="85"/>
      <c r="E140" s="85"/>
      <c r="F140" s="85"/>
      <c r="G140" s="210"/>
      <c r="H140" s="210"/>
    </row>
    <row r="141" spans="1:8" s="2" customFormat="1" x14ac:dyDescent="0.2">
      <c r="A141" s="214"/>
      <c r="B141" s="214"/>
      <c r="C141" s="214"/>
      <c r="D141" s="214"/>
      <c r="E141" s="214"/>
      <c r="F141" s="214"/>
      <c r="G141" s="214"/>
      <c r="H141" s="214"/>
    </row>
    <row r="142" spans="1:8" s="2" customFormat="1" x14ac:dyDescent="0.2">
      <c r="A142" s="212"/>
      <c r="B142" s="212"/>
      <c r="C142" s="212"/>
      <c r="D142" s="212"/>
      <c r="E142" s="212"/>
      <c r="F142" s="212"/>
      <c r="G142" s="212"/>
      <c r="H142" s="212"/>
    </row>
    <row r="143" spans="1:8" s="2" customFormat="1" x14ac:dyDescent="0.2">
      <c r="A143" s="212"/>
      <c r="B143" s="212"/>
      <c r="C143" s="212"/>
      <c r="D143" s="212"/>
      <c r="E143" s="212"/>
      <c r="F143" s="212"/>
      <c r="G143" s="212"/>
      <c r="H143" s="212"/>
    </row>
    <row r="144" spans="1:8" s="2" customFormat="1" x14ac:dyDescent="0.2">
      <c r="A144" s="212"/>
      <c r="B144" s="212"/>
      <c r="C144" s="212"/>
      <c r="D144" s="212"/>
      <c r="E144" s="212"/>
      <c r="F144" s="212"/>
      <c r="G144" s="212"/>
      <c r="H144" s="212"/>
    </row>
    <row r="145" spans="1:9" s="12" customFormat="1" ht="38.25" x14ac:dyDescent="0.25">
      <c r="A145" s="107"/>
      <c r="B145" s="108"/>
      <c r="C145" s="108"/>
      <c r="D145" s="108"/>
      <c r="E145" s="109" t="s">
        <v>25</v>
      </c>
      <c r="F145" s="303" t="s">
        <v>484</v>
      </c>
      <c r="G145" s="620" t="s">
        <v>57</v>
      </c>
      <c r="H145" s="110" t="s">
        <v>70</v>
      </c>
      <c r="I145" s="421" t="s">
        <v>915</v>
      </c>
    </row>
    <row r="146" spans="1:9" s="13" customFormat="1" ht="14.25" x14ac:dyDescent="0.2">
      <c r="A146" s="103" t="s">
        <v>29</v>
      </c>
      <c r="B146" s="104" t="s">
        <v>30</v>
      </c>
      <c r="C146" s="104"/>
      <c r="D146" s="104"/>
      <c r="E146" s="105"/>
      <c r="F146" s="105"/>
      <c r="G146" s="621"/>
      <c r="H146" s="106"/>
    </row>
    <row r="147" spans="1:9" s="13" customFormat="1" ht="14.25" x14ac:dyDescent="0.2">
      <c r="A147" s="87" t="s">
        <v>31</v>
      </c>
      <c r="B147" s="99" t="s">
        <v>65</v>
      </c>
      <c r="C147" s="99"/>
      <c r="D147" s="99"/>
      <c r="E147" s="88"/>
      <c r="F147" s="88"/>
      <c r="G147" s="622"/>
      <c r="H147" s="89" t="str">
        <f>IF(I147=TRUE,G147*'VREDNOST NU'!#REF!,"")</f>
        <v/>
      </c>
    </row>
    <row r="148" spans="1:9" s="13" customFormat="1" ht="14.25" x14ac:dyDescent="0.2">
      <c r="A148" s="112" t="s">
        <v>32</v>
      </c>
      <c r="B148" s="113" t="s">
        <v>66</v>
      </c>
      <c r="C148" s="113"/>
      <c r="D148" s="113"/>
      <c r="E148" s="114"/>
      <c r="F148" s="114"/>
      <c r="G148" s="623"/>
      <c r="H148" s="93" t="str">
        <f>IF(I148=TRUE,G148*'VREDNOST NU'!#REF!,"")</f>
        <v/>
      </c>
    </row>
    <row r="149" spans="1:9" s="13" customFormat="1" ht="14.25" x14ac:dyDescent="0.2">
      <c r="A149" s="111" t="s">
        <v>33</v>
      </c>
      <c r="B149" s="104" t="s">
        <v>34</v>
      </c>
      <c r="C149" s="104"/>
      <c r="D149" s="104"/>
      <c r="E149" s="105">
        <f>SUM(E150:E152)</f>
        <v>0.03</v>
      </c>
      <c r="F149" s="105">
        <f>SUM(F150:F152)</f>
        <v>0.03</v>
      </c>
      <c r="G149" s="627">
        <f>SUM(G150:G152)</f>
        <v>0</v>
      </c>
      <c r="H149" s="106">
        <f>SUM(H150:H152)</f>
        <v>0</v>
      </c>
      <c r="I149" s="127" t="e">
        <f>H149/'OSNOVNI PODATKI'!$E$329</f>
        <v>#DIV/0!</v>
      </c>
    </row>
    <row r="150" spans="1:9" s="13" customFormat="1" ht="14.25" x14ac:dyDescent="0.2">
      <c r="A150" s="90" t="s">
        <v>35</v>
      </c>
      <c r="B150" s="98" t="s">
        <v>67</v>
      </c>
      <c r="C150" s="98"/>
      <c r="D150" s="98"/>
      <c r="E150" s="88">
        <v>1.4999999999999999E-2</v>
      </c>
      <c r="F150" s="304">
        <f>E150*(100%+$F$139)</f>
        <v>1.4999999999999999E-2</v>
      </c>
      <c r="G150" s="628">
        <f>F150*$F$136</f>
        <v>0</v>
      </c>
      <c r="H150" s="89">
        <f>+G150*$F$137</f>
        <v>0</v>
      </c>
    </row>
    <row r="151" spans="1:9" s="13" customFormat="1" ht="14.25" x14ac:dyDescent="0.2">
      <c r="A151" s="90" t="s">
        <v>36</v>
      </c>
      <c r="B151" s="98" t="s">
        <v>68</v>
      </c>
      <c r="C151" s="98"/>
      <c r="D151" s="98"/>
      <c r="E151" s="88">
        <v>1.4999999999999999E-2</v>
      </c>
      <c r="F151" s="88">
        <f t="shared" ref="F151" si="5">E151*(100%+$F$139)</f>
        <v>1.4999999999999999E-2</v>
      </c>
      <c r="G151" s="628">
        <f t="shared" ref="G151" si="6">F151*$F$136</f>
        <v>0</v>
      </c>
      <c r="H151" s="89">
        <f t="shared" ref="H151" si="7">+G151*$F$137</f>
        <v>0</v>
      </c>
    </row>
    <row r="152" spans="1:9" s="13" customFormat="1" ht="14.25" x14ac:dyDescent="0.2">
      <c r="A152" s="116" t="s">
        <v>37</v>
      </c>
      <c r="B152" s="117" t="s">
        <v>844</v>
      </c>
      <c r="C152" s="117"/>
      <c r="D152" s="117"/>
      <c r="E152" s="114"/>
      <c r="F152" s="114"/>
      <c r="G152" s="629"/>
      <c r="H152" s="93"/>
    </row>
    <row r="153" spans="1:9" s="13" customFormat="1" ht="14.25" x14ac:dyDescent="0.2">
      <c r="A153" s="115">
        <v>2</v>
      </c>
      <c r="B153" s="104" t="s">
        <v>38</v>
      </c>
      <c r="C153" s="104"/>
      <c r="D153" s="104"/>
      <c r="E153" s="105">
        <f>+E154+E155+E156+E157+E158</f>
        <v>0.92</v>
      </c>
      <c r="F153" s="105">
        <f>+F154+F155+F156+F157+F158</f>
        <v>0.92</v>
      </c>
      <c r="G153" s="630">
        <f>SUM(G154:G158)</f>
        <v>0</v>
      </c>
      <c r="H153" s="106">
        <f>SUM(H154:H158)</f>
        <v>0</v>
      </c>
      <c r="I153" s="127" t="e">
        <f>H153/'OSNOVNI PODATKI'!$E$329</f>
        <v>#DIV/0!</v>
      </c>
    </row>
    <row r="154" spans="1:9" s="13" customFormat="1" ht="14.25" x14ac:dyDescent="0.2">
      <c r="A154" s="90" t="s">
        <v>51</v>
      </c>
      <c r="B154" s="98" t="s">
        <v>95</v>
      </c>
      <c r="C154" s="98"/>
      <c r="D154" s="98"/>
      <c r="E154" s="101">
        <v>0.15</v>
      </c>
      <c r="F154" s="101">
        <f t="shared" ref="F154:F157" si="8">E154*(100%+$F$139)</f>
        <v>0.15</v>
      </c>
      <c r="G154" s="628">
        <f t="shared" ref="G154:G157" si="9">F154*$F$136</f>
        <v>0</v>
      </c>
      <c r="H154" s="89">
        <f t="shared" ref="H154:H157" si="10">+G154*$F$137</f>
        <v>0</v>
      </c>
    </row>
    <row r="155" spans="1:9" s="13" customFormat="1" ht="14.25" x14ac:dyDescent="0.2">
      <c r="A155" s="91" t="s">
        <v>52</v>
      </c>
      <c r="B155" s="102" t="s">
        <v>744</v>
      </c>
      <c r="C155" s="102"/>
      <c r="D155" s="102"/>
      <c r="E155" s="101">
        <v>0.4</v>
      </c>
      <c r="F155" s="101">
        <f t="shared" si="8"/>
        <v>0.4</v>
      </c>
      <c r="G155" s="628">
        <f t="shared" si="9"/>
        <v>0</v>
      </c>
      <c r="H155" s="89">
        <f t="shared" si="10"/>
        <v>0</v>
      </c>
    </row>
    <row r="156" spans="1:9" s="13" customFormat="1" ht="14.25" x14ac:dyDescent="0.2">
      <c r="A156" s="91" t="s">
        <v>53</v>
      </c>
      <c r="B156" s="102" t="s">
        <v>848</v>
      </c>
      <c r="C156" s="102"/>
      <c r="D156" s="102"/>
      <c r="E156" s="101"/>
      <c r="F156" s="101"/>
      <c r="G156" s="628"/>
      <c r="H156" s="89"/>
    </row>
    <row r="157" spans="1:9" s="13" customFormat="1" ht="14.25" x14ac:dyDescent="0.2">
      <c r="A157" s="91" t="s">
        <v>96</v>
      </c>
      <c r="B157" s="102" t="s">
        <v>745</v>
      </c>
      <c r="C157" s="102"/>
      <c r="D157" s="102"/>
      <c r="E157" s="101">
        <v>0.37</v>
      </c>
      <c r="F157" s="101">
        <f t="shared" si="8"/>
        <v>0.37</v>
      </c>
      <c r="G157" s="628">
        <f t="shared" si="9"/>
        <v>0</v>
      </c>
      <c r="H157" s="89">
        <f t="shared" si="10"/>
        <v>0</v>
      </c>
    </row>
    <row r="158" spans="1:9" s="13" customFormat="1" ht="14.25" x14ac:dyDescent="0.2">
      <c r="A158" s="119" t="s">
        <v>97</v>
      </c>
      <c r="B158" s="120" t="s">
        <v>845</v>
      </c>
      <c r="C158" s="120"/>
      <c r="D158" s="120"/>
      <c r="E158" s="121"/>
      <c r="F158" s="121"/>
      <c r="G158" s="629"/>
      <c r="H158" s="93"/>
    </row>
    <row r="159" spans="1:9" s="13" customFormat="1" ht="14.25" x14ac:dyDescent="0.2">
      <c r="A159" s="118" t="s">
        <v>39</v>
      </c>
      <c r="B159" s="104" t="s">
        <v>122</v>
      </c>
      <c r="C159" s="104"/>
      <c r="D159" s="104"/>
      <c r="E159" s="105">
        <f>SUM(E160:E161)</f>
        <v>0</v>
      </c>
      <c r="F159" s="105">
        <f>SUM(F160:F161)</f>
        <v>0</v>
      </c>
      <c r="G159" s="627">
        <f>SUM(G160:G161)</f>
        <v>0</v>
      </c>
      <c r="H159" s="106">
        <f>SUM(H160:H161)</f>
        <v>0</v>
      </c>
      <c r="I159" s="127" t="e">
        <f>H159/'OSNOVNI PODATKI'!$E$329</f>
        <v>#DIV/0!</v>
      </c>
    </row>
    <row r="160" spans="1:9" s="13" customFormat="1" ht="14.25" x14ac:dyDescent="0.2">
      <c r="A160" s="91" t="s">
        <v>40</v>
      </c>
      <c r="B160" s="97" t="s">
        <v>846</v>
      </c>
      <c r="C160" s="97"/>
      <c r="D160" s="97"/>
      <c r="E160" s="88"/>
      <c r="F160" s="88"/>
      <c r="G160" s="628"/>
      <c r="H160" s="89"/>
    </row>
    <row r="161" spans="1:9" s="13" customFormat="1" ht="14.25" x14ac:dyDescent="0.2">
      <c r="A161" s="119" t="s">
        <v>41</v>
      </c>
      <c r="B161" s="92" t="s">
        <v>202</v>
      </c>
      <c r="C161" s="92"/>
      <c r="D161" s="92"/>
      <c r="E161" s="114"/>
      <c r="F161" s="114"/>
      <c r="G161" s="629"/>
      <c r="H161" s="93"/>
    </row>
    <row r="162" spans="1:9" s="13" customFormat="1" ht="14.25" x14ac:dyDescent="0.2">
      <c r="A162" s="122">
        <v>4</v>
      </c>
      <c r="B162" s="104" t="s">
        <v>60</v>
      </c>
      <c r="C162" s="104"/>
      <c r="D162" s="104"/>
      <c r="E162" s="105">
        <f>SUM(E163:E167)</f>
        <v>0.05</v>
      </c>
      <c r="F162" s="105">
        <f>SUM(F163:F167)</f>
        <v>0.05</v>
      </c>
      <c r="G162" s="627">
        <f>SUM(G163:G167)</f>
        <v>0</v>
      </c>
      <c r="H162" s="106">
        <f>SUM(H163:H167)</f>
        <v>0</v>
      </c>
      <c r="I162" s="127" t="e">
        <f>H162/'OSNOVNI PODATKI'!$E$329</f>
        <v>#DIV/0!</v>
      </c>
    </row>
    <row r="163" spans="1:9" s="13" customFormat="1" ht="14.25" x14ac:dyDescent="0.2">
      <c r="A163" s="91" t="s">
        <v>42</v>
      </c>
      <c r="B163" s="97" t="s">
        <v>203</v>
      </c>
      <c r="C163" s="97"/>
      <c r="D163" s="97"/>
      <c r="E163" s="88"/>
      <c r="F163" s="88"/>
      <c r="G163" s="628"/>
      <c r="H163" s="89"/>
    </row>
    <row r="164" spans="1:9" s="13" customFormat="1" ht="14.25" x14ac:dyDescent="0.2">
      <c r="A164" s="91" t="s">
        <v>43</v>
      </c>
      <c r="B164" s="97" t="s">
        <v>865</v>
      </c>
      <c r="C164" s="97"/>
      <c r="D164" s="97"/>
      <c r="E164" s="88"/>
      <c r="F164" s="88"/>
      <c r="G164" s="628"/>
      <c r="H164" s="89"/>
    </row>
    <row r="165" spans="1:9" s="13" customFormat="1" ht="14.25" x14ac:dyDescent="0.2">
      <c r="A165" s="91" t="s">
        <v>44</v>
      </c>
      <c r="B165" s="97" t="s">
        <v>963</v>
      </c>
      <c r="C165" s="97"/>
      <c r="D165" s="97"/>
      <c r="E165" s="88"/>
      <c r="F165" s="88"/>
      <c r="G165" s="628"/>
      <c r="H165" s="89"/>
    </row>
    <row r="166" spans="1:9" s="13" customFormat="1" ht="14.25" x14ac:dyDescent="0.2">
      <c r="A166" s="91" t="s">
        <v>45</v>
      </c>
      <c r="B166" s="97" t="s">
        <v>866</v>
      </c>
      <c r="C166" s="97"/>
      <c r="D166" s="97"/>
      <c r="E166" s="88"/>
      <c r="F166" s="88"/>
      <c r="G166" s="628"/>
      <c r="H166" s="89"/>
    </row>
    <row r="167" spans="1:9" s="13" customFormat="1" ht="14.25" x14ac:dyDescent="0.2">
      <c r="A167" s="119" t="s">
        <v>46</v>
      </c>
      <c r="B167" s="92" t="s">
        <v>847</v>
      </c>
      <c r="C167" s="92"/>
      <c r="D167" s="92"/>
      <c r="E167" s="114">
        <v>0.05</v>
      </c>
      <c r="F167" s="114">
        <f t="shared" ref="F167" si="11">E167*(100%+$F$139)</f>
        <v>0.05</v>
      </c>
      <c r="G167" s="629">
        <f t="shared" ref="G167" si="12">F167*$F$136</f>
        <v>0</v>
      </c>
      <c r="H167" s="93">
        <f t="shared" ref="H167" si="13">+G167*$F$137</f>
        <v>0</v>
      </c>
    </row>
    <row r="168" spans="1:9" s="13" customFormat="1" ht="14.25" x14ac:dyDescent="0.2">
      <c r="A168" s="123">
        <v>5</v>
      </c>
      <c r="B168" s="104" t="s">
        <v>47</v>
      </c>
      <c r="C168" s="104"/>
      <c r="D168" s="104"/>
      <c r="E168" s="105">
        <f>SUM(E169:E170)</f>
        <v>0</v>
      </c>
      <c r="F168" s="105">
        <f>SUM(F169:F170)</f>
        <v>0</v>
      </c>
      <c r="G168" s="627">
        <f>SUM(G169:G170)</f>
        <v>0</v>
      </c>
      <c r="H168" s="106">
        <f>SUM(H169:H170)</f>
        <v>0</v>
      </c>
      <c r="I168" s="127" t="e">
        <f>H168/'OSNOVNI PODATKI'!$E$329</f>
        <v>#DIV/0!</v>
      </c>
    </row>
    <row r="169" spans="1:9" s="13" customFormat="1" ht="14.25" x14ac:dyDescent="0.2">
      <c r="A169" s="91" t="s">
        <v>48</v>
      </c>
      <c r="B169" s="100" t="s">
        <v>205</v>
      </c>
      <c r="C169" s="100"/>
      <c r="D169" s="100"/>
      <c r="E169" s="88"/>
      <c r="F169" s="88"/>
      <c r="G169" s="628"/>
      <c r="H169" s="89"/>
    </row>
    <row r="170" spans="1:9" s="13" customFormat="1" ht="14.25" x14ac:dyDescent="0.2">
      <c r="A170" s="119" t="s">
        <v>49</v>
      </c>
      <c r="B170" s="125" t="s">
        <v>206</v>
      </c>
      <c r="C170" s="125"/>
      <c r="D170" s="125"/>
      <c r="E170" s="114"/>
      <c r="F170" s="114"/>
      <c r="G170" s="629"/>
      <c r="H170" s="93"/>
    </row>
    <row r="171" spans="1:9" s="13" customFormat="1" ht="14.25" x14ac:dyDescent="0.2">
      <c r="A171" s="124">
        <v>6</v>
      </c>
      <c r="B171" s="104" t="s">
        <v>50</v>
      </c>
      <c r="C171" s="104"/>
      <c r="D171" s="104"/>
      <c r="E171" s="105"/>
      <c r="F171" s="105"/>
      <c r="G171" s="621"/>
      <c r="H171" s="106"/>
    </row>
    <row r="172" spans="1:9" s="13" customFormat="1" ht="14.25" x14ac:dyDescent="0.2">
      <c r="A172" s="91" t="s">
        <v>54</v>
      </c>
      <c r="B172" s="100" t="s">
        <v>207</v>
      </c>
      <c r="C172" s="100"/>
      <c r="D172" s="100"/>
      <c r="E172" s="88"/>
      <c r="F172" s="88"/>
      <c r="G172" s="622"/>
      <c r="H172" s="89"/>
    </row>
    <row r="173" spans="1:9" s="13" customFormat="1" ht="14.25" x14ac:dyDescent="0.2">
      <c r="A173" s="91" t="s">
        <v>55</v>
      </c>
      <c r="B173" s="100" t="s">
        <v>208</v>
      </c>
      <c r="C173" s="100"/>
      <c r="D173" s="100"/>
      <c r="E173" s="88"/>
      <c r="F173" s="88"/>
      <c r="G173" s="622"/>
      <c r="H173" s="89"/>
    </row>
    <row r="174" spans="1:9" s="13" customFormat="1" ht="14.25" x14ac:dyDescent="0.2">
      <c r="A174" s="119" t="s">
        <v>56</v>
      </c>
      <c r="B174" s="125" t="s">
        <v>209</v>
      </c>
      <c r="C174" s="125"/>
      <c r="D174" s="125"/>
      <c r="E174" s="114"/>
      <c r="F174" s="114"/>
      <c r="G174" s="623"/>
      <c r="H174" s="93"/>
    </row>
    <row r="175" spans="1:9" s="13" customFormat="1" ht="14.25" x14ac:dyDescent="0.2">
      <c r="A175" s="94"/>
      <c r="B175" s="95"/>
      <c r="C175" s="95"/>
      <c r="D175" s="95"/>
      <c r="E175" s="96"/>
      <c r="F175" s="96"/>
      <c r="G175" s="624"/>
      <c r="H175" s="95"/>
    </row>
    <row r="176" spans="1:9" s="13" customFormat="1" ht="14.25" x14ac:dyDescent="0.2">
      <c r="A176" s="128"/>
      <c r="B176" s="129" t="s">
        <v>1</v>
      </c>
      <c r="C176" s="129"/>
      <c r="D176" s="129"/>
      <c r="E176" s="130">
        <f>E146+E149+E153+E159+E162+E168+E171</f>
        <v>1</v>
      </c>
      <c r="F176" s="130">
        <f>F146+F149+F153+F159+F162+F168+F171</f>
        <v>1</v>
      </c>
      <c r="G176" s="625">
        <f>G146+G149+G153+G159+G162+G168+G171</f>
        <v>0</v>
      </c>
      <c r="H176" s="131">
        <f>H146+H149+H153+H159+H162+H168+H171</f>
        <v>0</v>
      </c>
      <c r="I176" s="127" t="e">
        <f>H176/'OSNOVNI PODATKI'!$E$329</f>
        <v>#DIV/0!</v>
      </c>
    </row>
    <row r="177" spans="1:6" s="13" customFormat="1" ht="14.25" x14ac:dyDescent="0.2">
      <c r="A177" s="29"/>
    </row>
    <row r="178" spans="1:6" x14ac:dyDescent="0.2">
      <c r="A178" s="29"/>
    </row>
    <row r="189" spans="1:6" x14ac:dyDescent="0.2">
      <c r="E189" s="241"/>
      <c r="F189" s="240"/>
    </row>
    <row r="190" spans="1:6" x14ac:dyDescent="0.2">
      <c r="E190" s="241"/>
      <c r="F190" s="240"/>
    </row>
    <row r="191" spans="1:6" x14ac:dyDescent="0.2">
      <c r="E191" s="241"/>
      <c r="F191" s="240"/>
    </row>
    <row r="192" spans="1:6" x14ac:dyDescent="0.2">
      <c r="E192" s="241"/>
      <c r="F192" s="240"/>
    </row>
  </sheetData>
  <sheetProtection algorithmName="SHA-512" hashValue="P3GhzKJEamEB2+EOfWkhRBT1/SLXLkNwRfeAy9gOm9dR+OUGOBgt7hmZH5ycGwUyFiATrT7X+cBBEaT0uDuB6w==" saltValue="rKB9Z9USD3pc7yIZOjzsE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90E1E-5257-47BE-8804-8A9D9FCBD668}">
  <sheetPr codeName="Sheet16"/>
  <dimension ref="A1:V261"/>
  <sheetViews>
    <sheetView showGridLines="0" workbookViewId="0">
      <selection activeCell="J235" sqref="J235"/>
    </sheetView>
    <sheetView workbookViewId="1"/>
  </sheetViews>
  <sheetFormatPr defaultColWidth="9.140625" defaultRowHeight="12.75" x14ac:dyDescent="0.2"/>
  <cols>
    <col min="1" max="1" width="8.140625" style="76" customWidth="1"/>
    <col min="2" max="2" width="28.85546875" style="76" customWidth="1"/>
    <col min="3" max="5" width="13.5703125" style="76" customWidth="1"/>
    <col min="6" max="6" width="28.5703125" style="76" customWidth="1"/>
    <col min="7" max="9" width="13.5703125" style="76" customWidth="1"/>
    <col min="10" max="10" width="28.7109375" style="76" customWidth="1"/>
    <col min="11" max="12" width="13.5703125" style="76" customWidth="1"/>
    <col min="13" max="16384" width="9.140625" style="76"/>
  </cols>
  <sheetData>
    <row r="1" spans="1:22" ht="26.25" x14ac:dyDescent="0.2">
      <c r="B1" s="5" t="s">
        <v>1144</v>
      </c>
      <c r="C1" s="4"/>
      <c r="D1" s="4"/>
      <c r="E1" s="4"/>
      <c r="F1" s="4"/>
      <c r="G1" s="4"/>
      <c r="H1" s="4"/>
      <c r="I1"/>
      <c r="J1"/>
      <c r="K1"/>
      <c r="L1"/>
      <c r="N1" s="5"/>
      <c r="V1" s="5"/>
    </row>
    <row r="2" spans="1:22" ht="27" thickBot="1" x14ac:dyDescent="0.25">
      <c r="B2" s="5"/>
      <c r="C2" s="4"/>
      <c r="D2" s="4"/>
      <c r="E2" s="4"/>
      <c r="F2" s="4"/>
      <c r="G2" s="4"/>
      <c r="H2" s="4"/>
      <c r="I2"/>
      <c r="J2"/>
      <c r="K2"/>
      <c r="L2"/>
      <c r="N2" s="5"/>
      <c r="V2" s="5"/>
    </row>
    <row r="3" spans="1:22" ht="18.75" x14ac:dyDescent="0.2">
      <c r="A3" s="831" t="s">
        <v>949</v>
      </c>
      <c r="B3" s="831"/>
      <c r="C3" s="831"/>
      <c r="D3" s="831"/>
      <c r="E3" s="831"/>
      <c r="F3" s="831"/>
      <c r="G3" s="831"/>
      <c r="H3" s="831"/>
      <c r="I3" s="831"/>
      <c r="J3" s="831"/>
      <c r="K3" s="831"/>
      <c r="L3" s="831"/>
    </row>
    <row r="4" spans="1:22" ht="18.75" x14ac:dyDescent="0.2">
      <c r="A4" s="882"/>
      <c r="B4" s="882"/>
      <c r="C4" s="882"/>
      <c r="D4" s="882"/>
      <c r="E4" s="882"/>
      <c r="F4" s="882"/>
      <c r="G4" s="882"/>
      <c r="H4" s="882"/>
      <c r="I4" s="882"/>
      <c r="J4" s="882"/>
      <c r="K4" s="882"/>
      <c r="L4" s="882"/>
    </row>
    <row r="5" spans="1:22" s="78" customFormat="1" x14ac:dyDescent="0.2">
      <c r="B5" s="208" t="s">
        <v>375</v>
      </c>
      <c r="D5" s="208"/>
      <c r="E5" s="208"/>
      <c r="F5" s="208" t="s">
        <v>69</v>
      </c>
      <c r="J5" s="208" t="s">
        <v>376</v>
      </c>
    </row>
    <row r="6" spans="1:22" s="78" customFormat="1" x14ac:dyDescent="0.2">
      <c r="A6" s="81"/>
      <c r="B6" s="550" t="s">
        <v>950</v>
      </c>
      <c r="C6" s="632">
        <f>'OSNOVNI PODATKI'!F11</f>
        <v>1</v>
      </c>
      <c r="D6" s="550" t="str">
        <f>IF(C6=1,'OSNOVNI PODATKI'!B11,'OSNOVNI PODATKI'!B12)</f>
        <v>ENA STAVBA Z RAZLIČNIMI DELI (PRI IZRAČUNU POTREBNIH NU SE UPOŠTEVA SEŠTEVEK POVRŠIN VSEH DELOV)</v>
      </c>
      <c r="E6" s="509"/>
      <c r="F6" s="509"/>
      <c r="G6" s="210"/>
      <c r="H6" s="210"/>
      <c r="I6" s="210"/>
    </row>
    <row r="7" spans="1:22" s="78" customFormat="1" x14ac:dyDescent="0.2">
      <c r="A7" s="81"/>
      <c r="B7" s="550" t="s">
        <v>951</v>
      </c>
      <c r="C7" s="632">
        <f>'OSNOVNI PODATKI'!E326</f>
        <v>0</v>
      </c>
      <c r="D7" s="550"/>
      <c r="E7" s="509"/>
      <c r="F7" s="509"/>
      <c r="G7" s="210"/>
      <c r="H7" s="210"/>
      <c r="I7" s="210"/>
    </row>
    <row r="8" spans="1:22" s="78" customFormat="1" x14ac:dyDescent="0.2">
      <c r="A8" s="81"/>
      <c r="B8" s="661" t="s">
        <v>960</v>
      </c>
      <c r="D8" s="212"/>
      <c r="E8" s="212"/>
    </row>
    <row r="9" spans="1:22" s="78" customFormat="1" x14ac:dyDescent="0.2">
      <c r="A9" s="81"/>
      <c r="B9" s="212" t="str">
        <f>'OSNOVNI PODATKI'!A14</f>
        <v>STAVBA 1 / DEL 1</v>
      </c>
      <c r="C9" s="553">
        <f>'OSNOVNI PODATKI'!E14</f>
        <v>0</v>
      </c>
      <c r="D9" s="212"/>
      <c r="E9" s="212"/>
    </row>
    <row r="10" spans="1:22" s="78" customFormat="1" x14ac:dyDescent="0.2">
      <c r="A10" s="81"/>
      <c r="B10" s="205" t="s">
        <v>722</v>
      </c>
      <c r="C10" s="86">
        <f>'OSNOVNI PODATKI'!E15</f>
        <v>0</v>
      </c>
      <c r="D10" s="509"/>
      <c r="E10" s="509"/>
      <c r="I10" s="509"/>
    </row>
    <row r="11" spans="1:22" s="78" customFormat="1" x14ac:dyDescent="0.2">
      <c r="A11" s="81"/>
      <c r="B11" s="205" t="s">
        <v>952</v>
      </c>
      <c r="C11" s="86">
        <f>'OSNOVNI PODATKI'!E16</f>
        <v>0</v>
      </c>
      <c r="D11" s="509"/>
      <c r="E11" s="509"/>
      <c r="F11" s="509"/>
      <c r="G11" s="509"/>
      <c r="H11" s="509"/>
      <c r="I11" s="509"/>
    </row>
    <row r="12" spans="1:22" s="78" customFormat="1" x14ac:dyDescent="0.2">
      <c r="A12" s="81"/>
      <c r="B12" s="205" t="s">
        <v>953</v>
      </c>
      <c r="C12" s="86">
        <f>IF($C$6=1,$C$7,C11)</f>
        <v>0</v>
      </c>
      <c r="D12" s="509"/>
      <c r="E12" s="509"/>
      <c r="I12" s="509"/>
    </row>
    <row r="13" spans="1:22" s="78" customFormat="1" x14ac:dyDescent="0.2">
      <c r="A13" s="81"/>
      <c r="B13" s="550" t="s">
        <v>885</v>
      </c>
      <c r="C13" s="549" t="str">
        <f>'OSNOVNI PODATKI'!E26</f>
        <v>/</v>
      </c>
      <c r="D13" s="509"/>
      <c r="E13" s="509"/>
      <c r="F13" s="550"/>
      <c r="G13" s="591"/>
      <c r="I13" s="509"/>
      <c r="J13" s="550"/>
      <c r="K13" s="591"/>
    </row>
    <row r="14" spans="1:22" s="78" customFormat="1" x14ac:dyDescent="0.2">
      <c r="A14" s="81"/>
      <c r="B14" s="205" t="s">
        <v>117</v>
      </c>
      <c r="C14" s="86" t="str">
        <f>'OSNOVNI PODATKI'!E23</f>
        <v>Cenovni razred II</v>
      </c>
      <c r="D14" s="509"/>
      <c r="E14" s="509"/>
      <c r="F14" s="205" t="s">
        <v>117</v>
      </c>
      <c r="G14" s="86" t="str">
        <f>'OSNOVNI PODATKI'!E24</f>
        <v>Cenovni razred I</v>
      </c>
      <c r="H14" s="509"/>
      <c r="I14" s="509"/>
      <c r="J14" s="205" t="s">
        <v>117</v>
      </c>
      <c r="K14" s="86" t="str">
        <f>'OSNOVNI PODATKI'!E21</f>
        <v>Cenovni razred I</v>
      </c>
      <c r="L14" s="509"/>
    </row>
    <row r="15" spans="1:22" s="78" customFormat="1" x14ac:dyDescent="0.2">
      <c r="A15" s="81"/>
      <c r="B15" s="542" t="s">
        <v>84</v>
      </c>
      <c r="C15" s="543" t="str">
        <f>IFERROR(0.0122*POWER(IF((C22+C23+C24)&lt;25%*C21,C12*(1000+C13),(C21-37.5%*C21+50%)*C12*(1000+C13)),0.5823)/C12,"/")</f>
        <v>/</v>
      </c>
      <c r="D15" s="544" t="s">
        <v>878</v>
      </c>
      <c r="E15" s="212"/>
      <c r="F15" s="542" t="s">
        <v>84</v>
      </c>
      <c r="G15" s="543" t="str">
        <f>IFERROR(POWER(C21*C12*(1000+C13),0.6571)*0.0061/C12,"/")</f>
        <v>/</v>
      </c>
      <c r="H15" s="544" t="s">
        <v>878</v>
      </c>
      <c r="J15" s="542" t="s">
        <v>84</v>
      </c>
      <c r="K15" s="543" t="str">
        <f>IFERROR((-6*POWER(10,-13)*POWER(95%*C12*(1000+C13),2)+4*POWER(10,-5)*95%*C12*(1000+C13)+21.161)/C12,"/")</f>
        <v>/</v>
      </c>
      <c r="L15" s="544" t="s">
        <v>878</v>
      </c>
    </row>
    <row r="16" spans="1:22" s="78" customFormat="1" x14ac:dyDescent="0.2">
      <c r="A16" s="81"/>
      <c r="B16" s="545" t="s">
        <v>85</v>
      </c>
      <c r="C16" s="546" t="str">
        <f>IFERROR(0.0138*POWER(IF((C22+C23+C24)&lt;25%*C21,C12*(1000+C13),(C21-37.5%*C21+50%)*C12*(1000+C13)),0.5835)/C12,"/")</f>
        <v>/</v>
      </c>
      <c r="D16" s="508" t="s">
        <v>878</v>
      </c>
      <c r="E16" s="212"/>
      <c r="F16" s="545" t="s">
        <v>85</v>
      </c>
      <c r="G16" s="546" t="str">
        <f>IFERROR(POWER(C21*C12*(1000+C13),0.6566)*0.0071/C12,"/")</f>
        <v>/</v>
      </c>
      <c r="H16" s="508" t="s">
        <v>878</v>
      </c>
      <c r="J16" s="545" t="s">
        <v>85</v>
      </c>
      <c r="K16" s="546" t="str">
        <f>IFERROR((-8*POWER(10,-13)*POWER(95%*C12*(1000+C13),2)+5*POWER(10,-5)*95%*C12*(1000+C13)+27.291)/C12,"/")</f>
        <v>/</v>
      </c>
      <c r="L16" s="508" t="s">
        <v>878</v>
      </c>
    </row>
    <row r="17" spans="1:12" s="78" customFormat="1" x14ac:dyDescent="0.2">
      <c r="A17" s="81"/>
      <c r="B17" s="545" t="s">
        <v>86</v>
      </c>
      <c r="C17" s="546" t="str">
        <f>IFERROR(0.0168*POWER(IF((C22+C23+C24)&lt;25%*C21,C12*(1000+C13),(C21-37.5%*C21+50%)*C12*(1000+C13)),0.5814)/C12,"/")</f>
        <v>/</v>
      </c>
      <c r="D17" s="508" t="s">
        <v>878</v>
      </c>
      <c r="E17" s="212"/>
      <c r="F17" s="545" t="s">
        <v>86</v>
      </c>
      <c r="G17" s="546" t="str">
        <f>IFERROR(POWER(C21*C12*(1000+C13),0.6558)*0.0082/C12,"/")</f>
        <v>/</v>
      </c>
      <c r="H17" s="508" t="s">
        <v>878</v>
      </c>
      <c r="J17" s="545" t="s">
        <v>86</v>
      </c>
      <c r="K17" s="546" t="str">
        <f>IFERROR((-1*POWER(10,-12)*POWER(95%*C12*(1000+C13),2)+6*POWER(10,-5)*95%*C12*(1000+C13)+33.622)/C12,"/")</f>
        <v>/</v>
      </c>
      <c r="L17" s="508" t="s">
        <v>878</v>
      </c>
    </row>
    <row r="18" spans="1:12" s="78" customFormat="1" x14ac:dyDescent="0.2">
      <c r="A18" s="81"/>
      <c r="B18" s="545" t="s">
        <v>87</v>
      </c>
      <c r="C18" s="546" t="str">
        <f>IFERROR(0.0201*POWER(IF((C22+C23+C24)&lt;25%*C21,C12*(1000+C13),(C21-37.5%*C21+50%)*C12*(1000+C13)),0.5829)/C12,"/")</f>
        <v>/</v>
      </c>
      <c r="D18" s="508" t="s">
        <v>878</v>
      </c>
      <c r="E18" s="212"/>
      <c r="F18" s="545" t="s">
        <v>87</v>
      </c>
      <c r="G18" s="546" t="str">
        <f>IFERROR(POWER(C21*C12*(1000+C13),0.6561)*0.0094/C12,"/")</f>
        <v>/</v>
      </c>
      <c r="H18" s="508" t="s">
        <v>878</v>
      </c>
      <c r="J18" s="545" t="s">
        <v>87</v>
      </c>
      <c r="K18" s="546" t="str">
        <f>IFERROR((-2*POWER(10,-12)*POWER(95%*C12*(1000+C13),2)+7*POWER(10,-5)*95%*C12*(1000+C13)+40.067)/C12,"/")</f>
        <v>/</v>
      </c>
      <c r="L18" s="508" t="s">
        <v>878</v>
      </c>
    </row>
    <row r="19" spans="1:12" s="78" customFormat="1" x14ac:dyDescent="0.2">
      <c r="A19" s="81"/>
      <c r="B19" s="545" t="s">
        <v>88</v>
      </c>
      <c r="C19" s="546" t="str">
        <f>IFERROR(0.0226*POWER(IF((C22+C23+C24)&lt;25%*C21,C12*(1000+C13),(C21-37.5%*C21+50%)*C12*(1000+C13)),0.5831)/C12,"/")</f>
        <v>/</v>
      </c>
      <c r="D19" s="508" t="s">
        <v>878</v>
      </c>
      <c r="E19" s="212"/>
      <c r="F19" s="545"/>
      <c r="G19" s="546"/>
      <c r="H19" s="508"/>
      <c r="J19" s="545" t="s">
        <v>88</v>
      </c>
      <c r="K19" s="546" t="str">
        <f>IFERROR((-1*POWER(10,-12)*POWER(95%*C12*(1000+C13),2)+8*POWER(10,-5)*95%*C12*(1000+C13)+46.41)/C12,"/")</f>
        <v>/</v>
      </c>
      <c r="L19" s="508" t="s">
        <v>878</v>
      </c>
    </row>
    <row r="20" spans="1:12" s="78" customFormat="1" x14ac:dyDescent="0.2">
      <c r="A20" s="81"/>
      <c r="B20" s="545" t="s">
        <v>921</v>
      </c>
      <c r="C20" s="546" t="str">
        <f>IFERROR(0.0245*POWER(IF((C22+C23+C24)&lt;25%*C21,C12*(1000+C13),(C21-37.5%*C21+50%)*C12*(1000+C13)),0.5828)/C12,"/")</f>
        <v>/</v>
      </c>
      <c r="D20" s="508" t="s">
        <v>878</v>
      </c>
      <c r="E20" s="212"/>
      <c r="F20" s="545"/>
      <c r="G20" s="546"/>
      <c r="H20" s="508"/>
      <c r="J20" s="545" t="s">
        <v>921</v>
      </c>
      <c r="K20" s="546" t="str">
        <f>IFERROR((-2*POWER(10,-12)*POWER(95%*C12*(1000+C13),2)+9*POWER(10,-5)*95%*C12*(1000+C13)+52.93)/C12,"/")</f>
        <v>/</v>
      </c>
      <c r="L20" s="508" t="s">
        <v>878</v>
      </c>
    </row>
    <row r="21" spans="1:12" s="78" customFormat="1" x14ac:dyDescent="0.2">
      <c r="A21" s="81"/>
      <c r="B21" s="545" t="str">
        <f>'OSNOVNI PODATKI'!B68</f>
        <v>GRADBENO OBRTNIŠKA DELA (GO)</v>
      </c>
      <c r="C21" s="651">
        <f>'OSNOVNI PODATKI'!D37</f>
        <v>0</v>
      </c>
      <c r="D21" s="649"/>
      <c r="E21" s="654" t="e">
        <f>C21*$C$12*(1000+$C$13)</f>
        <v>#VALUE!</v>
      </c>
      <c r="F21" s="212"/>
      <c r="J21" s="653"/>
      <c r="L21" s="647"/>
    </row>
    <row r="22" spans="1:12" s="78" customFormat="1" x14ac:dyDescent="0.2">
      <c r="A22" s="81"/>
      <c r="B22" s="545" t="str">
        <f>'OSNOVNI PODATKI'!B69</f>
        <v>ELEKTRIČNE INŠTALACIJE (EI)</v>
      </c>
      <c r="C22" s="651">
        <f>'OSNOVNI PODATKI'!D38</f>
        <v>0</v>
      </c>
      <c r="D22" s="649"/>
      <c r="E22" s="654" t="e">
        <f t="shared" ref="E22:E24" si="0">C22*$C$12*(1000+$C$13)</f>
        <v>#VALUE!</v>
      </c>
      <c r="F22" s="212"/>
      <c r="K22" s="654"/>
      <c r="L22" s="647"/>
    </row>
    <row r="23" spans="1:12" s="78" customFormat="1" x14ac:dyDescent="0.2">
      <c r="A23" s="81"/>
      <c r="B23" s="545" t="str">
        <f>'OSNOVNI PODATKI'!B70</f>
        <v>STROJNE INŠTALACIJE (SI)</v>
      </c>
      <c r="C23" s="651">
        <f>'OSNOVNI PODATKI'!D39</f>
        <v>0</v>
      </c>
      <c r="D23" s="649"/>
      <c r="E23" s="654" t="e">
        <f t="shared" si="0"/>
        <v>#VALUE!</v>
      </c>
      <c r="F23" s="212"/>
      <c r="J23" s="653"/>
      <c r="K23" s="654"/>
      <c r="L23" s="647"/>
    </row>
    <row r="24" spans="1:12" s="78" customFormat="1" x14ac:dyDescent="0.2">
      <c r="A24" s="81"/>
      <c r="B24" s="545" t="str">
        <f>'OSNOVNI PODATKI'!B71</f>
        <v>TEHNOLOGIJA (TH)</v>
      </c>
      <c r="C24" s="651">
        <f>'OSNOVNI PODATKI'!D40</f>
        <v>0</v>
      </c>
      <c r="D24" s="649"/>
      <c r="E24" s="654" t="e">
        <f t="shared" si="0"/>
        <v>#VALUE!</v>
      </c>
      <c r="F24" s="212"/>
      <c r="J24" s="545"/>
      <c r="K24" s="646"/>
      <c r="L24" s="647"/>
    </row>
    <row r="25" spans="1:12" s="78" customFormat="1" x14ac:dyDescent="0.2">
      <c r="A25" s="81"/>
      <c r="C25" s="655"/>
      <c r="D25" s="509"/>
      <c r="E25" s="656"/>
      <c r="F25" s="509"/>
      <c r="G25" s="509"/>
      <c r="H25" s="509"/>
      <c r="I25" s="509"/>
    </row>
    <row r="26" spans="1:12" s="78" customFormat="1" ht="14.25" x14ac:dyDescent="0.2">
      <c r="B26" s="86" t="s">
        <v>886</v>
      </c>
      <c r="C26" s="527" t="str">
        <f>IFERROR(LOOKUP(C14,B15:C20),"/")</f>
        <v>/</v>
      </c>
      <c r="D26" s="394" t="s">
        <v>877</v>
      </c>
      <c r="E26" s="509"/>
      <c r="F26" s="86" t="s">
        <v>886</v>
      </c>
      <c r="G26" s="527" t="str">
        <f>IFERROR(LOOKUP(G14,F15:G18),"/")</f>
        <v>/</v>
      </c>
      <c r="H26" s="394" t="s">
        <v>877</v>
      </c>
      <c r="I26" s="509"/>
      <c r="J26" s="86" t="s">
        <v>886</v>
      </c>
      <c r="K26" s="527" t="str">
        <f>IFERROR(LOOKUP(K14,J15:K18),"/")</f>
        <v>/</v>
      </c>
      <c r="L26" s="394" t="s">
        <v>877</v>
      </c>
    </row>
    <row r="27" spans="1:12" s="78" customFormat="1" ht="14.25" x14ac:dyDescent="0.2">
      <c r="B27" s="86" t="s">
        <v>887</v>
      </c>
      <c r="C27" s="527" t="str" cm="1">
        <f t="array" ref="C27">IFERROR(INDEX(C15:C20,MATCH(C14,B15:B20)+1),"/")</f>
        <v>/</v>
      </c>
      <c r="D27" s="394" t="s">
        <v>877</v>
      </c>
      <c r="E27" s="509"/>
      <c r="F27" s="86" t="s">
        <v>887</v>
      </c>
      <c r="G27" s="527" t="str" cm="1">
        <f t="array" ref="G27">IFERROR(INDEX(G15:G18,MATCH(G14,F15:F18)+1),"/")</f>
        <v>/</v>
      </c>
      <c r="H27" s="394" t="s">
        <v>877</v>
      </c>
      <c r="I27" s="509"/>
      <c r="J27" s="86" t="s">
        <v>887</v>
      </c>
      <c r="K27" s="527" t="str" cm="1">
        <f t="array" ref="K27">IFERROR(INDEX(K15:K18,MATCH(K14,J15:J18)+1),"/")</f>
        <v>/</v>
      </c>
      <c r="L27" s="394" t="s">
        <v>877</v>
      </c>
    </row>
    <row r="28" spans="1:12" s="78" customFormat="1" x14ac:dyDescent="0.2">
      <c r="B28" s="86" t="s">
        <v>737</v>
      </c>
      <c r="C28" s="551">
        <f>IFERROR(ROUND(C26*$C11,0),0)</f>
        <v>0</v>
      </c>
      <c r="D28" s="394" t="s">
        <v>879</v>
      </c>
      <c r="E28" s="509"/>
      <c r="F28" s="86" t="s">
        <v>737</v>
      </c>
      <c r="G28" s="551">
        <f>IFERROR(ROUND(G26*$C11,0),0)</f>
        <v>0</v>
      </c>
      <c r="H28" s="394" t="s">
        <v>879</v>
      </c>
      <c r="I28" s="509"/>
      <c r="J28" s="86" t="s">
        <v>737</v>
      </c>
      <c r="K28" s="551">
        <f>IF($C$7&gt;50000,"NI DOLOČENO",IFERROR(ROUND(K26*$C11,0),0))</f>
        <v>0</v>
      </c>
      <c r="L28" s="394" t="s">
        <v>879</v>
      </c>
    </row>
    <row r="29" spans="1:12" s="78" customFormat="1" x14ac:dyDescent="0.2">
      <c r="B29" s="86" t="s">
        <v>738</v>
      </c>
      <c r="C29" s="551">
        <f>IFERROR(ROUND(C27*$C11,0),0)</f>
        <v>0</v>
      </c>
      <c r="D29" s="394" t="s">
        <v>879</v>
      </c>
      <c r="E29" s="509"/>
      <c r="F29" s="86" t="s">
        <v>738</v>
      </c>
      <c r="G29" s="551">
        <f>IFERROR(ROUND(G27*$C11,0),0)</f>
        <v>0</v>
      </c>
      <c r="H29" s="394" t="s">
        <v>879</v>
      </c>
      <c r="I29" s="509"/>
      <c r="J29" s="86" t="s">
        <v>738</v>
      </c>
      <c r="K29" s="551">
        <f>IF($C$7&gt;50000,"NI DOLOČENO",IFERROR(ROUND(K27*$C11,0),0))</f>
        <v>0</v>
      </c>
      <c r="L29" s="394" t="s">
        <v>879</v>
      </c>
    </row>
    <row r="30" spans="1:12" s="78" customFormat="1" x14ac:dyDescent="0.2">
      <c r="A30" s="81"/>
      <c r="C30" s="300"/>
      <c r="D30" s="212"/>
      <c r="E30" s="212"/>
    </row>
    <row r="31" spans="1:12" s="78" customFormat="1" x14ac:dyDescent="0.2">
      <c r="A31" s="81"/>
      <c r="B31" s="212" t="str">
        <f>'OSNOVNI PODATKI'!A45</f>
        <v>STAVBA 2 / DEL 2</v>
      </c>
      <c r="C31" s="553">
        <f>'OSNOVNI PODATKI'!E45</f>
        <v>0</v>
      </c>
      <c r="D31" s="212"/>
      <c r="E31" s="212"/>
    </row>
    <row r="32" spans="1:12" s="78" customFormat="1" x14ac:dyDescent="0.2">
      <c r="A32" s="81"/>
      <c r="B32" s="205" t="s">
        <v>722</v>
      </c>
      <c r="C32" s="86">
        <f>'OSNOVNI PODATKI'!E46</f>
        <v>0</v>
      </c>
      <c r="D32" s="509"/>
      <c r="E32" s="509"/>
      <c r="I32" s="509"/>
    </row>
    <row r="33" spans="1:12" s="78" customFormat="1" x14ac:dyDescent="0.2">
      <c r="A33" s="81"/>
      <c r="B33" s="205" t="s">
        <v>952</v>
      </c>
      <c r="C33" s="86">
        <f>'OSNOVNI PODATKI'!E47</f>
        <v>0</v>
      </c>
      <c r="D33" s="509"/>
      <c r="E33" s="509"/>
      <c r="F33" s="509"/>
      <c r="G33" s="509"/>
      <c r="H33" s="509"/>
      <c r="I33" s="509"/>
    </row>
    <row r="34" spans="1:12" s="78" customFormat="1" x14ac:dyDescent="0.2">
      <c r="A34" s="81"/>
      <c r="B34" s="205" t="s">
        <v>953</v>
      </c>
      <c r="C34" s="86">
        <f>IF($C$6=1,$C$7,C33)</f>
        <v>0</v>
      </c>
      <c r="D34" s="509"/>
      <c r="E34" s="509"/>
      <c r="I34" s="509"/>
    </row>
    <row r="35" spans="1:12" s="78" customFormat="1" x14ac:dyDescent="0.2">
      <c r="A35" s="81"/>
      <c r="B35" s="550" t="s">
        <v>885</v>
      </c>
      <c r="C35" s="549" t="str">
        <f>'OSNOVNI PODATKI'!E57</f>
        <v>/</v>
      </c>
      <c r="D35" s="509"/>
      <c r="E35" s="509"/>
      <c r="F35" s="550"/>
      <c r="G35" s="591"/>
      <c r="I35" s="509"/>
      <c r="J35" s="550"/>
      <c r="K35" s="591"/>
    </row>
    <row r="36" spans="1:12" s="78" customFormat="1" x14ac:dyDescent="0.2">
      <c r="A36" s="81"/>
      <c r="B36" s="205" t="s">
        <v>117</v>
      </c>
      <c r="C36" s="86" t="str">
        <f>'OSNOVNI PODATKI'!E54</f>
        <v>Cenovni razred II</v>
      </c>
      <c r="D36" s="509"/>
      <c r="E36" s="509"/>
      <c r="F36" s="205" t="s">
        <v>117</v>
      </c>
      <c r="G36" s="86" t="str">
        <f>'OSNOVNI PODATKI'!E55</f>
        <v>Cenovni razred II</v>
      </c>
      <c r="I36" s="509"/>
      <c r="J36" s="205" t="s">
        <v>117</v>
      </c>
      <c r="K36" s="86" t="str">
        <f>'OSNOVNI PODATKI'!E52</f>
        <v>Cenovni razred II</v>
      </c>
    </row>
    <row r="37" spans="1:12" s="78" customFormat="1" x14ac:dyDescent="0.2">
      <c r="A37" s="81"/>
      <c r="B37" s="542" t="s">
        <v>84</v>
      </c>
      <c r="C37" s="543" t="str">
        <f>IFERROR(0.0122*POWER(IF((C44+C45+C46)&lt;25%*C43,C34*(1000+C35),(C43-37.5%*C43+50%)*C34*(1000+C35)),0.5823)/C34,"/")</f>
        <v>/</v>
      </c>
      <c r="D37" s="544" t="s">
        <v>878</v>
      </c>
      <c r="E37" s="212"/>
      <c r="F37" s="542" t="s">
        <v>84</v>
      </c>
      <c r="G37" s="543" t="str">
        <f>IFERROR(POWER(C43*C34*(1000+C35),0.6571)*0.0061/C34,"/")</f>
        <v>/</v>
      </c>
      <c r="H37" s="544" t="s">
        <v>878</v>
      </c>
      <c r="J37" s="542" t="s">
        <v>84</v>
      </c>
      <c r="K37" s="543" t="str">
        <f>IFERROR((-6*POWER(10,-13)*POWER(95%*C34*(1000+C35),2)+4*POWER(10,-5)*95%*C34*(1000+C35)+21.161)/C34,"/")</f>
        <v>/</v>
      </c>
      <c r="L37" s="544" t="s">
        <v>878</v>
      </c>
    </row>
    <row r="38" spans="1:12" s="78" customFormat="1" x14ac:dyDescent="0.2">
      <c r="A38" s="81"/>
      <c r="B38" s="545" t="s">
        <v>85</v>
      </c>
      <c r="C38" s="546" t="str">
        <f>IFERROR(0.0138*POWER(IF((C44+C45+C46)&lt;25%*C43,C34*(1000+C35),(C43-37.5%*C43+50%)*C34*(1000+C35)),0.5835)/C34,"/")</f>
        <v>/</v>
      </c>
      <c r="D38" s="508" t="s">
        <v>878</v>
      </c>
      <c r="E38" s="212"/>
      <c r="F38" s="545" t="s">
        <v>85</v>
      </c>
      <c r="G38" s="546" t="str">
        <f>IFERROR(POWER(C43*C34*(1000+C35),0.6566)*0.0071/C34,"/")</f>
        <v>/</v>
      </c>
      <c r="H38" s="508" t="s">
        <v>878</v>
      </c>
      <c r="J38" s="545" t="s">
        <v>85</v>
      </c>
      <c r="K38" s="546" t="str">
        <f>IFERROR((-8*POWER(10,-13)*POWER(95%*C34*(1000+C35),2)+5*POWER(10,-5)*95%*C34*(1000+C35)+27.291)/C34,"/")</f>
        <v>/</v>
      </c>
      <c r="L38" s="508" t="s">
        <v>878</v>
      </c>
    </row>
    <row r="39" spans="1:12" s="78" customFormat="1" x14ac:dyDescent="0.2">
      <c r="A39" s="81"/>
      <c r="B39" s="545" t="s">
        <v>86</v>
      </c>
      <c r="C39" s="546" t="str">
        <f>IFERROR(0.0168*POWER(IF((C44+C45+C46)&lt;25%*C43,C34*(1000+C35),(C43-37.5%*C43+50%)*C34*(1000+C35)),0.5814)/C34,"/")</f>
        <v>/</v>
      </c>
      <c r="D39" s="508" t="s">
        <v>878</v>
      </c>
      <c r="E39" s="212"/>
      <c r="F39" s="545" t="s">
        <v>86</v>
      </c>
      <c r="G39" s="546" t="str">
        <f>IFERROR(POWER(C43*C34*(1000+C35),0.6558)*0.0082/C34,"/")</f>
        <v>/</v>
      </c>
      <c r="H39" s="508" t="s">
        <v>878</v>
      </c>
      <c r="J39" s="545" t="s">
        <v>86</v>
      </c>
      <c r="K39" s="546" t="str">
        <f>IFERROR((-1*POWER(10,-12)*POWER(95%*C34*(1000+C35),2)+6*POWER(10,-5)*95%*C34*(1000+C35)+33.622)/C34,"/")</f>
        <v>/</v>
      </c>
      <c r="L39" s="508" t="s">
        <v>878</v>
      </c>
    </row>
    <row r="40" spans="1:12" s="78" customFormat="1" x14ac:dyDescent="0.2">
      <c r="A40" s="81"/>
      <c r="B40" s="545" t="s">
        <v>87</v>
      </c>
      <c r="C40" s="546" t="str">
        <f>IFERROR(0.0201*POWER(IF((C44+C45+C46)&lt;25%*C43,C34*(1000+C35),(C43-37.5%*C43+50%)*C34*(1000+C35)),0.5829)/C34,"/")</f>
        <v>/</v>
      </c>
      <c r="D40" s="508" t="s">
        <v>878</v>
      </c>
      <c r="E40" s="212"/>
      <c r="F40" s="545" t="s">
        <v>87</v>
      </c>
      <c r="G40" s="546" t="str">
        <f>IFERROR(POWER(C43*C34*(1000+C35),0.6561)*0.0094/C34,"/")</f>
        <v>/</v>
      </c>
      <c r="H40" s="508" t="s">
        <v>878</v>
      </c>
      <c r="J40" s="545" t="s">
        <v>87</v>
      </c>
      <c r="K40" s="546" t="str">
        <f>IFERROR((-2*POWER(10,-12)*POWER(95%*C34*(1000+C35),2)+7*POWER(10,-5)*95%*C34*(1000+C35)+40.067)/C34,"/")</f>
        <v>/</v>
      </c>
      <c r="L40" s="508" t="s">
        <v>878</v>
      </c>
    </row>
    <row r="41" spans="1:12" s="78" customFormat="1" x14ac:dyDescent="0.2">
      <c r="A41" s="81"/>
      <c r="B41" s="545" t="s">
        <v>88</v>
      </c>
      <c r="C41" s="546" t="str">
        <f>IFERROR(0.0226*POWER(IF((C44+C45+C46)&lt;25%*C43,C34*(1000+C35),(C43-37.5%*C43+50%)*C34*(1000+C35)),0.5831)/C34,"/")</f>
        <v>/</v>
      </c>
      <c r="D41" s="508" t="s">
        <v>878</v>
      </c>
      <c r="E41" s="212"/>
      <c r="F41" s="545"/>
      <c r="G41" s="546"/>
      <c r="H41" s="508"/>
      <c r="J41" s="545" t="s">
        <v>88</v>
      </c>
      <c r="K41" s="546" t="str">
        <f>IFERROR((-1*POWER(10,-12)*POWER(95%*C34*(1000+C35),2)+8*POWER(10,-5)*95%*C34*(1000+C35)+46.41)/C34,"/")</f>
        <v>/</v>
      </c>
      <c r="L41" s="508" t="s">
        <v>878</v>
      </c>
    </row>
    <row r="42" spans="1:12" s="78" customFormat="1" x14ac:dyDescent="0.2">
      <c r="A42" s="81"/>
      <c r="B42" s="545" t="s">
        <v>921</v>
      </c>
      <c r="C42" s="546" t="str">
        <f>IFERROR(0.0245*POWER(IF((C44+C45+C46)&lt;25%*C43,C34*(1000+C35),(C43-37.5%*C43+50%)*C34*(1000+C35)),0.5828)/C34,"/")</f>
        <v>/</v>
      </c>
      <c r="D42" s="508" t="s">
        <v>878</v>
      </c>
      <c r="E42" s="212"/>
      <c r="F42" s="545"/>
      <c r="G42" s="546"/>
      <c r="H42" s="508"/>
      <c r="J42" s="545" t="s">
        <v>921</v>
      </c>
      <c r="K42" s="546" t="str">
        <f>IFERROR((-2*POWER(10,-12)*POWER(95%*C34*(1000+C35),2)+9*POWER(10,-5)*95%*C34*(1000+C35)+52.93)/C34,"/")</f>
        <v>/</v>
      </c>
      <c r="L42" s="508" t="s">
        <v>878</v>
      </c>
    </row>
    <row r="43" spans="1:12" s="78" customFormat="1" x14ac:dyDescent="0.2">
      <c r="A43" s="81"/>
      <c r="B43" s="545" t="str">
        <f>'OSNOVNI PODATKI'!B68</f>
        <v>GRADBENO OBRTNIŠKA DELA (GO)</v>
      </c>
      <c r="C43" s="651">
        <f>'OSNOVNI PODATKI'!D68</f>
        <v>0</v>
      </c>
      <c r="D43" s="649"/>
      <c r="E43" s="654" t="e">
        <f>C43*$C$34*(1000+$C$35)</f>
        <v>#VALUE!</v>
      </c>
      <c r="F43" s="212"/>
      <c r="J43" s="653"/>
      <c r="L43" s="647"/>
    </row>
    <row r="44" spans="1:12" s="78" customFormat="1" x14ac:dyDescent="0.2">
      <c r="A44" s="81"/>
      <c r="B44" s="545" t="str">
        <f>'OSNOVNI PODATKI'!B69</f>
        <v>ELEKTRIČNE INŠTALACIJE (EI)</v>
      </c>
      <c r="C44" s="651">
        <f>'OSNOVNI PODATKI'!D69</f>
        <v>0</v>
      </c>
      <c r="D44" s="649"/>
      <c r="E44" s="654" t="e">
        <f t="shared" ref="E44:E46" si="1">C44*$C$12*(1000+$C$13)</f>
        <v>#VALUE!</v>
      </c>
      <c r="F44" s="212"/>
      <c r="J44" s="654"/>
      <c r="K44" s="654"/>
      <c r="L44" s="647"/>
    </row>
    <row r="45" spans="1:12" s="78" customFormat="1" x14ac:dyDescent="0.2">
      <c r="A45" s="81"/>
      <c r="B45" s="545" t="str">
        <f>'OSNOVNI PODATKI'!B70</f>
        <v>STROJNE INŠTALACIJE (SI)</v>
      </c>
      <c r="C45" s="651">
        <f>'OSNOVNI PODATKI'!D70</f>
        <v>0</v>
      </c>
      <c r="D45" s="649"/>
      <c r="E45" s="654" t="e">
        <f t="shared" si="1"/>
        <v>#VALUE!</v>
      </c>
      <c r="F45" s="212"/>
      <c r="J45" s="653"/>
      <c r="K45" s="646"/>
      <c r="L45" s="647"/>
    </row>
    <row r="46" spans="1:12" s="78" customFormat="1" x14ac:dyDescent="0.2">
      <c r="A46" s="81"/>
      <c r="B46" s="545" t="str">
        <f>'OSNOVNI PODATKI'!B71</f>
        <v>TEHNOLOGIJA (TH)</v>
      </c>
      <c r="C46" s="651">
        <f>'OSNOVNI PODATKI'!D71</f>
        <v>0</v>
      </c>
      <c r="D46" s="649"/>
      <c r="E46" s="654" t="e">
        <f t="shared" si="1"/>
        <v>#VALUE!</v>
      </c>
      <c r="F46" s="212"/>
      <c r="J46" s="545"/>
      <c r="K46" s="646"/>
      <c r="L46" s="647"/>
    </row>
    <row r="47" spans="1:12" s="78" customFormat="1" x14ac:dyDescent="0.2">
      <c r="A47" s="81"/>
      <c r="C47" s="86"/>
      <c r="D47" s="509"/>
      <c r="E47" s="509"/>
      <c r="F47" s="509"/>
      <c r="G47" s="509"/>
      <c r="H47" s="509"/>
      <c r="I47" s="509"/>
    </row>
    <row r="48" spans="1:12" s="78" customFormat="1" ht="14.25" x14ac:dyDescent="0.2">
      <c r="B48" s="86" t="s">
        <v>886</v>
      </c>
      <c r="C48" s="527" t="str">
        <f>IFERROR(LOOKUP(C36,B37:C42),"/")</f>
        <v>/</v>
      </c>
      <c r="D48" s="394" t="s">
        <v>877</v>
      </c>
      <c r="E48" s="509"/>
      <c r="F48" s="86" t="s">
        <v>886</v>
      </c>
      <c r="G48" s="527" t="str">
        <f>IFERROR(LOOKUP(G36,F37:G40),"/")</f>
        <v>/</v>
      </c>
      <c r="H48" s="394" t="s">
        <v>877</v>
      </c>
      <c r="I48" s="509"/>
      <c r="J48" s="86" t="s">
        <v>886</v>
      </c>
      <c r="K48" s="527" t="str">
        <f>IFERROR(LOOKUP(K36,J37:K40),"/")</f>
        <v>/</v>
      </c>
      <c r="L48" s="394" t="s">
        <v>877</v>
      </c>
    </row>
    <row r="49" spans="1:12" s="78" customFormat="1" ht="14.25" x14ac:dyDescent="0.2">
      <c r="B49" s="86" t="s">
        <v>887</v>
      </c>
      <c r="C49" s="527" t="str" cm="1">
        <f t="array" ref="C49">IFERROR(INDEX(C37:C42,MATCH(C36,B37:B42)+1),"/")</f>
        <v>/</v>
      </c>
      <c r="D49" s="394" t="s">
        <v>877</v>
      </c>
      <c r="E49" s="509"/>
      <c r="F49" s="86" t="s">
        <v>887</v>
      </c>
      <c r="G49" s="527" t="str" cm="1">
        <f t="array" ref="G49">IFERROR(INDEX(G37:G40,MATCH(G36,F37:F40)+1),"/")</f>
        <v>/</v>
      </c>
      <c r="H49" s="394" t="s">
        <v>877</v>
      </c>
      <c r="I49" s="509"/>
      <c r="J49" s="86" t="s">
        <v>887</v>
      </c>
      <c r="K49" s="527" t="str" cm="1">
        <f t="array" ref="K49">IFERROR(INDEX(K37:K40,MATCH(K36,J37:J40)+1),"/")</f>
        <v>/</v>
      </c>
      <c r="L49" s="394" t="s">
        <v>877</v>
      </c>
    </row>
    <row r="50" spans="1:12" s="78" customFormat="1" x14ac:dyDescent="0.2">
      <c r="B50" s="86" t="s">
        <v>737</v>
      </c>
      <c r="C50" s="551">
        <f>IFERROR(ROUND(C48*$C33,0),0)</f>
        <v>0</v>
      </c>
      <c r="D50" s="394" t="s">
        <v>879</v>
      </c>
      <c r="E50" s="509"/>
      <c r="F50" s="86" t="s">
        <v>737</v>
      </c>
      <c r="G50" s="551">
        <f>IFERROR(ROUND(G48*$C33,0),0)</f>
        <v>0</v>
      </c>
      <c r="H50" s="394" t="s">
        <v>879</v>
      </c>
      <c r="I50" s="509"/>
      <c r="J50" s="86" t="s">
        <v>737</v>
      </c>
      <c r="K50" s="551">
        <f>IF($C$7&gt;50000,"NI DOLOČENO",IFERROR(ROUND(K48*$C33,0),0))</f>
        <v>0</v>
      </c>
      <c r="L50" s="394" t="s">
        <v>879</v>
      </c>
    </row>
    <row r="51" spans="1:12" s="78" customFormat="1" x14ac:dyDescent="0.2">
      <c r="B51" s="86" t="s">
        <v>738</v>
      </c>
      <c r="C51" s="551">
        <f>IFERROR(ROUND(C49*$C33,0),0)</f>
        <v>0</v>
      </c>
      <c r="D51" s="394" t="s">
        <v>879</v>
      </c>
      <c r="E51" s="509"/>
      <c r="F51" s="86" t="s">
        <v>738</v>
      </c>
      <c r="G51" s="551">
        <f>IFERROR(ROUND(G49*$C33,0),0)</f>
        <v>0</v>
      </c>
      <c r="H51" s="394" t="s">
        <v>879</v>
      </c>
      <c r="I51" s="509"/>
      <c r="J51" s="86" t="s">
        <v>738</v>
      </c>
      <c r="K51" s="551">
        <f>IF($C$7&gt;50000,"NI DOLOČENO",IFERROR(ROUND(K49*$C33,0),0))</f>
        <v>0</v>
      </c>
      <c r="L51" s="394" t="s">
        <v>879</v>
      </c>
    </row>
    <row r="52" spans="1:12" s="78" customFormat="1" x14ac:dyDescent="0.2">
      <c r="A52" s="81"/>
      <c r="C52" s="212"/>
      <c r="D52" s="212"/>
      <c r="E52" s="212"/>
    </row>
    <row r="53" spans="1:12" s="78" customFormat="1" x14ac:dyDescent="0.2">
      <c r="A53" s="81"/>
      <c r="B53" s="212" t="str">
        <f>'OSNOVNI PODATKI'!A76</f>
        <v>STAVBA 3 / DEL 3</v>
      </c>
      <c r="C53" s="553">
        <f>'OSNOVNI PODATKI'!E76</f>
        <v>0</v>
      </c>
      <c r="D53" s="212"/>
      <c r="E53" s="212"/>
    </row>
    <row r="54" spans="1:12" s="78" customFormat="1" x14ac:dyDescent="0.2">
      <c r="A54" s="81"/>
      <c r="B54" s="205" t="s">
        <v>722</v>
      </c>
      <c r="C54" s="86">
        <f>'OSNOVNI PODATKI'!E77</f>
        <v>0</v>
      </c>
      <c r="D54" s="509"/>
      <c r="E54" s="509"/>
      <c r="I54" s="509"/>
    </row>
    <row r="55" spans="1:12" s="78" customFormat="1" x14ac:dyDescent="0.2">
      <c r="A55" s="81"/>
      <c r="B55" s="205" t="s">
        <v>952</v>
      </c>
      <c r="C55" s="86">
        <f>'OSNOVNI PODATKI'!E78</f>
        <v>0</v>
      </c>
      <c r="D55" s="509"/>
      <c r="E55" s="509"/>
      <c r="F55" s="509"/>
      <c r="G55" s="509"/>
      <c r="H55" s="509"/>
      <c r="I55" s="509"/>
    </row>
    <row r="56" spans="1:12" s="78" customFormat="1" x14ac:dyDescent="0.2">
      <c r="A56" s="81"/>
      <c r="B56" s="205" t="s">
        <v>953</v>
      </c>
      <c r="C56" s="86">
        <f>IF($C$6=1,$C$7,C55)</f>
        <v>0</v>
      </c>
      <c r="D56" s="509"/>
      <c r="E56" s="509"/>
      <c r="I56" s="509"/>
    </row>
    <row r="57" spans="1:12" s="78" customFormat="1" x14ac:dyDescent="0.2">
      <c r="A57" s="81"/>
      <c r="B57" s="550" t="s">
        <v>885</v>
      </c>
      <c r="C57" s="549" t="str">
        <f>'OSNOVNI PODATKI'!E88</f>
        <v>/</v>
      </c>
      <c r="D57" s="509"/>
      <c r="E57" s="509"/>
      <c r="F57" s="550"/>
      <c r="G57" s="591"/>
      <c r="I57" s="509"/>
      <c r="J57" s="550"/>
      <c r="K57" s="591"/>
    </row>
    <row r="58" spans="1:12" s="78" customFormat="1" x14ac:dyDescent="0.2">
      <c r="A58" s="81"/>
      <c r="B58" s="205" t="s">
        <v>117</v>
      </c>
      <c r="C58" s="86" t="str">
        <f>'OSNOVNI PODATKI'!E85</f>
        <v>Cenovni razred II</v>
      </c>
      <c r="D58" s="509"/>
      <c r="E58" s="509"/>
      <c r="F58" s="205" t="s">
        <v>117</v>
      </c>
      <c r="G58" s="86" t="str">
        <f>'OSNOVNI PODATKI'!E86</f>
        <v>Cenovni razred II</v>
      </c>
      <c r="I58" s="509"/>
      <c r="J58" s="205" t="s">
        <v>117</v>
      </c>
      <c r="K58" s="86" t="str">
        <f>'OSNOVNI PODATKI'!E83</f>
        <v>Cenovni razred II</v>
      </c>
    </row>
    <row r="59" spans="1:12" s="78" customFormat="1" x14ac:dyDescent="0.2">
      <c r="A59" s="81"/>
      <c r="B59" s="542" t="s">
        <v>84</v>
      </c>
      <c r="C59" s="543" t="str">
        <f>IFERROR(0.0122*POWER(IF((C66+C67+C68)&lt;25%*C65,C56*(1000+C57),(C65-37.5%*C65+50%)*C56*(1000+C57)),0.5823)/C56,"/")</f>
        <v>/</v>
      </c>
      <c r="D59" s="544" t="s">
        <v>878</v>
      </c>
      <c r="E59" s="212"/>
      <c r="F59" s="542" t="s">
        <v>84</v>
      </c>
      <c r="G59" s="543" t="str">
        <f>IFERROR(POWER(C65*C56*(1000+C57),0.6571)*0.0061/C56,"/")</f>
        <v>/</v>
      </c>
      <c r="H59" s="544" t="s">
        <v>878</v>
      </c>
      <c r="J59" s="542" t="s">
        <v>84</v>
      </c>
      <c r="K59" s="543" t="str">
        <f>IFERROR((-6*POWER(10,-13)*POWER(95%*C56*(1000+C57),2)+4*POWER(10,-5)*95%*C56*(1000+C57)+21.161)/C56,"/")</f>
        <v>/</v>
      </c>
      <c r="L59" s="544" t="s">
        <v>878</v>
      </c>
    </row>
    <row r="60" spans="1:12" s="78" customFormat="1" x14ac:dyDescent="0.2">
      <c r="A60" s="81"/>
      <c r="B60" s="545" t="s">
        <v>85</v>
      </c>
      <c r="C60" s="546" t="str">
        <f>IFERROR(0.0138*POWER(IF((C66+C67+C68)&lt;25%*C65,C56*(1000+C57),(C65-37.5%*C65+50%)*C56*(1000+C57)),0.5835)/C56,"/")</f>
        <v>/</v>
      </c>
      <c r="D60" s="508" t="s">
        <v>878</v>
      </c>
      <c r="E60" s="212"/>
      <c r="F60" s="545" t="s">
        <v>85</v>
      </c>
      <c r="G60" s="546" t="str">
        <f>IFERROR(POWER(C65*C56*(1000+C57),0.6566)*0.0071/C56,"/")</f>
        <v>/</v>
      </c>
      <c r="H60" s="508" t="s">
        <v>878</v>
      </c>
      <c r="J60" s="545" t="s">
        <v>85</v>
      </c>
      <c r="K60" s="546" t="str">
        <f>IFERROR((-8*POWER(10,-13)*POWER(95%*C56*(1000+C57),2)+5*POWER(10,-5)*95%*C56*(1000+C57)+27.291)/C56,"/")</f>
        <v>/</v>
      </c>
      <c r="L60" s="508" t="s">
        <v>878</v>
      </c>
    </row>
    <row r="61" spans="1:12" s="78" customFormat="1" x14ac:dyDescent="0.2">
      <c r="A61" s="81"/>
      <c r="B61" s="545" t="s">
        <v>86</v>
      </c>
      <c r="C61" s="546" t="str">
        <f>IFERROR(0.0168*POWER(IF((C66+C67+C68)&lt;25%*C65,C56*(1000+C57),(C65-37.5%*C65+50%)*C56*(1000+C57)),0.5814)/C56,"/")</f>
        <v>/</v>
      </c>
      <c r="D61" s="508" t="s">
        <v>878</v>
      </c>
      <c r="E61" s="212"/>
      <c r="F61" s="545" t="s">
        <v>86</v>
      </c>
      <c r="G61" s="546" t="str">
        <f>IFERROR(POWER(C65*C56*(1000+C57),0.6558)*0.0082/C56,"/")</f>
        <v>/</v>
      </c>
      <c r="H61" s="508" t="s">
        <v>878</v>
      </c>
      <c r="J61" s="545" t="s">
        <v>86</v>
      </c>
      <c r="K61" s="546" t="str">
        <f>IFERROR((-1*POWER(10,-12)*POWER(95%*C56*(1000+C57),2)+6*POWER(10,-5)*95%*C56*(1000+C57)+33.622)/C56,"/")</f>
        <v>/</v>
      </c>
      <c r="L61" s="508" t="s">
        <v>878</v>
      </c>
    </row>
    <row r="62" spans="1:12" s="78" customFormat="1" x14ac:dyDescent="0.2">
      <c r="A62" s="81"/>
      <c r="B62" s="545" t="s">
        <v>87</v>
      </c>
      <c r="C62" s="546" t="str">
        <f>IFERROR(0.0201*POWER(IF((C66+C67+C68)&lt;25%*C65,C56*(1000+C57),(C65-37.5%*C65+50%)*C56*(1000+C57)),0.5829)/C56,"/")</f>
        <v>/</v>
      </c>
      <c r="D62" s="508" t="s">
        <v>878</v>
      </c>
      <c r="E62" s="212"/>
      <c r="F62" s="545" t="s">
        <v>87</v>
      </c>
      <c r="G62" s="546" t="str">
        <f>IFERROR(POWER(C65*C56*(1000+C57),0.6561)*0.0094/C56,"/")</f>
        <v>/</v>
      </c>
      <c r="H62" s="508" t="s">
        <v>878</v>
      </c>
      <c r="J62" s="545" t="s">
        <v>87</v>
      </c>
      <c r="K62" s="546" t="str">
        <f>IFERROR((-2*POWER(10,-12)*POWER(95%*C56*(1000+C57),2)+7*POWER(10,-5)*95%*C56*(1000+C57)+40.067)/C56,"/")</f>
        <v>/</v>
      </c>
      <c r="L62" s="508" t="s">
        <v>878</v>
      </c>
    </row>
    <row r="63" spans="1:12" s="78" customFormat="1" x14ac:dyDescent="0.2">
      <c r="A63" s="81"/>
      <c r="B63" s="545" t="s">
        <v>88</v>
      </c>
      <c r="C63" s="546" t="str">
        <f>IFERROR(0.0226*POWER(IF((C66+C67+C68)&lt;25%*C65,C56*(1000+C57),(C65-37.5%*C65+50%)*C56*(1000+C57)),0.5831)/C56,"/")</f>
        <v>/</v>
      </c>
      <c r="D63" s="508" t="s">
        <v>878</v>
      </c>
      <c r="E63" s="212"/>
      <c r="F63" s="545"/>
      <c r="G63" s="546"/>
      <c r="H63" s="508"/>
      <c r="J63" s="545" t="s">
        <v>88</v>
      </c>
      <c r="K63" s="546" t="str">
        <f>IFERROR((-1*POWER(10,-12)*POWER(95%*C56*(1000+C57),2)+8*POWER(10,-5)*95%*C56*(1000+C57)+46.41)/C56,"/")</f>
        <v>/</v>
      </c>
      <c r="L63" s="508" t="s">
        <v>878</v>
      </c>
    </row>
    <row r="64" spans="1:12" s="78" customFormat="1" x14ac:dyDescent="0.2">
      <c r="A64" s="81"/>
      <c r="B64" s="545" t="s">
        <v>921</v>
      </c>
      <c r="C64" s="546" t="str">
        <f>IFERROR(0.0245*POWER(IF((C66+C67+C68)&lt;25%*C65,C56*(1000+C57),(C65-37.5%*C65+50%)*C56*(1000+C57)),0.5828)/C56,"/")</f>
        <v>/</v>
      </c>
      <c r="D64" s="508" t="s">
        <v>878</v>
      </c>
      <c r="E64" s="212"/>
      <c r="F64" s="545"/>
      <c r="G64" s="546"/>
      <c r="H64" s="508"/>
      <c r="J64" s="545" t="s">
        <v>921</v>
      </c>
      <c r="K64" s="546" t="str">
        <f>IFERROR((-2*POWER(10,-12)*POWER(95%*C56*(1000+C57),2)+9*POWER(10,-5)*95%*C56*(1000+C57)+52.93)/C56,"/")</f>
        <v>/</v>
      </c>
      <c r="L64" s="508" t="s">
        <v>878</v>
      </c>
    </row>
    <row r="65" spans="1:12" s="78" customFormat="1" x14ac:dyDescent="0.2">
      <c r="A65" s="81"/>
      <c r="B65" s="545" t="str">
        <f>'OSNOVNI PODATKI'!B99</f>
        <v>GRADBENO OBRTNIŠKA DELA (GO)</v>
      </c>
      <c r="C65" s="651">
        <f>'OSNOVNI PODATKI'!D99</f>
        <v>0</v>
      </c>
      <c r="D65" s="649"/>
      <c r="E65" s="654" t="e">
        <f>C65*$C$12*(1000+$C$13)</f>
        <v>#VALUE!</v>
      </c>
      <c r="F65" s="212"/>
      <c r="J65" s="653"/>
      <c r="L65" s="647"/>
    </row>
    <row r="66" spans="1:12" s="78" customFormat="1" x14ac:dyDescent="0.2">
      <c r="A66" s="81"/>
      <c r="B66" s="545" t="str">
        <f>'OSNOVNI PODATKI'!B100</f>
        <v>ELEKTRIČNE INŠTALACIJE (EI)</v>
      </c>
      <c r="C66" s="651">
        <f>'OSNOVNI PODATKI'!D100</f>
        <v>0</v>
      </c>
      <c r="D66" s="649"/>
      <c r="E66" s="654" t="e">
        <f t="shared" ref="E66:E68" si="2">C66*$C$12*(1000+$C$13)</f>
        <v>#VALUE!</v>
      </c>
      <c r="F66" s="212"/>
      <c r="J66" s="654"/>
      <c r="K66" s="654"/>
      <c r="L66" s="647"/>
    </row>
    <row r="67" spans="1:12" s="78" customFormat="1" x14ac:dyDescent="0.2">
      <c r="A67" s="81"/>
      <c r="B67" s="545" t="str">
        <f>'OSNOVNI PODATKI'!B101</f>
        <v>STROJNE INŠTALACIJE (SI)</v>
      </c>
      <c r="C67" s="651">
        <f>'OSNOVNI PODATKI'!D101</f>
        <v>0</v>
      </c>
      <c r="D67" s="649"/>
      <c r="E67" s="654" t="e">
        <f t="shared" si="2"/>
        <v>#VALUE!</v>
      </c>
      <c r="F67" s="212"/>
      <c r="J67" s="653"/>
      <c r="K67" s="646"/>
      <c r="L67" s="647"/>
    </row>
    <row r="68" spans="1:12" s="78" customFormat="1" x14ac:dyDescent="0.2">
      <c r="A68" s="81"/>
      <c r="B68" s="545" t="str">
        <f>'OSNOVNI PODATKI'!B102</f>
        <v>TEHNOLOGIJA (TH)</v>
      </c>
      <c r="C68" s="651">
        <f>'OSNOVNI PODATKI'!D102</f>
        <v>0</v>
      </c>
      <c r="D68" s="649"/>
      <c r="E68" s="654" t="e">
        <f t="shared" si="2"/>
        <v>#VALUE!</v>
      </c>
      <c r="F68" s="212"/>
      <c r="J68" s="545"/>
      <c r="K68" s="646"/>
      <c r="L68" s="647"/>
    </row>
    <row r="69" spans="1:12" s="78" customFormat="1" x14ac:dyDescent="0.2">
      <c r="A69" s="81"/>
      <c r="C69" s="86"/>
      <c r="D69" s="509"/>
      <c r="E69" s="509"/>
      <c r="F69" s="509"/>
      <c r="G69" s="509"/>
      <c r="H69" s="509"/>
      <c r="I69" s="509"/>
    </row>
    <row r="70" spans="1:12" s="78" customFormat="1" ht="14.25" x14ac:dyDescent="0.2">
      <c r="B70" s="86" t="s">
        <v>886</v>
      </c>
      <c r="C70" s="527" t="str">
        <f>IFERROR(LOOKUP(C58,B59:C64),"/")</f>
        <v>/</v>
      </c>
      <c r="D70" s="394" t="s">
        <v>877</v>
      </c>
      <c r="E70" s="509"/>
      <c r="F70" s="86" t="s">
        <v>886</v>
      </c>
      <c r="G70" s="527" t="str">
        <f>IFERROR(LOOKUP(G58,F59:G62),"/")</f>
        <v>/</v>
      </c>
      <c r="H70" s="394" t="s">
        <v>877</v>
      </c>
      <c r="I70" s="509"/>
      <c r="J70" s="86" t="s">
        <v>886</v>
      </c>
      <c r="K70" s="527" t="str">
        <f>IFERROR(LOOKUP(K58,J59:K62),"/")</f>
        <v>/</v>
      </c>
      <c r="L70" s="394" t="s">
        <v>877</v>
      </c>
    </row>
    <row r="71" spans="1:12" s="78" customFormat="1" ht="14.25" x14ac:dyDescent="0.2">
      <c r="B71" s="86" t="s">
        <v>887</v>
      </c>
      <c r="C71" s="527" t="str" cm="1">
        <f t="array" ref="C71">IFERROR(INDEX(C59:C64,MATCH(C58,B59:B64)+1),"/")</f>
        <v>/</v>
      </c>
      <c r="D71" s="394" t="s">
        <v>877</v>
      </c>
      <c r="E71" s="509"/>
      <c r="F71" s="86" t="s">
        <v>887</v>
      </c>
      <c r="G71" s="527" t="str" cm="1">
        <f t="array" ref="G71">IFERROR(INDEX(G59:G62,MATCH(G58,F59:F62)+1),"/")</f>
        <v>/</v>
      </c>
      <c r="H71" s="394" t="s">
        <v>877</v>
      </c>
      <c r="I71" s="509"/>
      <c r="J71" s="86" t="s">
        <v>887</v>
      </c>
      <c r="K71" s="527" t="str" cm="1">
        <f t="array" ref="K71">IFERROR(INDEX(K59:K62,MATCH(K58,J59:J62)+1),"/")</f>
        <v>/</v>
      </c>
      <c r="L71" s="394" t="s">
        <v>877</v>
      </c>
    </row>
    <row r="72" spans="1:12" s="78" customFormat="1" x14ac:dyDescent="0.2">
      <c r="B72" s="86" t="s">
        <v>737</v>
      </c>
      <c r="C72" s="551">
        <f>IFERROR(ROUND(C70*$C55,0),0)</f>
        <v>0</v>
      </c>
      <c r="D72" s="394" t="s">
        <v>879</v>
      </c>
      <c r="E72" s="509"/>
      <c r="F72" s="86" t="s">
        <v>737</v>
      </c>
      <c r="G72" s="551">
        <f>IFERROR(ROUND(G70*$C55,0),0)</f>
        <v>0</v>
      </c>
      <c r="H72" s="394" t="s">
        <v>879</v>
      </c>
      <c r="I72" s="509"/>
      <c r="J72" s="86" t="s">
        <v>737</v>
      </c>
      <c r="K72" s="551">
        <f>IF($C$7&gt;50000,"NI DOLOČENO",IFERROR(ROUND(K70*$C55,0),0))</f>
        <v>0</v>
      </c>
      <c r="L72" s="394" t="s">
        <v>879</v>
      </c>
    </row>
    <row r="73" spans="1:12" s="78" customFormat="1" x14ac:dyDescent="0.2">
      <c r="B73" s="86" t="s">
        <v>738</v>
      </c>
      <c r="C73" s="551">
        <f>IFERROR(ROUND(C71*$C55,0),0)</f>
        <v>0</v>
      </c>
      <c r="D73" s="394" t="s">
        <v>879</v>
      </c>
      <c r="E73" s="509"/>
      <c r="F73" s="86" t="s">
        <v>738</v>
      </c>
      <c r="G73" s="551">
        <f>IFERROR(ROUND(G71*$C55,0),0)</f>
        <v>0</v>
      </c>
      <c r="H73" s="394" t="s">
        <v>879</v>
      </c>
      <c r="I73" s="509"/>
      <c r="J73" s="86" t="s">
        <v>738</v>
      </c>
      <c r="K73" s="551">
        <f>IF($C$7&gt;50000,"NI DOLOČENO",IFERROR(ROUND(K71*$C55,0),0))</f>
        <v>0</v>
      </c>
      <c r="L73" s="394" t="s">
        <v>879</v>
      </c>
    </row>
    <row r="74" spans="1:12" s="78" customFormat="1" x14ac:dyDescent="0.2">
      <c r="A74" s="81"/>
      <c r="C74" s="212"/>
      <c r="D74" s="212"/>
      <c r="E74" s="212"/>
    </row>
    <row r="75" spans="1:12" s="78" customFormat="1" x14ac:dyDescent="0.2">
      <c r="A75" s="81"/>
      <c r="B75" s="212" t="str">
        <f>'OSNOVNI PODATKI'!A107</f>
        <v>STAVBA 4 / DEL 4</v>
      </c>
      <c r="C75" s="553">
        <f>'OSNOVNI PODATKI'!E107</f>
        <v>0</v>
      </c>
      <c r="D75" s="212"/>
      <c r="E75" s="212"/>
    </row>
    <row r="76" spans="1:12" s="78" customFormat="1" x14ac:dyDescent="0.2">
      <c r="A76" s="81"/>
      <c r="B76" s="205" t="s">
        <v>722</v>
      </c>
      <c r="C76" s="86">
        <f>'OSNOVNI PODATKI'!E108</f>
        <v>0</v>
      </c>
      <c r="D76" s="509"/>
      <c r="E76" s="509"/>
      <c r="I76" s="509"/>
    </row>
    <row r="77" spans="1:12" s="78" customFormat="1" x14ac:dyDescent="0.2">
      <c r="A77" s="81"/>
      <c r="B77" s="205" t="s">
        <v>952</v>
      </c>
      <c r="C77" s="86">
        <f>'OSNOVNI PODATKI'!E109</f>
        <v>0</v>
      </c>
      <c r="D77" s="509"/>
      <c r="E77" s="509"/>
      <c r="F77" s="509"/>
      <c r="G77" s="509"/>
      <c r="H77" s="509"/>
      <c r="I77" s="509"/>
    </row>
    <row r="78" spans="1:12" s="78" customFormat="1" x14ac:dyDescent="0.2">
      <c r="A78" s="81"/>
      <c r="B78" s="205" t="s">
        <v>953</v>
      </c>
      <c r="C78" s="86">
        <f>IF($C$6=1,$C$7,C77)</f>
        <v>0</v>
      </c>
      <c r="D78" s="509"/>
      <c r="E78" s="509"/>
      <c r="I78" s="509"/>
    </row>
    <row r="79" spans="1:12" s="78" customFormat="1" x14ac:dyDescent="0.2">
      <c r="A79" s="81"/>
      <c r="B79" s="550" t="s">
        <v>885</v>
      </c>
      <c r="C79" s="549" t="str">
        <f>'OSNOVNI PODATKI'!E119</f>
        <v>/</v>
      </c>
      <c r="D79" s="509"/>
      <c r="E79" s="509"/>
      <c r="F79" s="550"/>
      <c r="G79" s="591"/>
      <c r="I79" s="509"/>
      <c r="J79" s="550"/>
      <c r="K79" s="591"/>
    </row>
    <row r="80" spans="1:12" s="78" customFormat="1" x14ac:dyDescent="0.2">
      <c r="A80" s="81"/>
      <c r="B80" s="205" t="s">
        <v>117</v>
      </c>
      <c r="C80" s="86" t="str">
        <f>'OSNOVNI PODATKI'!E116</f>
        <v>Cenovni razred II</v>
      </c>
      <c r="D80" s="509"/>
      <c r="E80" s="509"/>
      <c r="F80" s="205" t="s">
        <v>117</v>
      </c>
      <c r="G80" s="86" t="str">
        <f>'OSNOVNI PODATKI'!E117</f>
        <v>Cenovni razred II</v>
      </c>
      <c r="I80" s="509"/>
      <c r="J80" s="205" t="s">
        <v>117</v>
      </c>
      <c r="K80" s="86" t="str">
        <f>'OSNOVNI PODATKI'!E114</f>
        <v>Cenovni razred II</v>
      </c>
    </row>
    <row r="81" spans="1:12" s="78" customFormat="1" x14ac:dyDescent="0.2">
      <c r="A81" s="81"/>
      <c r="B81" s="542" t="s">
        <v>84</v>
      </c>
      <c r="C81" s="543" t="str">
        <f>IFERROR(0.0122*POWER(IF((C88+C89+C90)&lt;25%*C87,C78*(1000+C79),(C87-37.5%*C87+50%)*C78*(1000+C79)),0.5823)/C78,"/")</f>
        <v>/</v>
      </c>
      <c r="D81" s="544" t="s">
        <v>878</v>
      </c>
      <c r="E81" s="212"/>
      <c r="F81" s="542" t="s">
        <v>84</v>
      </c>
      <c r="G81" s="543" t="str">
        <f>IFERROR(POWER(C87*C78*(1000+C79),0.6571)*0.0061/C78,"/")</f>
        <v>/</v>
      </c>
      <c r="H81" s="544" t="s">
        <v>878</v>
      </c>
      <c r="J81" s="542" t="s">
        <v>84</v>
      </c>
      <c r="K81" s="543" t="str">
        <f>IFERROR((-6*POWER(10,-13)*POWER(95%*C78*(1000+C79),2)+4*POWER(10,-5)*95%*C78*(1000+C79)+21.161)/C78,"/")</f>
        <v>/</v>
      </c>
      <c r="L81" s="544" t="s">
        <v>878</v>
      </c>
    </row>
    <row r="82" spans="1:12" s="78" customFormat="1" x14ac:dyDescent="0.2">
      <c r="A82" s="81"/>
      <c r="B82" s="545" t="s">
        <v>85</v>
      </c>
      <c r="C82" s="546" t="str">
        <f>IFERROR(0.0138*POWER(IF((C88+C89+C90)&lt;25%*C87,C78*(1000+C79),(C87-37.5%*C87+50%)*C78*(1000+C79)),0.5835)/C78,"/")</f>
        <v>/</v>
      </c>
      <c r="D82" s="508" t="s">
        <v>878</v>
      </c>
      <c r="E82" s="212"/>
      <c r="F82" s="545" t="s">
        <v>85</v>
      </c>
      <c r="G82" s="546" t="str">
        <f>IFERROR(POWER(C87*C78*(1000+C79),0.6566)*0.0071/C78,"/")</f>
        <v>/</v>
      </c>
      <c r="H82" s="508" t="s">
        <v>878</v>
      </c>
      <c r="J82" s="545" t="s">
        <v>85</v>
      </c>
      <c r="K82" s="546" t="str">
        <f>IFERROR((-8*POWER(10,-13)*POWER(95%*C78*(1000+C79),2)+5*POWER(10,-5)*95%*C78*(1000+C79)+27.291)/C78,"/")</f>
        <v>/</v>
      </c>
      <c r="L82" s="508" t="s">
        <v>878</v>
      </c>
    </row>
    <row r="83" spans="1:12" s="78" customFormat="1" x14ac:dyDescent="0.2">
      <c r="A83" s="81"/>
      <c r="B83" s="545" t="s">
        <v>86</v>
      </c>
      <c r="C83" s="546" t="str">
        <f>IFERROR(0.0168*POWER(IF((C88+C89+C90)&lt;25%*C87,C78*(1000+C79),(C87-37.5%*C87+50%)*C78*(1000+C79)),0.5814)/C78,"/")</f>
        <v>/</v>
      </c>
      <c r="D83" s="508" t="s">
        <v>878</v>
      </c>
      <c r="E83" s="212"/>
      <c r="F83" s="545" t="s">
        <v>86</v>
      </c>
      <c r="G83" s="546" t="str">
        <f>IFERROR(POWER(C87*C78*(1000+C79),0.6558)*0.0082/C78,"/")</f>
        <v>/</v>
      </c>
      <c r="H83" s="508" t="s">
        <v>878</v>
      </c>
      <c r="J83" s="545" t="s">
        <v>86</v>
      </c>
      <c r="K83" s="546" t="str">
        <f>IFERROR((-1*POWER(10,-12)*POWER(95%*C78*(1000+C79),2)+6*POWER(10,-5)*95%*C78*(1000+C79)+33.622)/C78,"/")</f>
        <v>/</v>
      </c>
      <c r="L83" s="508" t="s">
        <v>878</v>
      </c>
    </row>
    <row r="84" spans="1:12" s="78" customFormat="1" x14ac:dyDescent="0.2">
      <c r="A84" s="81"/>
      <c r="B84" s="545" t="s">
        <v>87</v>
      </c>
      <c r="C84" s="546" t="str">
        <f>IFERROR(0.0201*POWER(IF((C88+C89+C90)&lt;25%*C87,C78*(1000+C79),(C87-37.5%*C87+50%)*C78*(1000+C79)),0.5829)/C78,"/")</f>
        <v>/</v>
      </c>
      <c r="D84" s="508" t="s">
        <v>878</v>
      </c>
      <c r="E84" s="212"/>
      <c r="F84" s="545" t="s">
        <v>87</v>
      </c>
      <c r="G84" s="546" t="str">
        <f>IFERROR(POWER(C87*C78*(1000+C79),0.6561)*0.0094/C78,"/")</f>
        <v>/</v>
      </c>
      <c r="H84" s="508" t="s">
        <v>878</v>
      </c>
      <c r="J84" s="545" t="s">
        <v>87</v>
      </c>
      <c r="K84" s="546" t="str">
        <f>IFERROR((-2*POWER(10,-12)*POWER(95%*C78*(1000+C79),2)+7*POWER(10,-5)*95%*C78*(1000+C79)+40.067)/C78,"/")</f>
        <v>/</v>
      </c>
      <c r="L84" s="508" t="s">
        <v>878</v>
      </c>
    </row>
    <row r="85" spans="1:12" s="78" customFormat="1" x14ac:dyDescent="0.2">
      <c r="A85" s="81"/>
      <c r="B85" s="545" t="s">
        <v>88</v>
      </c>
      <c r="C85" s="546" t="str">
        <f>IFERROR(0.0226*POWER(IF((C88+C89+C90)&lt;25%*C87,C78*(1000+C79),(C87-37.5%*C87+50%)*C78*(1000+C79)),0.5831)/C78,"/")</f>
        <v>/</v>
      </c>
      <c r="D85" s="508" t="s">
        <v>878</v>
      </c>
      <c r="E85" s="212"/>
      <c r="F85" s="545"/>
      <c r="G85" s="546"/>
      <c r="H85" s="508"/>
      <c r="J85" s="545" t="s">
        <v>88</v>
      </c>
      <c r="K85" s="546" t="str">
        <f>IFERROR((-1*POWER(10,-12)*POWER(95%*C78*(1000+C79),2)+8*POWER(10,-5)*95%*C78*(1000+C79)+46.41)/C78,"/")</f>
        <v>/</v>
      </c>
      <c r="L85" s="508" t="s">
        <v>878</v>
      </c>
    </row>
    <row r="86" spans="1:12" s="78" customFormat="1" x14ac:dyDescent="0.2">
      <c r="A86" s="81"/>
      <c r="B86" s="545" t="s">
        <v>921</v>
      </c>
      <c r="C86" s="546" t="str">
        <f>IFERROR(0.0245*POWER(IF((C88+C89+C90)&lt;25%*C87,C78*(1000+C79),(C87-37.5%*C87+50%)*C78*(1000+C79)),0.5828)/C78,"/")</f>
        <v>/</v>
      </c>
      <c r="D86" s="508" t="s">
        <v>878</v>
      </c>
      <c r="E86" s="212"/>
      <c r="F86" s="545"/>
      <c r="G86" s="546"/>
      <c r="H86" s="508"/>
      <c r="J86" s="545" t="s">
        <v>921</v>
      </c>
      <c r="K86" s="546" t="str">
        <f>IFERROR((-2*POWER(10,-12)*POWER(95%*C78*(1000+C79),2)+9*POWER(10,-5)*95%*C78*(1000+C79)+52.93)/C78,"/")</f>
        <v>/</v>
      </c>
      <c r="L86" s="508" t="s">
        <v>878</v>
      </c>
    </row>
    <row r="87" spans="1:12" s="78" customFormat="1" x14ac:dyDescent="0.2">
      <c r="A87" s="81"/>
      <c r="B87" s="545" t="str">
        <f>'OSNOVNI PODATKI'!B130</f>
        <v>GRADBENO OBRTNIŠKA DELA (GO)</v>
      </c>
      <c r="C87" s="651">
        <f>'OSNOVNI PODATKI'!D130</f>
        <v>0</v>
      </c>
      <c r="D87" s="649"/>
      <c r="E87" s="654" t="e">
        <f>C87*$C$12*(1000+$C$13)</f>
        <v>#VALUE!</v>
      </c>
      <c r="F87" s="212"/>
      <c r="J87" s="653"/>
      <c r="L87" s="647"/>
    </row>
    <row r="88" spans="1:12" s="78" customFormat="1" x14ac:dyDescent="0.2">
      <c r="A88" s="81"/>
      <c r="B88" s="545" t="str">
        <f>'OSNOVNI PODATKI'!B131</f>
        <v>ELEKTRIČNE INŠTALACIJE (EI)</v>
      </c>
      <c r="C88" s="651">
        <f>'OSNOVNI PODATKI'!D131</f>
        <v>0</v>
      </c>
      <c r="D88" s="649"/>
      <c r="E88" s="654" t="e">
        <f t="shared" ref="E88:E90" si="3">C88*$C$12*(1000+$C$13)</f>
        <v>#VALUE!</v>
      </c>
      <c r="F88" s="212"/>
      <c r="J88" s="654"/>
      <c r="K88" s="654"/>
      <c r="L88" s="647"/>
    </row>
    <row r="89" spans="1:12" s="78" customFormat="1" x14ac:dyDescent="0.2">
      <c r="A89" s="81"/>
      <c r="B89" s="545" t="str">
        <f>'OSNOVNI PODATKI'!B132</f>
        <v>STROJNE INŠTALACIJE (SI)</v>
      </c>
      <c r="C89" s="651">
        <f>'OSNOVNI PODATKI'!D132</f>
        <v>0</v>
      </c>
      <c r="D89" s="649"/>
      <c r="E89" s="654" t="e">
        <f t="shared" si="3"/>
        <v>#VALUE!</v>
      </c>
      <c r="F89" s="212"/>
      <c r="J89" s="653"/>
      <c r="K89" s="646"/>
      <c r="L89" s="647"/>
    </row>
    <row r="90" spans="1:12" s="78" customFormat="1" x14ac:dyDescent="0.2">
      <c r="A90" s="81"/>
      <c r="B90" s="545" t="str">
        <f>'OSNOVNI PODATKI'!B133</f>
        <v>TEHNOLOGIJA (TH)</v>
      </c>
      <c r="C90" s="651">
        <f>'OSNOVNI PODATKI'!D133</f>
        <v>0</v>
      </c>
      <c r="D90" s="649"/>
      <c r="E90" s="654" t="e">
        <f t="shared" si="3"/>
        <v>#VALUE!</v>
      </c>
      <c r="F90" s="212"/>
      <c r="J90" s="545"/>
      <c r="K90" s="646"/>
      <c r="L90" s="647"/>
    </row>
    <row r="91" spans="1:12" s="78" customFormat="1" x14ac:dyDescent="0.2">
      <c r="A91" s="81"/>
      <c r="C91" s="86"/>
      <c r="D91" s="509"/>
      <c r="E91" s="509"/>
      <c r="F91" s="509"/>
      <c r="G91" s="509"/>
      <c r="H91" s="509"/>
      <c r="I91" s="509"/>
    </row>
    <row r="92" spans="1:12" s="78" customFormat="1" ht="14.25" x14ac:dyDescent="0.2">
      <c r="B92" s="86" t="s">
        <v>886</v>
      </c>
      <c r="C92" s="527" t="str">
        <f>IFERROR(LOOKUP(C80,B81:C86),"/")</f>
        <v>/</v>
      </c>
      <c r="D92" s="394" t="s">
        <v>877</v>
      </c>
      <c r="E92" s="509"/>
      <c r="F92" s="86" t="s">
        <v>886</v>
      </c>
      <c r="G92" s="527" t="str">
        <f>IFERROR(LOOKUP(G80,F81:G84),"/")</f>
        <v>/</v>
      </c>
      <c r="H92" s="394" t="s">
        <v>877</v>
      </c>
      <c r="I92" s="509"/>
      <c r="J92" s="86" t="s">
        <v>886</v>
      </c>
      <c r="K92" s="527" t="str">
        <f>IFERROR(LOOKUP(K80,J81:K84),"/")</f>
        <v>/</v>
      </c>
      <c r="L92" s="394" t="s">
        <v>877</v>
      </c>
    </row>
    <row r="93" spans="1:12" s="78" customFormat="1" ht="14.25" x14ac:dyDescent="0.2">
      <c r="B93" s="86" t="s">
        <v>887</v>
      </c>
      <c r="C93" s="527" t="str" cm="1">
        <f t="array" ref="C93">IFERROR(INDEX(C81:C86,MATCH(C80,B81:B86)+1),"/")</f>
        <v>/</v>
      </c>
      <c r="D93" s="394" t="s">
        <v>877</v>
      </c>
      <c r="E93" s="509"/>
      <c r="F93" s="86" t="s">
        <v>887</v>
      </c>
      <c r="G93" s="527" t="str" cm="1">
        <f t="array" ref="G93">IFERROR(INDEX(G81:G84,MATCH(G80,F81:F84)+1),"/")</f>
        <v>/</v>
      </c>
      <c r="H93" s="394" t="s">
        <v>877</v>
      </c>
      <c r="I93" s="509"/>
      <c r="J93" s="86" t="s">
        <v>887</v>
      </c>
      <c r="K93" s="527" t="str" cm="1">
        <f t="array" ref="K93">IFERROR(INDEX(K81:K84,MATCH(K80,J81:J84)+1),"/")</f>
        <v>/</v>
      </c>
      <c r="L93" s="394" t="s">
        <v>877</v>
      </c>
    </row>
    <row r="94" spans="1:12" s="78" customFormat="1" x14ac:dyDescent="0.2">
      <c r="B94" s="86" t="s">
        <v>737</v>
      </c>
      <c r="C94" s="551">
        <f>IFERROR(ROUND(C92*$C77,0),0)</f>
        <v>0</v>
      </c>
      <c r="D94" s="394" t="s">
        <v>879</v>
      </c>
      <c r="E94" s="509"/>
      <c r="F94" s="86" t="s">
        <v>737</v>
      </c>
      <c r="G94" s="551">
        <f>IFERROR(ROUND(G92*$C77,0),0)</f>
        <v>0</v>
      </c>
      <c r="H94" s="394" t="s">
        <v>879</v>
      </c>
      <c r="I94" s="509"/>
      <c r="J94" s="86" t="s">
        <v>737</v>
      </c>
      <c r="K94" s="551">
        <f>IF($C$7&gt;50000,"NI DOLOČENO",IFERROR(ROUND(K92*$C77,0),0))</f>
        <v>0</v>
      </c>
      <c r="L94" s="394" t="s">
        <v>879</v>
      </c>
    </row>
    <row r="95" spans="1:12" s="78" customFormat="1" x14ac:dyDescent="0.2">
      <c r="B95" s="86" t="s">
        <v>738</v>
      </c>
      <c r="C95" s="551">
        <f>IFERROR(ROUND(C93*$C77,0),0)</f>
        <v>0</v>
      </c>
      <c r="D95" s="394" t="s">
        <v>879</v>
      </c>
      <c r="E95" s="509"/>
      <c r="F95" s="86" t="s">
        <v>738</v>
      </c>
      <c r="G95" s="551">
        <f>IFERROR(ROUND(G93*$C77,0),0)</f>
        <v>0</v>
      </c>
      <c r="H95" s="394" t="s">
        <v>879</v>
      </c>
      <c r="I95" s="509"/>
      <c r="J95" s="86" t="s">
        <v>738</v>
      </c>
      <c r="K95" s="551">
        <f>IF($C$7&gt;50000,"NI DOLOČENO",IFERROR(ROUND(K93*$C77,0),0))</f>
        <v>0</v>
      </c>
      <c r="L95" s="394" t="s">
        <v>879</v>
      </c>
    </row>
    <row r="96" spans="1:12" s="78" customFormat="1" x14ac:dyDescent="0.2">
      <c r="A96" s="81"/>
      <c r="C96" s="212"/>
      <c r="D96" s="212"/>
      <c r="E96" s="212"/>
    </row>
    <row r="97" spans="1:12" s="78" customFormat="1" x14ac:dyDescent="0.2">
      <c r="A97" s="81"/>
      <c r="B97" s="212" t="str">
        <f>'OSNOVNI PODATKI'!A138</f>
        <v>STAVBA 5 / DEL 5</v>
      </c>
      <c r="C97" s="553">
        <f>'OSNOVNI PODATKI'!E138</f>
        <v>0</v>
      </c>
      <c r="D97" s="212"/>
      <c r="E97" s="212"/>
    </row>
    <row r="98" spans="1:12" s="78" customFormat="1" x14ac:dyDescent="0.2">
      <c r="A98" s="81"/>
      <c r="B98" s="205" t="s">
        <v>722</v>
      </c>
      <c r="C98" s="86">
        <f>'OSNOVNI PODATKI'!E139</f>
        <v>0</v>
      </c>
      <c r="D98" s="509"/>
      <c r="E98" s="509"/>
      <c r="I98" s="509"/>
    </row>
    <row r="99" spans="1:12" s="78" customFormat="1" x14ac:dyDescent="0.2">
      <c r="A99" s="81"/>
      <c r="B99" s="205" t="s">
        <v>952</v>
      </c>
      <c r="C99" s="86">
        <f>'OSNOVNI PODATKI'!E140</f>
        <v>0</v>
      </c>
      <c r="D99" s="509"/>
      <c r="E99" s="509"/>
      <c r="F99" s="509"/>
      <c r="G99" s="509"/>
      <c r="H99" s="509"/>
      <c r="I99" s="509"/>
    </row>
    <row r="100" spans="1:12" s="78" customFormat="1" x14ac:dyDescent="0.2">
      <c r="A100" s="81"/>
      <c r="B100" s="205" t="s">
        <v>953</v>
      </c>
      <c r="C100" s="86">
        <f>IF($C$6=1,$C$7,C99)</f>
        <v>0</v>
      </c>
      <c r="D100" s="509"/>
      <c r="E100" s="509"/>
      <c r="I100" s="509"/>
    </row>
    <row r="101" spans="1:12" s="78" customFormat="1" x14ac:dyDescent="0.2">
      <c r="A101" s="81"/>
      <c r="B101" s="550" t="s">
        <v>885</v>
      </c>
      <c r="C101" s="549" t="str">
        <f>'OSNOVNI PODATKI'!E150</f>
        <v>/</v>
      </c>
      <c r="D101" s="509"/>
      <c r="E101" s="509"/>
      <c r="F101" s="550"/>
      <c r="G101" s="591"/>
      <c r="I101" s="509"/>
      <c r="J101" s="550"/>
      <c r="K101" s="591"/>
    </row>
    <row r="102" spans="1:12" s="78" customFormat="1" x14ac:dyDescent="0.2">
      <c r="A102" s="81"/>
      <c r="B102" s="205" t="s">
        <v>117</v>
      </c>
      <c r="C102" s="86" t="str">
        <f>'OSNOVNI PODATKI'!E147</f>
        <v>Cenovni razred II</v>
      </c>
      <c r="D102" s="509"/>
      <c r="E102" s="509"/>
      <c r="F102" s="205" t="s">
        <v>117</v>
      </c>
      <c r="G102" s="86" t="str">
        <f>'OSNOVNI PODATKI'!E148</f>
        <v>Cenovni razred II</v>
      </c>
      <c r="I102" s="509"/>
      <c r="J102" s="205" t="s">
        <v>117</v>
      </c>
      <c r="K102" s="86" t="str">
        <f>'OSNOVNI PODATKI'!E145</f>
        <v>Cenovni razred II</v>
      </c>
    </row>
    <row r="103" spans="1:12" s="78" customFormat="1" x14ac:dyDescent="0.2">
      <c r="A103" s="81"/>
      <c r="B103" s="542" t="s">
        <v>84</v>
      </c>
      <c r="C103" s="543" t="str">
        <f>IFERROR(0.0122*POWER(IF((C110+C111+C112)&lt;25%*C109,C100*(1000+C101),(C109-37.5%*C109+50%)*C100*(1000+C101)),0.5823)/C100,"/")</f>
        <v>/</v>
      </c>
      <c r="D103" s="544" t="s">
        <v>878</v>
      </c>
      <c r="E103" s="212"/>
      <c r="F103" s="542" t="s">
        <v>84</v>
      </c>
      <c r="G103" s="543" t="str">
        <f>IFERROR(POWER(C109*C100*(1000+C101),0.6571)*0.0061/C100,"/")</f>
        <v>/</v>
      </c>
      <c r="H103" s="544" t="s">
        <v>878</v>
      </c>
      <c r="J103" s="542" t="s">
        <v>84</v>
      </c>
      <c r="K103" s="543" t="str">
        <f>IFERROR((-6*POWER(10,-13)*POWER(95%*C100*(1000+C101),2)+4*POWER(10,-5)*95%*C100*(1000+C101)+21.161)/C100,"/")</f>
        <v>/</v>
      </c>
      <c r="L103" s="544" t="s">
        <v>878</v>
      </c>
    </row>
    <row r="104" spans="1:12" s="78" customFormat="1" x14ac:dyDescent="0.2">
      <c r="A104" s="81"/>
      <c r="B104" s="545" t="s">
        <v>85</v>
      </c>
      <c r="C104" s="546" t="str">
        <f>IFERROR(0.0138*POWER(IF((C110+C111+C112)&lt;25%*C109,C100*(1000+C101),(C109-37.5%*C109+50%)*C100*(1000+C101)),0.5835)/C100,"/")</f>
        <v>/</v>
      </c>
      <c r="D104" s="508" t="s">
        <v>878</v>
      </c>
      <c r="E104" s="212"/>
      <c r="F104" s="545" t="s">
        <v>85</v>
      </c>
      <c r="G104" s="546" t="str">
        <f>IFERROR(POWER(C109*C100*(1000+C101),0.6566)*0.0071/C100,"/")</f>
        <v>/</v>
      </c>
      <c r="H104" s="508" t="s">
        <v>878</v>
      </c>
      <c r="J104" s="545" t="s">
        <v>85</v>
      </c>
      <c r="K104" s="546" t="str">
        <f>IFERROR((-8*POWER(10,-13)*POWER(95%*C100*(1000+C101),2)+5*POWER(10,-5)*95%*C100*(1000+C101)+27.291)/C100,"/")</f>
        <v>/</v>
      </c>
      <c r="L104" s="508" t="s">
        <v>878</v>
      </c>
    </row>
    <row r="105" spans="1:12" s="78" customFormat="1" x14ac:dyDescent="0.2">
      <c r="A105" s="81"/>
      <c r="B105" s="545" t="s">
        <v>86</v>
      </c>
      <c r="C105" s="546" t="str">
        <f>IFERROR(0.0168*POWER(IF((C110+C111+C112)&lt;25%*C109,C100*(1000+C101),(C109-37.5%*C109+50%)*C100*(1000+C101)),0.5814)/C100,"/")</f>
        <v>/</v>
      </c>
      <c r="D105" s="508" t="s">
        <v>878</v>
      </c>
      <c r="E105" s="212"/>
      <c r="F105" s="545" t="s">
        <v>86</v>
      </c>
      <c r="G105" s="546" t="str">
        <f>IFERROR(POWER(C109*C100*(1000+C101),0.6558)*0.0082/C100,"/")</f>
        <v>/</v>
      </c>
      <c r="H105" s="508" t="s">
        <v>878</v>
      </c>
      <c r="J105" s="545" t="s">
        <v>86</v>
      </c>
      <c r="K105" s="546" t="str">
        <f>IFERROR((-1*POWER(10,-12)*POWER(95%*C100*(1000+C101),2)+6*POWER(10,-5)*95%*C100*(1000+C101)+33.622)/C100,"/")</f>
        <v>/</v>
      </c>
      <c r="L105" s="508" t="s">
        <v>878</v>
      </c>
    </row>
    <row r="106" spans="1:12" s="78" customFormat="1" x14ac:dyDescent="0.2">
      <c r="A106" s="81"/>
      <c r="B106" s="545" t="s">
        <v>87</v>
      </c>
      <c r="C106" s="546" t="str">
        <f>IFERROR(0.0201*POWER(IF((C110+C111+C112)&lt;25%*C109,C100*(1000+C101),(C109-37.5%*C109+50%)*C100*(1000+C101)),0.5829)/C100,"/")</f>
        <v>/</v>
      </c>
      <c r="D106" s="508" t="s">
        <v>878</v>
      </c>
      <c r="E106" s="212"/>
      <c r="F106" s="545" t="s">
        <v>87</v>
      </c>
      <c r="G106" s="546" t="str">
        <f>IFERROR(POWER(C109*C100*(1000+C101),0.6561)*0.0094/C100,"/")</f>
        <v>/</v>
      </c>
      <c r="H106" s="508" t="s">
        <v>878</v>
      </c>
      <c r="J106" s="545" t="s">
        <v>87</v>
      </c>
      <c r="K106" s="546" t="str">
        <f>IFERROR((-2*POWER(10,-12)*POWER(95%*C100*(1000+C101),2)+7*POWER(10,-5)*95%*C100*(1000+C101)+40.067)/C100,"/")</f>
        <v>/</v>
      </c>
      <c r="L106" s="508" t="s">
        <v>878</v>
      </c>
    </row>
    <row r="107" spans="1:12" s="78" customFormat="1" x14ac:dyDescent="0.2">
      <c r="A107" s="81"/>
      <c r="B107" s="545" t="s">
        <v>88</v>
      </c>
      <c r="C107" s="546" t="str">
        <f>IFERROR(0.0226*POWER(IF((C110+C111+C112)&lt;25%*C109,C100*(1000+C101),(C109-37.5%*C109+50%)*C100*(1000+C101)),0.5831)/C100,"/")</f>
        <v>/</v>
      </c>
      <c r="D107" s="508" t="s">
        <v>878</v>
      </c>
      <c r="E107" s="212"/>
      <c r="F107" s="545"/>
      <c r="G107" s="546"/>
      <c r="H107" s="508"/>
      <c r="J107" s="545" t="s">
        <v>88</v>
      </c>
      <c r="K107" s="546" t="str">
        <f>IFERROR((-1*POWER(10,-12)*POWER(95%*C100*(1000+C101),2)+8*POWER(10,-5)*95%*C100*(1000+C101)+46.41)/C100,"/")</f>
        <v>/</v>
      </c>
      <c r="L107" s="508" t="s">
        <v>878</v>
      </c>
    </row>
    <row r="108" spans="1:12" s="78" customFormat="1" x14ac:dyDescent="0.2">
      <c r="A108" s="81"/>
      <c r="B108" s="545" t="s">
        <v>921</v>
      </c>
      <c r="C108" s="546" t="str">
        <f>IFERROR(0.0245*POWER(IF((C110+C111+C112)&lt;25%*C109,C100*(1000+C101),(C109-37.5%*C109+50%)*C100*(1000+C101)),0.5828)/C100,"/")</f>
        <v>/</v>
      </c>
      <c r="D108" s="508" t="s">
        <v>878</v>
      </c>
      <c r="E108" s="212"/>
      <c r="F108" s="545"/>
      <c r="G108" s="546"/>
      <c r="H108" s="508"/>
      <c r="J108" s="545" t="s">
        <v>921</v>
      </c>
      <c r="K108" s="546" t="str">
        <f>IFERROR((-2*POWER(10,-12)*POWER(95%*C100*(1000+C101),2)+9*POWER(10,-5)*95%*C100*(1000+C101)+52.93)/C100,"/")</f>
        <v>/</v>
      </c>
      <c r="L108" s="508" t="s">
        <v>878</v>
      </c>
    </row>
    <row r="109" spans="1:12" s="78" customFormat="1" x14ac:dyDescent="0.2">
      <c r="A109" s="81"/>
      <c r="B109" s="545" t="str">
        <f>'OSNOVNI PODATKI'!B161</f>
        <v>GRADBENO OBRTNIŠKA DELA (GO)</v>
      </c>
      <c r="C109" s="651">
        <f>'OSNOVNI PODATKI'!D161</f>
        <v>0</v>
      </c>
      <c r="D109" s="649"/>
      <c r="E109" s="654" t="e">
        <f>C109*$C$12*(1000+$C$13)</f>
        <v>#VALUE!</v>
      </c>
      <c r="F109" s="212"/>
      <c r="J109" s="653"/>
      <c r="L109" s="647"/>
    </row>
    <row r="110" spans="1:12" s="78" customFormat="1" x14ac:dyDescent="0.2">
      <c r="A110" s="81"/>
      <c r="B110" s="545" t="str">
        <f>'OSNOVNI PODATKI'!B157</f>
        <v>INFORMATIVNA OCENA STROŠKOV GRADNJE</v>
      </c>
      <c r="C110" s="651">
        <f>'OSNOVNI PODATKI'!D162</f>
        <v>0</v>
      </c>
      <c r="D110" s="649"/>
      <c r="E110" s="654" t="e">
        <f t="shared" ref="E110:E112" si="4">C110*$C$12*(1000+$C$13)</f>
        <v>#VALUE!</v>
      </c>
      <c r="F110" s="212"/>
      <c r="J110" s="654"/>
      <c r="K110" s="654"/>
      <c r="L110" s="647"/>
    </row>
    <row r="111" spans="1:12" s="78" customFormat="1" x14ac:dyDescent="0.2">
      <c r="A111" s="81"/>
      <c r="B111" s="545" t="str">
        <f>'OSNOVNI PODATKI'!B158</f>
        <v>INFORMATIVNA VREDNOST STROŠKOV GRADNJE EUR/m2 BTP</v>
      </c>
      <c r="C111" s="651">
        <f>'OSNOVNI PODATKI'!D163</f>
        <v>0</v>
      </c>
      <c r="D111" s="649"/>
      <c r="E111" s="654" t="e">
        <f t="shared" si="4"/>
        <v>#VALUE!</v>
      </c>
      <c r="F111" s="212"/>
      <c r="J111" s="653"/>
      <c r="K111" s="646"/>
      <c r="L111" s="647"/>
    </row>
    <row r="112" spans="1:12" s="78" customFormat="1" x14ac:dyDescent="0.2">
      <c r="A112" s="81"/>
      <c r="B112" s="545" t="str">
        <f>'OSNOVNI PODATKI'!B159</f>
        <v>IZBRANA VREDNOST STROKOV GRADNJE EUR/m2 BEP</v>
      </c>
      <c r="C112" s="651">
        <f>'OSNOVNI PODATKI'!D164</f>
        <v>0</v>
      </c>
      <c r="D112" s="649"/>
      <c r="E112" s="654" t="e">
        <f t="shared" si="4"/>
        <v>#VALUE!</v>
      </c>
      <c r="F112" s="212"/>
      <c r="J112" s="545"/>
      <c r="K112" s="646"/>
      <c r="L112" s="647"/>
    </row>
    <row r="113" spans="1:12" s="78" customFormat="1" x14ac:dyDescent="0.2">
      <c r="A113" s="81"/>
      <c r="C113" s="86"/>
      <c r="D113" s="509"/>
      <c r="E113" s="509"/>
      <c r="F113" s="509"/>
      <c r="G113" s="509"/>
      <c r="H113" s="509"/>
      <c r="I113" s="509"/>
    </row>
    <row r="114" spans="1:12" s="78" customFormat="1" ht="14.25" x14ac:dyDescent="0.2">
      <c r="B114" s="86" t="s">
        <v>886</v>
      </c>
      <c r="C114" s="527" t="str">
        <f>IFERROR(LOOKUP(C102,B103:C108),"/")</f>
        <v>/</v>
      </c>
      <c r="D114" s="394" t="s">
        <v>877</v>
      </c>
      <c r="E114" s="509"/>
      <c r="F114" s="86" t="s">
        <v>886</v>
      </c>
      <c r="G114" s="527" t="str">
        <f>IFERROR(LOOKUP(G102,F103:G106),"/")</f>
        <v>/</v>
      </c>
      <c r="H114" s="394" t="s">
        <v>877</v>
      </c>
      <c r="I114" s="509"/>
      <c r="J114" s="86" t="s">
        <v>886</v>
      </c>
      <c r="K114" s="527" t="str">
        <f>IFERROR(LOOKUP(K102,J103:K106),"/")</f>
        <v>/</v>
      </c>
      <c r="L114" s="394" t="s">
        <v>877</v>
      </c>
    </row>
    <row r="115" spans="1:12" s="78" customFormat="1" ht="14.25" x14ac:dyDescent="0.2">
      <c r="B115" s="86" t="s">
        <v>887</v>
      </c>
      <c r="C115" s="527" t="str" cm="1">
        <f t="array" ref="C115">IFERROR(INDEX(C103:C108,MATCH(C102,B103:B108)+1),"/")</f>
        <v>/</v>
      </c>
      <c r="D115" s="394" t="s">
        <v>877</v>
      </c>
      <c r="E115" s="509"/>
      <c r="F115" s="86" t="s">
        <v>887</v>
      </c>
      <c r="G115" s="527" t="str" cm="1">
        <f t="array" ref="G115">IFERROR(INDEX(G103:G106,MATCH(G102,F103:F106)+1),"/")</f>
        <v>/</v>
      </c>
      <c r="H115" s="394" t="s">
        <v>877</v>
      </c>
      <c r="I115" s="509"/>
      <c r="J115" s="86" t="s">
        <v>887</v>
      </c>
      <c r="K115" s="527" t="str" cm="1">
        <f t="array" ref="K115">IFERROR(INDEX(K103:K106,MATCH(K102,J103:J106)+1),"/")</f>
        <v>/</v>
      </c>
      <c r="L115" s="394" t="s">
        <v>877</v>
      </c>
    </row>
    <row r="116" spans="1:12" s="78" customFormat="1" x14ac:dyDescent="0.2">
      <c r="B116" s="86" t="s">
        <v>737</v>
      </c>
      <c r="C116" s="551">
        <f>IFERROR(ROUND(C114*$C99,0),0)</f>
        <v>0</v>
      </c>
      <c r="D116" s="394" t="s">
        <v>879</v>
      </c>
      <c r="E116" s="509"/>
      <c r="F116" s="86" t="s">
        <v>737</v>
      </c>
      <c r="G116" s="551">
        <f>IFERROR(ROUND(G114*$C99,0),0)</f>
        <v>0</v>
      </c>
      <c r="H116" s="394" t="s">
        <v>879</v>
      </c>
      <c r="I116" s="509"/>
      <c r="J116" s="86" t="s">
        <v>737</v>
      </c>
      <c r="K116" s="551">
        <f>IF($C$7&gt;50000,"NI DOLOČENO",IFERROR(ROUND(K114*$C99,0),0))</f>
        <v>0</v>
      </c>
      <c r="L116" s="394" t="s">
        <v>879</v>
      </c>
    </row>
    <row r="117" spans="1:12" s="78" customFormat="1" x14ac:dyDescent="0.2">
      <c r="B117" s="86" t="s">
        <v>738</v>
      </c>
      <c r="C117" s="551">
        <f>IFERROR(ROUND(C115*$C99,0),0)</f>
        <v>0</v>
      </c>
      <c r="D117" s="394" t="s">
        <v>879</v>
      </c>
      <c r="E117" s="509"/>
      <c r="F117" s="86" t="s">
        <v>738</v>
      </c>
      <c r="G117" s="551">
        <f>IFERROR(ROUND(G115*$C99,0),0)</f>
        <v>0</v>
      </c>
      <c r="H117" s="394" t="s">
        <v>879</v>
      </c>
      <c r="I117" s="509"/>
      <c r="J117" s="86" t="s">
        <v>738</v>
      </c>
      <c r="K117" s="551">
        <f>IF($C$7&gt;50000,"NI DOLOČENO",IFERROR(ROUND(K115*$C99,0),0))</f>
        <v>0</v>
      </c>
      <c r="L117" s="394" t="s">
        <v>879</v>
      </c>
    </row>
    <row r="118" spans="1:12" s="78" customFormat="1" x14ac:dyDescent="0.2">
      <c r="A118" s="81"/>
      <c r="C118" s="212"/>
      <c r="D118" s="212"/>
      <c r="E118" s="212"/>
      <c r="F118" s="212"/>
    </row>
    <row r="120" spans="1:12" ht="14.25" x14ac:dyDescent="0.2">
      <c r="C120" s="11"/>
    </row>
    <row r="121" spans="1:12" ht="14.25" x14ac:dyDescent="0.2">
      <c r="C121" s="11"/>
    </row>
    <row r="122" spans="1:12" ht="14.25" x14ac:dyDescent="0.2">
      <c r="C122" s="11"/>
    </row>
    <row r="123" spans="1:12" ht="14.25" x14ac:dyDescent="0.2">
      <c r="B123" s="11"/>
    </row>
    <row r="125" spans="1:12" s="13" customFormat="1" ht="15" thickBot="1" x14ac:dyDescent="0.25">
      <c r="A125" s="76"/>
      <c r="B125" s="76"/>
      <c r="C125" s="76"/>
      <c r="D125" s="76"/>
      <c r="E125" s="76"/>
      <c r="F125" s="76"/>
      <c r="G125" s="76"/>
    </row>
    <row r="126" spans="1:12" s="13" customFormat="1" ht="18.75" x14ac:dyDescent="0.2">
      <c r="A126" s="831" t="s">
        <v>478</v>
      </c>
      <c r="B126" s="831"/>
      <c r="C126" s="831"/>
      <c r="D126" s="831"/>
      <c r="E126" s="831"/>
      <c r="F126" s="831"/>
      <c r="G126" s="831"/>
      <c r="H126" s="831"/>
    </row>
    <row r="127" spans="1:12" s="78" customFormat="1" x14ac:dyDescent="0.2">
      <c r="A127" s="212"/>
      <c r="B127" s="212"/>
      <c r="C127" s="752"/>
      <c r="D127" s="752"/>
      <c r="E127" s="752"/>
      <c r="F127" s="640"/>
      <c r="G127" s="752"/>
      <c r="H127" s="752"/>
    </row>
    <row r="128" spans="1:12" s="78" customFormat="1" x14ac:dyDescent="0.2">
      <c r="A128" s="212"/>
      <c r="B128" s="86" t="s">
        <v>875</v>
      </c>
      <c r="C128" s="212"/>
      <c r="D128" s="212"/>
      <c r="E128" s="212"/>
      <c r="F128" s="507">
        <f>'OSNOVNI PODATKI'!G387</f>
        <v>0</v>
      </c>
      <c r="G128" s="212"/>
      <c r="H128" s="212"/>
    </row>
    <row r="129" spans="1:9" s="78" customFormat="1" x14ac:dyDescent="0.2">
      <c r="A129" s="212"/>
      <c r="B129" s="86" t="s">
        <v>876</v>
      </c>
      <c r="C129" s="210"/>
      <c r="D129" s="85"/>
      <c r="E129" s="85"/>
      <c r="F129" s="493">
        <f>'ARHIGRAM 6'!I16</f>
        <v>46</v>
      </c>
      <c r="G129" s="210"/>
      <c r="H129" s="210"/>
    </row>
    <row r="130" spans="1:9" s="2" customFormat="1" x14ac:dyDescent="0.2">
      <c r="A130" s="78"/>
      <c r="B130" s="212"/>
      <c r="C130" s="212"/>
      <c r="D130" s="212"/>
      <c r="E130" s="212"/>
      <c r="F130" s="212"/>
      <c r="G130" s="212"/>
    </row>
    <row r="131" spans="1:9" s="78" customFormat="1" x14ac:dyDescent="0.2">
      <c r="B131" s="86" t="str">
        <f>'OSNOVNI PODATKI'!B394</f>
        <v>PRIBITEK ZA PRENOVO</v>
      </c>
      <c r="C131" s="210"/>
      <c r="D131" s="85"/>
      <c r="E131" s="85"/>
      <c r="F131" s="314">
        <f>'OSNOVNI PODATKI'!F394</f>
        <v>0</v>
      </c>
      <c r="G131" s="210"/>
      <c r="H131" s="210"/>
    </row>
    <row r="132" spans="1:9" s="78" customFormat="1" x14ac:dyDescent="0.2">
      <c r="B132" s="316"/>
      <c r="C132" s="316"/>
      <c r="D132" s="316"/>
      <c r="E132" s="316"/>
      <c r="F132" s="314"/>
      <c r="G132" s="210"/>
      <c r="H132" s="210"/>
    </row>
    <row r="133" spans="1:9" s="78" customFormat="1" x14ac:dyDescent="0.2">
      <c r="B133" s="316"/>
      <c r="C133" s="316"/>
      <c r="D133" s="316"/>
      <c r="E133" s="316"/>
      <c r="F133" s="631"/>
    </row>
    <row r="134" spans="1:9" s="13" customFormat="1" ht="14.25" x14ac:dyDescent="0.2">
      <c r="A134" s="214"/>
      <c r="B134" s="214"/>
      <c r="C134" s="214"/>
      <c r="D134" s="214"/>
      <c r="E134" s="214"/>
      <c r="F134" s="214"/>
      <c r="G134" s="214"/>
      <c r="H134" s="214"/>
    </row>
    <row r="135" spans="1:9" s="13" customFormat="1" ht="38.25" x14ac:dyDescent="0.2">
      <c r="A135" s="107"/>
      <c r="B135" s="108"/>
      <c r="C135" s="108"/>
      <c r="D135" s="108"/>
      <c r="E135" s="109" t="s">
        <v>25</v>
      </c>
      <c r="F135" s="303" t="s">
        <v>484</v>
      </c>
      <c r="G135" s="620" t="s">
        <v>57</v>
      </c>
      <c r="H135" s="110" t="s">
        <v>70</v>
      </c>
      <c r="I135" s="421" t="s">
        <v>915</v>
      </c>
    </row>
    <row r="136" spans="1:9" s="13" customFormat="1" ht="14.25" x14ac:dyDescent="0.2">
      <c r="A136" s="103" t="s">
        <v>29</v>
      </c>
      <c r="B136" s="104" t="s">
        <v>30</v>
      </c>
      <c r="C136" s="104"/>
      <c r="D136" s="104"/>
      <c r="E136" s="105"/>
      <c r="F136" s="105"/>
      <c r="G136" s="627"/>
      <c r="H136" s="106"/>
    </row>
    <row r="137" spans="1:9" s="13" customFormat="1" ht="14.25" x14ac:dyDescent="0.2">
      <c r="A137" s="87" t="s">
        <v>31</v>
      </c>
      <c r="B137" s="99" t="s">
        <v>65</v>
      </c>
      <c r="C137" s="99"/>
      <c r="D137" s="99"/>
      <c r="E137" s="88"/>
      <c r="F137" s="88"/>
      <c r="G137" s="628"/>
      <c r="H137" s="89" t="str">
        <f>IF(J144=TRUE,G137*'VREDNOST NU'!#REF!,"")</f>
        <v/>
      </c>
    </row>
    <row r="138" spans="1:9" ht="14.25" x14ac:dyDescent="0.2">
      <c r="A138" s="112" t="s">
        <v>32</v>
      </c>
      <c r="B138" s="113" t="s">
        <v>66</v>
      </c>
      <c r="C138" s="113"/>
      <c r="D138" s="113"/>
      <c r="E138" s="114"/>
      <c r="F138" s="114"/>
      <c r="G138" s="629"/>
      <c r="H138" s="93" t="str">
        <f>IF(J145=TRUE,G138*'VREDNOST NU'!#REF!,"")</f>
        <v/>
      </c>
      <c r="I138" s="13"/>
    </row>
    <row r="139" spans="1:9" x14ac:dyDescent="0.2">
      <c r="A139" s="111" t="s">
        <v>33</v>
      </c>
      <c r="B139" s="104" t="s">
        <v>34</v>
      </c>
      <c r="C139" s="104"/>
      <c r="D139" s="104"/>
      <c r="E139" s="105">
        <f>SUM(E140:E142)</f>
        <v>0.03</v>
      </c>
      <c r="F139" s="105">
        <f>SUM(F140:F142)</f>
        <v>0.03</v>
      </c>
      <c r="G139" s="627">
        <f>SUM(G140:G142)</f>
        <v>0</v>
      </c>
      <c r="H139" s="106">
        <f>SUM(H140:H142)</f>
        <v>0</v>
      </c>
      <c r="I139" s="127" t="e">
        <f>H139/'OSNOVNI PODATKI'!$E$329</f>
        <v>#DIV/0!</v>
      </c>
    </row>
    <row r="140" spans="1:9" s="78" customFormat="1" ht="14.25" x14ac:dyDescent="0.2">
      <c r="A140" s="90" t="s">
        <v>35</v>
      </c>
      <c r="B140" s="98" t="s">
        <v>67</v>
      </c>
      <c r="C140" s="98"/>
      <c r="D140" s="98"/>
      <c r="E140" s="88">
        <v>1.4999999999999999E-2</v>
      </c>
      <c r="F140" s="304">
        <f>E140*(100%+$F$131)</f>
        <v>1.4999999999999999E-2</v>
      </c>
      <c r="G140" s="628">
        <f>F140*$F$128</f>
        <v>0</v>
      </c>
      <c r="H140" s="89">
        <f>+G140*$F$129</f>
        <v>0</v>
      </c>
      <c r="I140" s="13"/>
    </row>
    <row r="141" spans="1:9" s="2" customFormat="1" ht="14.25" x14ac:dyDescent="0.2">
      <c r="A141" s="90" t="s">
        <v>36</v>
      </c>
      <c r="B141" s="98" t="s">
        <v>68</v>
      </c>
      <c r="C141" s="98"/>
      <c r="D141" s="98"/>
      <c r="E141" s="88">
        <v>1.4999999999999999E-2</v>
      </c>
      <c r="F141" s="88">
        <f>E141*(100%+$F$131)</f>
        <v>1.4999999999999999E-2</v>
      </c>
      <c r="G141" s="628">
        <f t="shared" ref="G141" si="5">F141*$F$128</f>
        <v>0</v>
      </c>
      <c r="H141" s="89">
        <f t="shared" ref="H141" si="6">+G141*$F$129</f>
        <v>0</v>
      </c>
      <c r="I141" s="13"/>
    </row>
    <row r="142" spans="1:9" s="12" customFormat="1" ht="14.25" x14ac:dyDescent="0.25">
      <c r="A142" s="116" t="s">
        <v>37</v>
      </c>
      <c r="B142" s="117" t="s">
        <v>844</v>
      </c>
      <c r="C142" s="117"/>
      <c r="D142" s="117"/>
      <c r="E142" s="114"/>
      <c r="F142" s="114"/>
      <c r="G142" s="629"/>
      <c r="H142" s="93"/>
      <c r="I142" s="13"/>
    </row>
    <row r="143" spans="1:9" s="13" customFormat="1" ht="14.25" x14ac:dyDescent="0.2">
      <c r="A143" s="115">
        <v>2</v>
      </c>
      <c r="B143" s="104" t="s">
        <v>38</v>
      </c>
      <c r="C143" s="104"/>
      <c r="D143" s="104"/>
      <c r="E143" s="105">
        <f>+E144+E145+E146+E147+E148</f>
        <v>0.92000000000000015</v>
      </c>
      <c r="F143" s="105">
        <f>+F144+F145+F146+F147+F148</f>
        <v>0.92000000000000015</v>
      </c>
      <c r="G143" s="630">
        <f>SUM(G144:G148)</f>
        <v>0</v>
      </c>
      <c r="H143" s="106">
        <f>SUM(H144:H148)</f>
        <v>0</v>
      </c>
      <c r="I143" s="127" t="e">
        <f>H143/'OSNOVNI PODATKI'!$E$329</f>
        <v>#DIV/0!</v>
      </c>
    </row>
    <row r="144" spans="1:9" s="13" customFormat="1" ht="14.25" x14ac:dyDescent="0.2">
      <c r="A144" s="90" t="s">
        <v>51</v>
      </c>
      <c r="B144" s="98" t="s">
        <v>95</v>
      </c>
      <c r="C144" s="98"/>
      <c r="D144" s="98"/>
      <c r="E144" s="101">
        <v>0.2</v>
      </c>
      <c r="F144" s="304">
        <f>E144*(100%+$F$131)</f>
        <v>0.2</v>
      </c>
      <c r="G144" s="628">
        <f t="shared" ref="G144:G147" si="7">F144*$F$128</f>
        <v>0</v>
      </c>
      <c r="H144" s="89">
        <f t="shared" ref="H144:H147" si="8">+G144*$F$129</f>
        <v>0</v>
      </c>
    </row>
    <row r="145" spans="1:9" s="13" customFormat="1" ht="14.25" x14ac:dyDescent="0.2">
      <c r="A145" s="91" t="s">
        <v>52</v>
      </c>
      <c r="B145" s="102" t="s">
        <v>744</v>
      </c>
      <c r="C145" s="102"/>
      <c r="D145" s="102"/>
      <c r="E145" s="101">
        <v>0.4</v>
      </c>
      <c r="F145" s="101">
        <f>E145*(100%+$F$131)</f>
        <v>0.4</v>
      </c>
      <c r="G145" s="628">
        <f t="shared" si="7"/>
        <v>0</v>
      </c>
      <c r="H145" s="89">
        <f t="shared" si="8"/>
        <v>0</v>
      </c>
    </row>
    <row r="146" spans="1:9" s="13" customFormat="1" ht="14.25" x14ac:dyDescent="0.2">
      <c r="A146" s="91" t="s">
        <v>53</v>
      </c>
      <c r="B146" s="102" t="s">
        <v>848</v>
      </c>
      <c r="C146" s="102"/>
      <c r="D146" s="102"/>
      <c r="E146" s="101"/>
      <c r="F146" s="101"/>
      <c r="G146" s="628"/>
      <c r="H146" s="89"/>
    </row>
    <row r="147" spans="1:9" s="13" customFormat="1" ht="14.25" x14ac:dyDescent="0.2">
      <c r="A147" s="91" t="s">
        <v>96</v>
      </c>
      <c r="B147" s="102" t="s">
        <v>745</v>
      </c>
      <c r="C147" s="102"/>
      <c r="D147" s="102"/>
      <c r="E147" s="101">
        <v>0.32</v>
      </c>
      <c r="F147" s="101">
        <f>E147*(100%+$F$131)</f>
        <v>0.32</v>
      </c>
      <c r="G147" s="628">
        <f t="shared" si="7"/>
        <v>0</v>
      </c>
      <c r="H147" s="89">
        <f t="shared" si="8"/>
        <v>0</v>
      </c>
    </row>
    <row r="148" spans="1:9" s="13" customFormat="1" ht="14.25" x14ac:dyDescent="0.2">
      <c r="A148" s="119" t="s">
        <v>97</v>
      </c>
      <c r="B148" s="120" t="s">
        <v>845</v>
      </c>
      <c r="C148" s="120"/>
      <c r="D148" s="120"/>
      <c r="E148" s="121"/>
      <c r="F148" s="121"/>
      <c r="G148" s="629"/>
      <c r="H148" s="93"/>
    </row>
    <row r="149" spans="1:9" s="13" customFormat="1" ht="14.25" x14ac:dyDescent="0.2">
      <c r="A149" s="118" t="s">
        <v>39</v>
      </c>
      <c r="B149" s="104" t="s">
        <v>122</v>
      </c>
      <c r="C149" s="104"/>
      <c r="D149" s="104"/>
      <c r="E149" s="105">
        <f>SUM(E150:E151)</f>
        <v>0</v>
      </c>
      <c r="F149" s="105">
        <f>SUM(F150:F151)</f>
        <v>0</v>
      </c>
      <c r="G149" s="627">
        <f>SUM(G150:G151)</f>
        <v>0</v>
      </c>
      <c r="H149" s="106">
        <f>SUM(H150:H151)</f>
        <v>0</v>
      </c>
      <c r="I149" s="127" t="e">
        <f>H149/'OSNOVNI PODATKI'!$E$329</f>
        <v>#DIV/0!</v>
      </c>
    </row>
    <row r="150" spans="1:9" s="13" customFormat="1" ht="14.25" x14ac:dyDescent="0.2">
      <c r="A150" s="91" t="s">
        <v>40</v>
      </c>
      <c r="B150" s="97" t="s">
        <v>846</v>
      </c>
      <c r="C150" s="97"/>
      <c r="D150" s="97"/>
      <c r="E150" s="88"/>
      <c r="F150" s="88"/>
      <c r="G150" s="628"/>
      <c r="H150" s="89"/>
    </row>
    <row r="151" spans="1:9" s="13" customFormat="1" ht="14.25" x14ac:dyDescent="0.2">
      <c r="A151" s="119" t="s">
        <v>41</v>
      </c>
      <c r="B151" s="92" t="s">
        <v>202</v>
      </c>
      <c r="C151" s="92"/>
      <c r="D151" s="92"/>
      <c r="E151" s="114"/>
      <c r="F151" s="114"/>
      <c r="G151" s="629"/>
      <c r="H151" s="93"/>
    </row>
    <row r="152" spans="1:9" s="13" customFormat="1" ht="14.25" x14ac:dyDescent="0.2">
      <c r="A152" s="122">
        <v>4</v>
      </c>
      <c r="B152" s="104" t="s">
        <v>60</v>
      </c>
      <c r="C152" s="104"/>
      <c r="D152" s="104"/>
      <c r="E152" s="105">
        <f>SUM(E153:E157)</f>
        <v>0.05</v>
      </c>
      <c r="F152" s="105">
        <f>SUM(F153:F157)</f>
        <v>0.05</v>
      </c>
      <c r="G152" s="627">
        <f>SUM(G153:G157)</f>
        <v>0</v>
      </c>
      <c r="H152" s="106">
        <f>SUM(H153:H157)</f>
        <v>0</v>
      </c>
      <c r="I152" s="127" t="e">
        <f>H152/'OSNOVNI PODATKI'!$E$329</f>
        <v>#DIV/0!</v>
      </c>
    </row>
    <row r="153" spans="1:9" s="13" customFormat="1" ht="14.25" x14ac:dyDescent="0.2">
      <c r="A153" s="91" t="s">
        <v>42</v>
      </c>
      <c r="B153" s="97" t="s">
        <v>203</v>
      </c>
      <c r="C153" s="97"/>
      <c r="D153" s="97"/>
      <c r="E153" s="88"/>
      <c r="F153" s="88"/>
      <c r="G153" s="628"/>
      <c r="H153" s="89"/>
    </row>
    <row r="154" spans="1:9" s="13" customFormat="1" ht="14.25" x14ac:dyDescent="0.2">
      <c r="A154" s="91" t="s">
        <v>43</v>
      </c>
      <c r="B154" s="97" t="s">
        <v>865</v>
      </c>
      <c r="C154" s="97"/>
      <c r="D154" s="97"/>
      <c r="E154" s="88"/>
      <c r="F154" s="88"/>
      <c r="G154" s="628"/>
      <c r="H154" s="89"/>
    </row>
    <row r="155" spans="1:9" s="13" customFormat="1" ht="14.25" x14ac:dyDescent="0.2">
      <c r="A155" s="91" t="s">
        <v>44</v>
      </c>
      <c r="B155" s="97" t="s">
        <v>963</v>
      </c>
      <c r="C155" s="97"/>
      <c r="D155" s="97"/>
      <c r="E155" s="88"/>
      <c r="F155" s="88"/>
      <c r="G155" s="628"/>
      <c r="H155" s="89"/>
    </row>
    <row r="156" spans="1:9" s="13" customFormat="1" ht="14.25" x14ac:dyDescent="0.2">
      <c r="A156" s="91" t="s">
        <v>45</v>
      </c>
      <c r="B156" s="97" t="s">
        <v>866</v>
      </c>
      <c r="C156" s="97"/>
      <c r="D156" s="97"/>
      <c r="E156" s="88"/>
      <c r="F156" s="88"/>
      <c r="G156" s="628"/>
      <c r="H156" s="89"/>
    </row>
    <row r="157" spans="1:9" s="13" customFormat="1" ht="14.25" x14ac:dyDescent="0.2">
      <c r="A157" s="119" t="s">
        <v>46</v>
      </c>
      <c r="B157" s="92" t="s">
        <v>847</v>
      </c>
      <c r="C157" s="92"/>
      <c r="D157" s="92"/>
      <c r="E157" s="114">
        <v>0.05</v>
      </c>
      <c r="F157" s="114">
        <f>E157*(100%+$F$131)</f>
        <v>0.05</v>
      </c>
      <c r="G157" s="629">
        <f t="shared" ref="G157" si="9">F157*$F$128</f>
        <v>0</v>
      </c>
      <c r="H157" s="93">
        <f t="shared" ref="H157" si="10">+G157*$F$129</f>
        <v>0</v>
      </c>
    </row>
    <row r="158" spans="1:9" s="13" customFormat="1" ht="14.25" x14ac:dyDescent="0.2">
      <c r="A158" s="123">
        <v>5</v>
      </c>
      <c r="B158" s="104" t="s">
        <v>47</v>
      </c>
      <c r="C158" s="104"/>
      <c r="D158" s="104"/>
      <c r="E158" s="105">
        <f>SUM(E159:E160)</f>
        <v>0</v>
      </c>
      <c r="F158" s="105">
        <f>SUM(F159:F160)</f>
        <v>0</v>
      </c>
      <c r="G158" s="627">
        <f>SUM(G159:G160)</f>
        <v>0</v>
      </c>
      <c r="H158" s="106">
        <f>SUM(H159:H160)</f>
        <v>0</v>
      </c>
      <c r="I158" s="127" t="e">
        <f>H158/'OSNOVNI PODATKI'!$E$329</f>
        <v>#DIV/0!</v>
      </c>
    </row>
    <row r="159" spans="1:9" s="13" customFormat="1" ht="14.25" x14ac:dyDescent="0.2">
      <c r="A159" s="91" t="s">
        <v>48</v>
      </c>
      <c r="B159" s="100" t="s">
        <v>205</v>
      </c>
      <c r="C159" s="100"/>
      <c r="D159" s="100"/>
      <c r="E159" s="88"/>
      <c r="F159" s="88"/>
      <c r="G159" s="628"/>
      <c r="H159" s="89"/>
    </row>
    <row r="160" spans="1:9" s="13" customFormat="1" ht="14.25" x14ac:dyDescent="0.2">
      <c r="A160" s="119" t="s">
        <v>49</v>
      </c>
      <c r="B160" s="125" t="s">
        <v>206</v>
      </c>
      <c r="C160" s="125"/>
      <c r="D160" s="125"/>
      <c r="E160" s="114"/>
      <c r="F160" s="114"/>
      <c r="G160" s="629"/>
      <c r="H160" s="93"/>
    </row>
    <row r="161" spans="1:9" s="13" customFormat="1" ht="14.25" x14ac:dyDescent="0.2">
      <c r="A161" s="124">
        <v>6</v>
      </c>
      <c r="B161" s="104" t="s">
        <v>50</v>
      </c>
      <c r="C161" s="104"/>
      <c r="D161" s="104"/>
      <c r="E161" s="105"/>
      <c r="F161" s="105"/>
      <c r="G161" s="627"/>
      <c r="H161" s="106"/>
    </row>
    <row r="162" spans="1:9" s="13" customFormat="1" ht="14.25" x14ac:dyDescent="0.2">
      <c r="A162" s="91" t="s">
        <v>54</v>
      </c>
      <c r="B162" s="100" t="s">
        <v>207</v>
      </c>
      <c r="C162" s="100"/>
      <c r="D162" s="100"/>
      <c r="E162" s="88"/>
      <c r="F162" s="88"/>
      <c r="G162" s="628"/>
      <c r="H162" s="89"/>
    </row>
    <row r="163" spans="1:9" s="13" customFormat="1" ht="14.25" x14ac:dyDescent="0.2">
      <c r="A163" s="91" t="s">
        <v>55</v>
      </c>
      <c r="B163" s="100" t="s">
        <v>208</v>
      </c>
      <c r="C163" s="100"/>
      <c r="D163" s="100"/>
      <c r="E163" s="88"/>
      <c r="F163" s="88"/>
      <c r="G163" s="628"/>
      <c r="H163" s="89"/>
    </row>
    <row r="164" spans="1:9" s="13" customFormat="1" ht="14.25" x14ac:dyDescent="0.2">
      <c r="A164" s="119" t="s">
        <v>56</v>
      </c>
      <c r="B164" s="125" t="s">
        <v>209</v>
      </c>
      <c r="C164" s="125"/>
      <c r="D164" s="125"/>
      <c r="E164" s="114"/>
      <c r="F164" s="114"/>
      <c r="G164" s="629"/>
      <c r="H164" s="93"/>
    </row>
    <row r="165" spans="1:9" s="13" customFormat="1" ht="14.25" x14ac:dyDescent="0.2">
      <c r="A165" s="94"/>
      <c r="B165" s="95"/>
      <c r="C165" s="95"/>
      <c r="D165" s="95"/>
      <c r="E165" s="96"/>
      <c r="F165" s="96"/>
      <c r="G165" s="624"/>
      <c r="H165" s="95"/>
    </row>
    <row r="166" spans="1:9" s="13" customFormat="1" ht="14.25" x14ac:dyDescent="0.2">
      <c r="A166" s="128"/>
      <c r="B166" s="129" t="s">
        <v>1</v>
      </c>
      <c r="C166" s="129"/>
      <c r="D166" s="129"/>
      <c r="E166" s="130">
        <f>E136+E139+E143+E149+E152+E158+E161</f>
        <v>1.0000000000000002</v>
      </c>
      <c r="F166" s="130">
        <f>F136+F139+F143+F149+F152+F158+F161</f>
        <v>1.0000000000000002</v>
      </c>
      <c r="G166" s="625">
        <f>G136+G139+G143+G149+G152+G158+G161</f>
        <v>0</v>
      </c>
      <c r="H166" s="618">
        <f>H136+H139+H143+H149+H152+H158+H161</f>
        <v>0</v>
      </c>
      <c r="I166" s="127" t="e">
        <f>H166/'OSNOVNI PODATKI'!$E$329</f>
        <v>#DIV/0!</v>
      </c>
    </row>
    <row r="167" spans="1:9" s="13" customFormat="1" ht="14.25" x14ac:dyDescent="0.2">
      <c r="A167" s="29"/>
      <c r="B167" s="126"/>
      <c r="E167" s="30"/>
      <c r="G167" s="30"/>
      <c r="H167" s="127"/>
    </row>
    <row r="168" spans="1:9" s="13" customFormat="1" ht="14.25" x14ac:dyDescent="0.2">
      <c r="A168" s="29"/>
      <c r="B168" s="126"/>
      <c r="E168" s="30"/>
      <c r="G168" s="30"/>
      <c r="H168" s="127"/>
    </row>
    <row r="169" spans="1:9" s="13" customFormat="1" ht="14.25" x14ac:dyDescent="0.2"/>
    <row r="170" spans="1:9" s="13" customFormat="1" ht="14.25" x14ac:dyDescent="0.2"/>
    <row r="171" spans="1:9" s="13" customFormat="1" ht="15" thickBot="1" x14ac:dyDescent="0.25"/>
    <row r="172" spans="1:9" s="13" customFormat="1" ht="18.75" x14ac:dyDescent="0.2">
      <c r="A172" s="831" t="s">
        <v>479</v>
      </c>
      <c r="B172" s="831"/>
      <c r="C172" s="831"/>
      <c r="D172" s="831"/>
      <c r="E172" s="831"/>
      <c r="F172" s="831"/>
      <c r="G172" s="831"/>
      <c r="H172" s="831"/>
    </row>
    <row r="173" spans="1:9" s="78" customFormat="1" x14ac:dyDescent="0.2">
      <c r="A173" s="212"/>
      <c r="B173" s="212"/>
      <c r="C173" s="752"/>
      <c r="D173" s="752"/>
      <c r="E173" s="752"/>
      <c r="F173" s="640"/>
      <c r="G173" s="752"/>
      <c r="H173" s="752"/>
    </row>
    <row r="174" spans="1:9" s="78" customFormat="1" x14ac:dyDescent="0.2">
      <c r="A174" s="212"/>
      <c r="B174" s="86" t="s">
        <v>875</v>
      </c>
      <c r="C174" s="212"/>
      <c r="D174" s="212"/>
      <c r="E174" s="212"/>
      <c r="F174" s="507">
        <f>'OSNOVNI PODATKI'!G388</f>
        <v>0</v>
      </c>
      <c r="G174" s="212"/>
      <c r="H174" s="212"/>
    </row>
    <row r="175" spans="1:9" s="78" customFormat="1" x14ac:dyDescent="0.2">
      <c r="A175" s="212"/>
      <c r="B175" s="86" t="s">
        <v>876</v>
      </c>
      <c r="C175" s="210"/>
      <c r="D175" s="85"/>
      <c r="E175" s="85"/>
      <c r="F175" s="493">
        <f>'ARHIGRAM 6'!I16</f>
        <v>46</v>
      </c>
      <c r="G175" s="210"/>
      <c r="H175" s="210"/>
    </row>
    <row r="176" spans="1:9" s="2" customFormat="1" x14ac:dyDescent="0.2">
      <c r="A176" s="78"/>
      <c r="B176" s="212"/>
      <c r="C176" s="212"/>
      <c r="D176" s="212"/>
      <c r="E176" s="212"/>
      <c r="F176" s="212"/>
      <c r="G176" s="212"/>
    </row>
    <row r="177" spans="1:9" s="78" customFormat="1" x14ac:dyDescent="0.2">
      <c r="B177" s="86" t="str">
        <f>'OSNOVNI PODATKI'!B394</f>
        <v>PRIBITEK ZA PRENOVO</v>
      </c>
      <c r="C177" s="210"/>
      <c r="D177" s="85"/>
      <c r="E177" s="85"/>
      <c r="F177" s="314">
        <f>'OSNOVNI PODATKI'!F394</f>
        <v>0</v>
      </c>
      <c r="G177" s="210"/>
      <c r="H177" s="210"/>
    </row>
    <row r="178" spans="1:9" s="78" customFormat="1" x14ac:dyDescent="0.2">
      <c r="B178" s="316"/>
      <c r="C178" s="316"/>
      <c r="D178" s="316"/>
      <c r="E178" s="316"/>
      <c r="F178" s="210"/>
      <c r="G178" s="210"/>
      <c r="H178" s="210"/>
    </row>
    <row r="179" spans="1:9" s="13" customFormat="1" ht="14.25" x14ac:dyDescent="0.2">
      <c r="A179" s="214"/>
      <c r="B179" s="214"/>
      <c r="C179" s="214"/>
      <c r="D179" s="214"/>
      <c r="E179" s="214"/>
      <c r="F179" s="214"/>
      <c r="G179" s="214"/>
      <c r="H179" s="214"/>
    </row>
    <row r="180" spans="1:9" s="13" customFormat="1" ht="38.25" x14ac:dyDescent="0.2">
      <c r="A180" s="107"/>
      <c r="B180" s="108"/>
      <c r="C180" s="108"/>
      <c r="D180" s="108"/>
      <c r="E180" s="109" t="s">
        <v>25</v>
      </c>
      <c r="F180" s="303" t="s">
        <v>484</v>
      </c>
      <c r="G180" s="620" t="s">
        <v>57</v>
      </c>
      <c r="H180" s="110" t="s">
        <v>70</v>
      </c>
      <c r="I180" s="421" t="s">
        <v>915</v>
      </c>
    </row>
    <row r="181" spans="1:9" s="13" customFormat="1" ht="14.25" x14ac:dyDescent="0.2">
      <c r="A181" s="103" t="s">
        <v>29</v>
      </c>
      <c r="B181" s="104" t="s">
        <v>30</v>
      </c>
      <c r="C181" s="104"/>
      <c r="D181" s="104"/>
      <c r="E181" s="105"/>
      <c r="F181" s="105"/>
      <c r="G181" s="627"/>
      <c r="H181" s="106"/>
    </row>
    <row r="182" spans="1:9" s="13" customFormat="1" ht="14.25" x14ac:dyDescent="0.2">
      <c r="A182" s="87" t="s">
        <v>31</v>
      </c>
      <c r="B182" s="99" t="s">
        <v>65</v>
      </c>
      <c r="C182" s="99"/>
      <c r="D182" s="99"/>
      <c r="E182" s="88"/>
      <c r="F182" s="88"/>
      <c r="G182" s="628"/>
      <c r="H182" s="89" t="str">
        <f>IF(J189=TRUE,G182*'VREDNOST NU'!#REF!,"")</f>
        <v/>
      </c>
    </row>
    <row r="183" spans="1:9" ht="14.25" x14ac:dyDescent="0.2">
      <c r="A183" s="112" t="s">
        <v>32</v>
      </c>
      <c r="B183" s="113" t="s">
        <v>66</v>
      </c>
      <c r="C183" s="113"/>
      <c r="D183" s="113"/>
      <c r="E183" s="114"/>
      <c r="F183" s="114"/>
      <c r="G183" s="629"/>
      <c r="H183" s="93" t="str">
        <f>IF(J190=TRUE,G183*'VREDNOST NU'!#REF!,"")</f>
        <v/>
      </c>
      <c r="I183" s="13"/>
    </row>
    <row r="184" spans="1:9" x14ac:dyDescent="0.2">
      <c r="A184" s="111" t="s">
        <v>33</v>
      </c>
      <c r="B184" s="104" t="s">
        <v>34</v>
      </c>
      <c r="C184" s="104"/>
      <c r="D184" s="104"/>
      <c r="E184" s="105">
        <f>SUM(E185:E187)</f>
        <v>0.03</v>
      </c>
      <c r="F184" s="105">
        <f>SUM(F185:F187)</f>
        <v>0.03</v>
      </c>
      <c r="G184" s="627">
        <f>SUM(G185:G187)</f>
        <v>0</v>
      </c>
      <c r="H184" s="106">
        <f>SUM(H185:H187)</f>
        <v>0</v>
      </c>
      <c r="I184" s="127" t="e">
        <f>H184/'OSNOVNI PODATKI'!$E$329</f>
        <v>#DIV/0!</v>
      </c>
    </row>
    <row r="185" spans="1:9" s="78" customFormat="1" ht="14.25" x14ac:dyDescent="0.2">
      <c r="A185" s="90" t="s">
        <v>35</v>
      </c>
      <c r="B185" s="98" t="s">
        <v>67</v>
      </c>
      <c r="C185" s="98"/>
      <c r="D185" s="98"/>
      <c r="E185" s="88">
        <v>1.4999999999999999E-2</v>
      </c>
      <c r="F185" s="304">
        <f>E185*(100%+$F$177)</f>
        <v>1.4999999999999999E-2</v>
      </c>
      <c r="G185" s="628">
        <f>F185*$F$174</f>
        <v>0</v>
      </c>
      <c r="H185" s="89">
        <f>+G185*$F$175</f>
        <v>0</v>
      </c>
      <c r="I185" s="13"/>
    </row>
    <row r="186" spans="1:9" s="2" customFormat="1" ht="14.25" x14ac:dyDescent="0.2">
      <c r="A186" s="90" t="s">
        <v>36</v>
      </c>
      <c r="B186" s="98" t="s">
        <v>68</v>
      </c>
      <c r="C186" s="98"/>
      <c r="D186" s="98"/>
      <c r="E186" s="88">
        <v>1.4999999999999999E-2</v>
      </c>
      <c r="F186" s="88">
        <f>E186*(100%+$F$177)</f>
        <v>1.4999999999999999E-2</v>
      </c>
      <c r="G186" s="628">
        <f t="shared" ref="G186:G187" si="11">F186*$F$174</f>
        <v>0</v>
      </c>
      <c r="H186" s="89">
        <f t="shared" ref="H186:H187" si="12">+G186*$F$175</f>
        <v>0</v>
      </c>
      <c r="I186" s="13"/>
    </row>
    <row r="187" spans="1:9" s="12" customFormat="1" ht="14.25" x14ac:dyDescent="0.25">
      <c r="A187" s="116" t="s">
        <v>37</v>
      </c>
      <c r="B187" s="117" t="s">
        <v>844</v>
      </c>
      <c r="C187" s="117"/>
      <c r="D187" s="117"/>
      <c r="E187" s="114">
        <v>0</v>
      </c>
      <c r="F187" s="114">
        <f>E187*(100%+$F$177)</f>
        <v>0</v>
      </c>
      <c r="G187" s="629">
        <f t="shared" si="11"/>
        <v>0</v>
      </c>
      <c r="H187" s="93">
        <f t="shared" si="12"/>
        <v>0</v>
      </c>
      <c r="I187" s="13"/>
    </row>
    <row r="188" spans="1:9" s="13" customFormat="1" ht="14.25" x14ac:dyDescent="0.2">
      <c r="A188" s="115">
        <v>2</v>
      </c>
      <c r="B188" s="104" t="s">
        <v>38</v>
      </c>
      <c r="C188" s="104"/>
      <c r="D188" s="104"/>
      <c r="E188" s="105">
        <f>+E189+E190+E191+E192+E193</f>
        <v>0.92000000000000015</v>
      </c>
      <c r="F188" s="105">
        <f>+F189+F190+F191+F192+F193</f>
        <v>0.92000000000000015</v>
      </c>
      <c r="G188" s="630">
        <f>SUM(G189:G193)</f>
        <v>0</v>
      </c>
      <c r="H188" s="106">
        <f>SUM(H189:H193)</f>
        <v>0</v>
      </c>
      <c r="I188" s="127" t="e">
        <f>H188/'OSNOVNI PODATKI'!$E$329</f>
        <v>#DIV/0!</v>
      </c>
    </row>
    <row r="189" spans="1:9" s="13" customFormat="1" ht="14.25" x14ac:dyDescent="0.2">
      <c r="A189" s="90" t="s">
        <v>51</v>
      </c>
      <c r="B189" s="98" t="s">
        <v>95</v>
      </c>
      <c r="C189" s="98"/>
      <c r="D189" s="98"/>
      <c r="E189" s="101">
        <v>0.2</v>
      </c>
      <c r="F189" s="304">
        <f>E189*(100%+$F$177)</f>
        <v>0.2</v>
      </c>
      <c r="G189" s="628">
        <f t="shared" ref="G189:G193" si="13">F189*$F$174</f>
        <v>0</v>
      </c>
      <c r="H189" s="89">
        <f t="shared" ref="H189:H193" si="14">+G189*$F$175</f>
        <v>0</v>
      </c>
    </row>
    <row r="190" spans="1:9" s="13" customFormat="1" ht="14.25" x14ac:dyDescent="0.2">
      <c r="A190" s="91" t="s">
        <v>52</v>
      </c>
      <c r="B190" s="102" t="s">
        <v>744</v>
      </c>
      <c r="C190" s="102"/>
      <c r="D190" s="102"/>
      <c r="E190" s="101">
        <v>0.4</v>
      </c>
      <c r="F190" s="101">
        <f>E190*(100%+$F$177)</f>
        <v>0.4</v>
      </c>
      <c r="G190" s="628">
        <f t="shared" si="13"/>
        <v>0</v>
      </c>
      <c r="H190" s="89">
        <f t="shared" si="14"/>
        <v>0</v>
      </c>
    </row>
    <row r="191" spans="1:9" s="13" customFormat="1" ht="14.25" x14ac:dyDescent="0.2">
      <c r="A191" s="91" t="s">
        <v>53</v>
      </c>
      <c r="B191" s="102" t="s">
        <v>848</v>
      </c>
      <c r="C191" s="102"/>
      <c r="D191" s="102"/>
      <c r="E191" s="101">
        <v>0</v>
      </c>
      <c r="F191" s="101">
        <f>E191*(100%+$F$177)</f>
        <v>0</v>
      </c>
      <c r="G191" s="628">
        <f t="shared" si="13"/>
        <v>0</v>
      </c>
      <c r="H191" s="89">
        <f t="shared" si="14"/>
        <v>0</v>
      </c>
    </row>
    <row r="192" spans="1:9" s="13" customFormat="1" ht="14.25" x14ac:dyDescent="0.2">
      <c r="A192" s="91" t="s">
        <v>96</v>
      </c>
      <c r="B192" s="102" t="s">
        <v>745</v>
      </c>
      <c r="C192" s="102"/>
      <c r="D192" s="102"/>
      <c r="E192" s="101">
        <v>0.32</v>
      </c>
      <c r="F192" s="101">
        <f>E192*(100%+$F$177)</f>
        <v>0.32</v>
      </c>
      <c r="G192" s="628">
        <f t="shared" si="13"/>
        <v>0</v>
      </c>
      <c r="H192" s="89">
        <f t="shared" si="14"/>
        <v>0</v>
      </c>
    </row>
    <row r="193" spans="1:9" s="13" customFormat="1" ht="14.25" x14ac:dyDescent="0.2">
      <c r="A193" s="119" t="s">
        <v>97</v>
      </c>
      <c r="B193" s="120" t="s">
        <v>845</v>
      </c>
      <c r="C193" s="120"/>
      <c r="D193" s="120"/>
      <c r="E193" s="121">
        <v>0</v>
      </c>
      <c r="F193" s="121">
        <f>E193*(100%+$F$177)</f>
        <v>0</v>
      </c>
      <c r="G193" s="629">
        <f t="shared" si="13"/>
        <v>0</v>
      </c>
      <c r="H193" s="93">
        <f t="shared" si="14"/>
        <v>0</v>
      </c>
    </row>
    <row r="194" spans="1:9" s="13" customFormat="1" ht="14.25" x14ac:dyDescent="0.2">
      <c r="A194" s="118" t="s">
        <v>39</v>
      </c>
      <c r="B194" s="104" t="s">
        <v>122</v>
      </c>
      <c r="C194" s="104"/>
      <c r="D194" s="104"/>
      <c r="E194" s="105">
        <f>SUM(E195:E196)</f>
        <v>0</v>
      </c>
      <c r="F194" s="105">
        <f>SUM(F195:F196)</f>
        <v>0</v>
      </c>
      <c r="G194" s="627">
        <f>SUM(G195:G196)</f>
        <v>0</v>
      </c>
      <c r="H194" s="106">
        <f>SUM(H195:H196)</f>
        <v>0</v>
      </c>
      <c r="I194" s="127" t="e">
        <f>H194/'OSNOVNI PODATKI'!$E$329</f>
        <v>#DIV/0!</v>
      </c>
    </row>
    <row r="195" spans="1:9" s="13" customFormat="1" ht="14.25" x14ac:dyDescent="0.2">
      <c r="A195" s="91" t="s">
        <v>40</v>
      </c>
      <c r="B195" s="97" t="s">
        <v>846</v>
      </c>
      <c r="C195" s="97"/>
      <c r="D195" s="97"/>
      <c r="E195" s="88">
        <v>0</v>
      </c>
      <c r="F195" s="88">
        <f>E195*(100%+$F$177)</f>
        <v>0</v>
      </c>
      <c r="G195" s="628">
        <f t="shared" ref="G195:G196" si="15">F195*$F$174</f>
        <v>0</v>
      </c>
      <c r="H195" s="89">
        <f t="shared" ref="H195:H196" si="16">+G195*$F$175</f>
        <v>0</v>
      </c>
    </row>
    <row r="196" spans="1:9" s="13" customFormat="1" ht="14.25" x14ac:dyDescent="0.2">
      <c r="A196" s="119" t="s">
        <v>41</v>
      </c>
      <c r="B196" s="92" t="s">
        <v>202</v>
      </c>
      <c r="C196" s="92"/>
      <c r="D196" s="92"/>
      <c r="E196" s="114">
        <v>0</v>
      </c>
      <c r="F196" s="114">
        <f>E196*(100%+$F$177)</f>
        <v>0</v>
      </c>
      <c r="G196" s="629">
        <f t="shared" si="15"/>
        <v>0</v>
      </c>
      <c r="H196" s="93">
        <f t="shared" si="16"/>
        <v>0</v>
      </c>
    </row>
    <row r="197" spans="1:9" s="13" customFormat="1" ht="14.25" x14ac:dyDescent="0.2">
      <c r="A197" s="122">
        <v>4</v>
      </c>
      <c r="B197" s="104" t="s">
        <v>60</v>
      </c>
      <c r="C197" s="104"/>
      <c r="D197" s="104"/>
      <c r="E197" s="105">
        <f>SUM(E198:E202)</f>
        <v>0.05</v>
      </c>
      <c r="F197" s="105">
        <f>SUM(F198:F202)</f>
        <v>0.05</v>
      </c>
      <c r="G197" s="627">
        <f>SUM(G198:G202)</f>
        <v>0</v>
      </c>
      <c r="H197" s="106">
        <f>SUM(H198:H202)</f>
        <v>0</v>
      </c>
      <c r="I197" s="127" t="e">
        <f>H197/'OSNOVNI PODATKI'!$E$329</f>
        <v>#DIV/0!</v>
      </c>
    </row>
    <row r="198" spans="1:9" s="13" customFormat="1" ht="14.25" x14ac:dyDescent="0.2">
      <c r="A198" s="91" t="s">
        <v>42</v>
      </c>
      <c r="B198" s="97" t="s">
        <v>203</v>
      </c>
      <c r="C198" s="97"/>
      <c r="D198" s="97"/>
      <c r="E198" s="88">
        <v>0</v>
      </c>
      <c r="F198" s="88">
        <f>E198*(100%+$F$177)</f>
        <v>0</v>
      </c>
      <c r="G198" s="628">
        <f t="shared" ref="G198:G202" si="17">F198*$F$174</f>
        <v>0</v>
      </c>
      <c r="H198" s="89">
        <f t="shared" ref="H198:H202" si="18">+G198*$F$175</f>
        <v>0</v>
      </c>
    </row>
    <row r="199" spans="1:9" s="13" customFormat="1" ht="14.25" x14ac:dyDescent="0.2">
      <c r="A199" s="91" t="s">
        <v>43</v>
      </c>
      <c r="B199" s="97" t="s">
        <v>865</v>
      </c>
      <c r="C199" s="97"/>
      <c r="D199" s="97"/>
      <c r="E199" s="88">
        <v>0</v>
      </c>
      <c r="F199" s="88">
        <f>E199*(100%+$F$177)</f>
        <v>0</v>
      </c>
      <c r="G199" s="628">
        <f t="shared" si="17"/>
        <v>0</v>
      </c>
      <c r="H199" s="89">
        <f t="shared" si="18"/>
        <v>0</v>
      </c>
    </row>
    <row r="200" spans="1:9" s="13" customFormat="1" ht="14.25" x14ac:dyDescent="0.2">
      <c r="A200" s="91" t="s">
        <v>44</v>
      </c>
      <c r="B200" s="97" t="s">
        <v>963</v>
      </c>
      <c r="C200" s="97"/>
      <c r="D200" s="97"/>
      <c r="E200" s="88">
        <v>0</v>
      </c>
      <c r="F200" s="88">
        <f>E200*(100%+$F$177)</f>
        <v>0</v>
      </c>
      <c r="G200" s="628">
        <f t="shared" si="17"/>
        <v>0</v>
      </c>
      <c r="H200" s="89">
        <f t="shared" si="18"/>
        <v>0</v>
      </c>
    </row>
    <row r="201" spans="1:9" s="13" customFormat="1" ht="14.25" x14ac:dyDescent="0.2">
      <c r="A201" s="91" t="s">
        <v>45</v>
      </c>
      <c r="B201" s="97" t="s">
        <v>866</v>
      </c>
      <c r="C201" s="97"/>
      <c r="D201" s="97"/>
      <c r="E201" s="88">
        <v>0</v>
      </c>
      <c r="F201" s="88">
        <f>E201*(100%+$F$177)</f>
        <v>0</v>
      </c>
      <c r="G201" s="628">
        <f t="shared" si="17"/>
        <v>0</v>
      </c>
      <c r="H201" s="89">
        <f t="shared" si="18"/>
        <v>0</v>
      </c>
    </row>
    <row r="202" spans="1:9" s="13" customFormat="1" ht="14.25" x14ac:dyDescent="0.2">
      <c r="A202" s="119" t="s">
        <v>46</v>
      </c>
      <c r="B202" s="92" t="s">
        <v>847</v>
      </c>
      <c r="C202" s="92"/>
      <c r="D202" s="92"/>
      <c r="E202" s="114">
        <v>0.05</v>
      </c>
      <c r="F202" s="114">
        <f>E202*(100%+$F$177)</f>
        <v>0.05</v>
      </c>
      <c r="G202" s="629">
        <f t="shared" si="17"/>
        <v>0</v>
      </c>
      <c r="H202" s="93">
        <f t="shared" si="18"/>
        <v>0</v>
      </c>
    </row>
    <row r="203" spans="1:9" s="13" customFormat="1" ht="14.25" x14ac:dyDescent="0.2">
      <c r="A203" s="123">
        <v>5</v>
      </c>
      <c r="B203" s="104" t="s">
        <v>47</v>
      </c>
      <c r="C203" s="104"/>
      <c r="D203" s="104"/>
      <c r="E203" s="105">
        <f>SUM(E204:E205)</f>
        <v>0</v>
      </c>
      <c r="F203" s="105">
        <f>SUM(F204:F205)</f>
        <v>0</v>
      </c>
      <c r="G203" s="627">
        <f>SUM(G204:G205)</f>
        <v>0</v>
      </c>
      <c r="H203" s="106">
        <f>SUM(H204:H205)</f>
        <v>0</v>
      </c>
      <c r="I203" s="127" t="e">
        <f>H203/'OSNOVNI PODATKI'!$E$329</f>
        <v>#DIV/0!</v>
      </c>
    </row>
    <row r="204" spans="1:9" s="13" customFormat="1" ht="14.25" x14ac:dyDescent="0.2">
      <c r="A204" s="91" t="s">
        <v>48</v>
      </c>
      <c r="B204" s="100" t="s">
        <v>205</v>
      </c>
      <c r="C204" s="100"/>
      <c r="D204" s="100"/>
      <c r="E204" s="88">
        <v>0</v>
      </c>
      <c r="F204" s="88">
        <f>E204*(100%+$F$177)</f>
        <v>0</v>
      </c>
      <c r="G204" s="628">
        <f t="shared" ref="G204:G205" si="19">F204*$F$174</f>
        <v>0</v>
      </c>
      <c r="H204" s="89">
        <f t="shared" ref="H204:H205" si="20">+G204*$F$175</f>
        <v>0</v>
      </c>
    </row>
    <row r="205" spans="1:9" s="13" customFormat="1" ht="14.25" x14ac:dyDescent="0.2">
      <c r="A205" s="119" t="s">
        <v>49</v>
      </c>
      <c r="B205" s="125" t="s">
        <v>206</v>
      </c>
      <c r="C205" s="125"/>
      <c r="D205" s="125"/>
      <c r="E205" s="114">
        <v>0</v>
      </c>
      <c r="F205" s="114">
        <f>E205*(100%+$F$177)</f>
        <v>0</v>
      </c>
      <c r="G205" s="629">
        <f t="shared" si="19"/>
        <v>0</v>
      </c>
      <c r="H205" s="93">
        <f t="shared" si="20"/>
        <v>0</v>
      </c>
    </row>
    <row r="206" spans="1:9" s="13" customFormat="1" ht="14.25" x14ac:dyDescent="0.2">
      <c r="A206" s="124">
        <v>6</v>
      </c>
      <c r="B206" s="104" t="s">
        <v>50</v>
      </c>
      <c r="C206" s="104"/>
      <c r="D206" s="104"/>
      <c r="E206" s="105"/>
      <c r="F206" s="105"/>
      <c r="G206" s="627"/>
      <c r="H206" s="106"/>
    </row>
    <row r="207" spans="1:9" s="13" customFormat="1" ht="14.25" x14ac:dyDescent="0.2">
      <c r="A207" s="91" t="s">
        <v>54</v>
      </c>
      <c r="B207" s="100" t="s">
        <v>207</v>
      </c>
      <c r="C207" s="100"/>
      <c r="D207" s="100"/>
      <c r="E207" s="88"/>
      <c r="F207" s="88"/>
      <c r="G207" s="628"/>
      <c r="H207" s="89"/>
    </row>
    <row r="208" spans="1:9" s="13" customFormat="1" ht="14.25" x14ac:dyDescent="0.2">
      <c r="A208" s="91" t="s">
        <v>55</v>
      </c>
      <c r="B208" s="100" t="s">
        <v>208</v>
      </c>
      <c r="C208" s="100"/>
      <c r="D208" s="100"/>
      <c r="E208" s="88"/>
      <c r="F208" s="88"/>
      <c r="G208" s="628"/>
      <c r="H208" s="89"/>
    </row>
    <row r="209" spans="1:9" s="13" customFormat="1" ht="14.25" x14ac:dyDescent="0.2">
      <c r="A209" s="119" t="s">
        <v>56</v>
      </c>
      <c r="B209" s="125" t="s">
        <v>209</v>
      </c>
      <c r="C209" s="125"/>
      <c r="D209" s="125"/>
      <c r="E209" s="114"/>
      <c r="F209" s="114"/>
      <c r="G209" s="629"/>
      <c r="H209" s="93"/>
    </row>
    <row r="210" spans="1:9" s="13" customFormat="1" ht="14.25" x14ac:dyDescent="0.2">
      <c r="A210" s="94"/>
      <c r="B210" s="95"/>
      <c r="C210" s="95"/>
      <c r="D210" s="95"/>
      <c r="E210" s="96"/>
      <c r="F210" s="96"/>
      <c r="G210" s="624"/>
      <c r="H210" s="95"/>
    </row>
    <row r="211" spans="1:9" s="13" customFormat="1" ht="14.25" x14ac:dyDescent="0.2">
      <c r="A211" s="128"/>
      <c r="B211" s="129" t="s">
        <v>1</v>
      </c>
      <c r="C211" s="129"/>
      <c r="D211" s="129"/>
      <c r="E211" s="130">
        <f>E181+E184+E188+E194+E197+E203+E206</f>
        <v>1.0000000000000002</v>
      </c>
      <c r="F211" s="130">
        <f>F181+F184+F188+F194+F197+F203+F206</f>
        <v>1.0000000000000002</v>
      </c>
      <c r="G211" s="625">
        <f>G181+G184+G188+G194+G197+G203+G206</f>
        <v>0</v>
      </c>
      <c r="H211" s="618">
        <f>H181+H184+H188+H194+H197+H203+H206</f>
        <v>0</v>
      </c>
      <c r="I211" s="127" t="e">
        <f>H211/'OSNOVNI PODATKI'!$E$329</f>
        <v>#DIV/0!</v>
      </c>
    </row>
    <row r="212" spans="1:9" s="13" customFormat="1" ht="14.25" x14ac:dyDescent="0.2">
      <c r="A212" s="29"/>
      <c r="B212" s="126"/>
      <c r="E212" s="30"/>
      <c r="G212" s="30"/>
      <c r="H212" s="127"/>
    </row>
    <row r="213" spans="1:9" s="13" customFormat="1" ht="14.25" x14ac:dyDescent="0.2">
      <c r="A213" s="29"/>
      <c r="B213" s="126"/>
      <c r="E213" s="30"/>
      <c r="G213" s="30"/>
      <c r="H213" s="127"/>
    </row>
    <row r="214" spans="1:9" s="13" customFormat="1" ht="14.25" x14ac:dyDescent="0.2"/>
    <row r="215" spans="1:9" s="13" customFormat="1" ht="14.25" x14ac:dyDescent="0.2"/>
    <row r="216" spans="1:9" s="13" customFormat="1" ht="15" thickBot="1" x14ac:dyDescent="0.25"/>
    <row r="217" spans="1:9" s="13" customFormat="1" ht="18.75" x14ac:dyDescent="0.2">
      <c r="A217" s="831" t="s">
        <v>481</v>
      </c>
      <c r="B217" s="831"/>
      <c r="C217" s="831"/>
      <c r="D217" s="831"/>
      <c r="E217" s="831"/>
      <c r="F217" s="831"/>
      <c r="G217" s="831"/>
      <c r="H217" s="831"/>
    </row>
    <row r="218" spans="1:9" s="78" customFormat="1" x14ac:dyDescent="0.2">
      <c r="A218" s="212"/>
      <c r="B218" s="212"/>
      <c r="C218" s="752"/>
      <c r="D218" s="752"/>
      <c r="E218" s="752"/>
      <c r="F218" s="640"/>
      <c r="G218" s="752"/>
      <c r="H218" s="752"/>
    </row>
    <row r="219" spans="1:9" s="78" customFormat="1" x14ac:dyDescent="0.2">
      <c r="A219" s="212"/>
      <c r="B219" s="86" t="s">
        <v>875</v>
      </c>
      <c r="C219" s="212"/>
      <c r="D219" s="212"/>
      <c r="E219" s="212"/>
      <c r="F219" s="507">
        <f>'OSNOVNI PODATKI'!G389</f>
        <v>0</v>
      </c>
      <c r="G219" s="212"/>
      <c r="H219" s="212"/>
    </row>
    <row r="220" spans="1:9" s="78" customFormat="1" x14ac:dyDescent="0.2">
      <c r="A220" s="212"/>
      <c r="B220" s="86" t="s">
        <v>876</v>
      </c>
      <c r="C220" s="210"/>
      <c r="D220" s="85"/>
      <c r="E220" s="85"/>
      <c r="F220" s="493">
        <f>'ARHIGRAM 6'!I16</f>
        <v>46</v>
      </c>
      <c r="G220" s="210"/>
      <c r="H220" s="210"/>
    </row>
    <row r="221" spans="1:9" s="2" customFormat="1" x14ac:dyDescent="0.2">
      <c r="A221" s="78"/>
      <c r="B221" s="212"/>
      <c r="C221" s="212"/>
      <c r="D221" s="212"/>
      <c r="E221" s="212"/>
      <c r="F221" s="212"/>
      <c r="G221" s="212"/>
    </row>
    <row r="222" spans="1:9" s="78" customFormat="1" x14ac:dyDescent="0.2">
      <c r="B222" s="86" t="str">
        <f>'OSNOVNI PODATKI'!B394</f>
        <v>PRIBITEK ZA PRENOVO</v>
      </c>
      <c r="C222" s="210"/>
      <c r="D222" s="85"/>
      <c r="E222" s="85"/>
      <c r="F222" s="314">
        <f>'OSNOVNI PODATKI'!F394</f>
        <v>0</v>
      </c>
      <c r="G222" s="210"/>
      <c r="H222" s="210"/>
    </row>
    <row r="223" spans="1:9" s="78" customFormat="1" x14ac:dyDescent="0.2">
      <c r="B223" s="316"/>
      <c r="C223" s="316"/>
      <c r="D223" s="316"/>
      <c r="E223" s="316"/>
      <c r="F223" s="210"/>
      <c r="G223" s="210"/>
      <c r="H223" s="210"/>
    </row>
    <row r="224" spans="1:9" s="13" customFormat="1" ht="14.25" x14ac:dyDescent="0.2">
      <c r="A224" s="214"/>
      <c r="B224" s="214"/>
      <c r="C224" s="214"/>
      <c r="D224" s="214"/>
      <c r="E224" s="214"/>
      <c r="F224" s="214"/>
      <c r="G224" s="214"/>
      <c r="H224" s="214"/>
    </row>
    <row r="225" spans="1:9" s="13" customFormat="1" ht="38.25" x14ac:dyDescent="0.2">
      <c r="A225" s="107"/>
      <c r="B225" s="108"/>
      <c r="C225" s="108"/>
      <c r="D225" s="108"/>
      <c r="E225" s="109" t="s">
        <v>25</v>
      </c>
      <c r="F225" s="303" t="s">
        <v>484</v>
      </c>
      <c r="G225" s="620" t="s">
        <v>57</v>
      </c>
      <c r="H225" s="110" t="s">
        <v>70</v>
      </c>
      <c r="I225" s="421" t="s">
        <v>915</v>
      </c>
    </row>
    <row r="226" spans="1:9" s="13" customFormat="1" ht="14.25" x14ac:dyDescent="0.2">
      <c r="A226" s="103" t="s">
        <v>29</v>
      </c>
      <c r="B226" s="104" t="s">
        <v>30</v>
      </c>
      <c r="C226" s="104"/>
      <c r="D226" s="104"/>
      <c r="E226" s="105"/>
      <c r="F226" s="105"/>
      <c r="G226" s="627"/>
      <c r="H226" s="106"/>
    </row>
    <row r="227" spans="1:9" s="13" customFormat="1" ht="14.25" x14ac:dyDescent="0.2">
      <c r="A227" s="87" t="s">
        <v>31</v>
      </c>
      <c r="B227" s="99" t="s">
        <v>65</v>
      </c>
      <c r="C227" s="99"/>
      <c r="D227" s="99"/>
      <c r="E227" s="88"/>
      <c r="F227" s="88"/>
      <c r="G227" s="628"/>
      <c r="H227" s="89" t="str">
        <f>IF(J234=TRUE,G227*'VREDNOST NU'!#REF!,"")</f>
        <v/>
      </c>
    </row>
    <row r="228" spans="1:9" ht="14.25" x14ac:dyDescent="0.2">
      <c r="A228" s="112" t="s">
        <v>32</v>
      </c>
      <c r="B228" s="113" t="s">
        <v>66</v>
      </c>
      <c r="C228" s="113"/>
      <c r="D228" s="113"/>
      <c r="E228" s="114"/>
      <c r="F228" s="114"/>
      <c r="G228" s="629"/>
      <c r="H228" s="93" t="str">
        <f>IF(J235=TRUE,G228*'VREDNOST NU'!#REF!,"")</f>
        <v/>
      </c>
      <c r="I228" s="13"/>
    </row>
    <row r="229" spans="1:9" x14ac:dyDescent="0.2">
      <c r="A229" s="111" t="s">
        <v>33</v>
      </c>
      <c r="B229" s="104" t="s">
        <v>34</v>
      </c>
      <c r="C229" s="104"/>
      <c r="D229" s="104"/>
      <c r="E229" s="105">
        <f>SUM(E230:E232)</f>
        <v>0.03</v>
      </c>
      <c r="F229" s="105">
        <f>SUM(F230:F232)</f>
        <v>0.03</v>
      </c>
      <c r="G229" s="627">
        <f>SUM(G230:G232)</f>
        <v>0</v>
      </c>
      <c r="H229" s="106">
        <f>SUM(H230:H232)</f>
        <v>0</v>
      </c>
      <c r="I229" s="127" t="e">
        <f>H229/'OSNOVNI PODATKI'!$E$329</f>
        <v>#DIV/0!</v>
      </c>
    </row>
    <row r="230" spans="1:9" s="78" customFormat="1" ht="14.25" x14ac:dyDescent="0.2">
      <c r="A230" s="90" t="s">
        <v>35</v>
      </c>
      <c r="B230" s="98" t="s">
        <v>67</v>
      </c>
      <c r="C230" s="98"/>
      <c r="D230" s="98"/>
      <c r="E230" s="88">
        <v>1.4999999999999999E-2</v>
      </c>
      <c r="F230" s="304">
        <f>E230*(100%+$F$222)</f>
        <v>1.4999999999999999E-2</v>
      </c>
      <c r="G230" s="628">
        <f>F230*$F$219</f>
        <v>0</v>
      </c>
      <c r="H230" s="89">
        <f>+G230*$F$220</f>
        <v>0</v>
      </c>
      <c r="I230" s="13"/>
    </row>
    <row r="231" spans="1:9" s="2" customFormat="1" ht="14.25" x14ac:dyDescent="0.2">
      <c r="A231" s="90" t="s">
        <v>36</v>
      </c>
      <c r="B231" s="98" t="s">
        <v>68</v>
      </c>
      <c r="C231" s="98"/>
      <c r="D231" s="98"/>
      <c r="E231" s="88">
        <v>1.4999999999999999E-2</v>
      </c>
      <c r="F231" s="88">
        <f>E231*(100%+$F$222)</f>
        <v>1.4999999999999999E-2</v>
      </c>
      <c r="G231" s="628">
        <f t="shared" ref="G231:G232" si="21">F231*$F$219</f>
        <v>0</v>
      </c>
      <c r="H231" s="89">
        <f t="shared" ref="H231:H232" si="22">+G231*$F$220</f>
        <v>0</v>
      </c>
      <c r="I231" s="13"/>
    </row>
    <row r="232" spans="1:9" s="12" customFormat="1" ht="14.25" x14ac:dyDescent="0.25">
      <c r="A232" s="116" t="s">
        <v>37</v>
      </c>
      <c r="B232" s="117" t="s">
        <v>844</v>
      </c>
      <c r="C232" s="117"/>
      <c r="D232" s="117"/>
      <c r="E232" s="114">
        <v>0</v>
      </c>
      <c r="F232" s="114">
        <f>E232*(100%+$F$222)</f>
        <v>0</v>
      </c>
      <c r="G232" s="629">
        <f t="shared" si="21"/>
        <v>0</v>
      </c>
      <c r="H232" s="93">
        <f t="shared" si="22"/>
        <v>0</v>
      </c>
      <c r="I232" s="13"/>
    </row>
    <row r="233" spans="1:9" s="13" customFormat="1" ht="14.25" x14ac:dyDescent="0.2">
      <c r="A233" s="115">
        <v>2</v>
      </c>
      <c r="B233" s="104" t="s">
        <v>38</v>
      </c>
      <c r="C233" s="104"/>
      <c r="D233" s="104"/>
      <c r="E233" s="105">
        <f>+E234+E235+E236+E237+E238</f>
        <v>0.97000000000000008</v>
      </c>
      <c r="F233" s="105">
        <f>+F234+F235+F236+F237+F238</f>
        <v>0.97000000000000008</v>
      </c>
      <c r="G233" s="630">
        <f>SUM(G234:G238)</f>
        <v>0</v>
      </c>
      <c r="H233" s="106">
        <f>SUM(H234:H238)</f>
        <v>0</v>
      </c>
      <c r="I233" s="127" t="e">
        <f>H233/'OSNOVNI PODATKI'!$E$329</f>
        <v>#DIV/0!</v>
      </c>
    </row>
    <row r="234" spans="1:9" s="13" customFormat="1" ht="14.25" x14ac:dyDescent="0.2">
      <c r="A234" s="90" t="s">
        <v>51</v>
      </c>
      <c r="B234" s="98" t="s">
        <v>95</v>
      </c>
      <c r="C234" s="98"/>
      <c r="D234" s="98"/>
      <c r="E234" s="101">
        <v>0.2</v>
      </c>
      <c r="F234" s="304">
        <f>E234*(100%+$F$222)</f>
        <v>0.2</v>
      </c>
      <c r="G234" s="628">
        <f t="shared" ref="G234:G238" si="23">F234*$F$219</f>
        <v>0</v>
      </c>
      <c r="H234" s="89">
        <f t="shared" ref="H234:H238" si="24">+G234*$F$220</f>
        <v>0</v>
      </c>
    </row>
    <row r="235" spans="1:9" s="13" customFormat="1" ht="14.25" x14ac:dyDescent="0.2">
      <c r="A235" s="91" t="s">
        <v>52</v>
      </c>
      <c r="B235" s="102" t="s">
        <v>744</v>
      </c>
      <c r="C235" s="102"/>
      <c r="D235" s="102"/>
      <c r="E235" s="101">
        <v>0.4</v>
      </c>
      <c r="F235" s="101">
        <f>E235*(100%+$F$222)</f>
        <v>0.4</v>
      </c>
      <c r="G235" s="628">
        <f t="shared" si="23"/>
        <v>0</v>
      </c>
      <c r="H235" s="89">
        <f t="shared" si="24"/>
        <v>0</v>
      </c>
    </row>
    <row r="236" spans="1:9" s="13" customFormat="1" ht="14.25" x14ac:dyDescent="0.2">
      <c r="A236" s="91" t="s">
        <v>53</v>
      </c>
      <c r="B236" s="102" t="s">
        <v>848</v>
      </c>
      <c r="C236" s="102"/>
      <c r="D236" s="102"/>
      <c r="E236" s="101">
        <v>0</v>
      </c>
      <c r="F236" s="101">
        <f>E236*(100%+$F$222)</f>
        <v>0</v>
      </c>
      <c r="G236" s="628">
        <f t="shared" si="23"/>
        <v>0</v>
      </c>
      <c r="H236" s="89">
        <f t="shared" si="24"/>
        <v>0</v>
      </c>
    </row>
    <row r="237" spans="1:9" s="13" customFormat="1" ht="14.25" x14ac:dyDescent="0.2">
      <c r="A237" s="91" t="s">
        <v>96</v>
      </c>
      <c r="B237" s="102" t="s">
        <v>745</v>
      </c>
      <c r="C237" s="102"/>
      <c r="D237" s="102"/>
      <c r="E237" s="101">
        <v>0.37</v>
      </c>
      <c r="F237" s="101">
        <f>E237*(100%+$F$222)</f>
        <v>0.37</v>
      </c>
      <c r="G237" s="628">
        <f t="shared" si="23"/>
        <v>0</v>
      </c>
      <c r="H237" s="89">
        <f t="shared" si="24"/>
        <v>0</v>
      </c>
    </row>
    <row r="238" spans="1:9" s="13" customFormat="1" ht="14.25" x14ac:dyDescent="0.2">
      <c r="A238" s="119" t="s">
        <v>97</v>
      </c>
      <c r="B238" s="120" t="s">
        <v>845</v>
      </c>
      <c r="C238" s="120"/>
      <c r="D238" s="120"/>
      <c r="E238" s="121">
        <v>0</v>
      </c>
      <c r="F238" s="121">
        <f>E238*(100%+$F$222)</f>
        <v>0</v>
      </c>
      <c r="G238" s="629">
        <f t="shared" si="23"/>
        <v>0</v>
      </c>
      <c r="H238" s="93">
        <f t="shared" si="24"/>
        <v>0</v>
      </c>
    </row>
    <row r="239" spans="1:9" s="13" customFormat="1" ht="14.25" x14ac:dyDescent="0.2">
      <c r="A239" s="118" t="s">
        <v>39</v>
      </c>
      <c r="B239" s="104" t="s">
        <v>122</v>
      </c>
      <c r="C239" s="104"/>
      <c r="D239" s="104"/>
      <c r="E239" s="105">
        <f>SUM(E240:E241)</f>
        <v>0</v>
      </c>
      <c r="F239" s="105">
        <f>SUM(F240:F241)</f>
        <v>0</v>
      </c>
      <c r="G239" s="627">
        <f>SUM(G240:G241)</f>
        <v>0</v>
      </c>
      <c r="H239" s="106">
        <f>SUM(H240:H241)</f>
        <v>0</v>
      </c>
      <c r="I239" s="127" t="e">
        <f>H239/'OSNOVNI PODATKI'!$E$329</f>
        <v>#DIV/0!</v>
      </c>
    </row>
    <row r="240" spans="1:9" s="13" customFormat="1" ht="14.25" x14ac:dyDescent="0.2">
      <c r="A240" s="91" t="s">
        <v>40</v>
      </c>
      <c r="B240" s="97" t="s">
        <v>846</v>
      </c>
      <c r="C240" s="97"/>
      <c r="D240" s="97"/>
      <c r="E240" s="88">
        <v>0</v>
      </c>
      <c r="F240" s="88">
        <f>E240*(100%+$F$222)</f>
        <v>0</v>
      </c>
      <c r="G240" s="628">
        <f t="shared" ref="G240:G241" si="25">F240*$F$219</f>
        <v>0</v>
      </c>
      <c r="H240" s="89">
        <f t="shared" ref="H240:H241" si="26">+G240*$F$220</f>
        <v>0</v>
      </c>
    </row>
    <row r="241" spans="1:9" s="13" customFormat="1" ht="14.25" x14ac:dyDescent="0.2">
      <c r="A241" s="119" t="s">
        <v>41</v>
      </c>
      <c r="B241" s="92" t="s">
        <v>202</v>
      </c>
      <c r="C241" s="92"/>
      <c r="D241" s="92"/>
      <c r="E241" s="114">
        <v>0</v>
      </c>
      <c r="F241" s="114">
        <f>E241*(100%+$F$222)</f>
        <v>0</v>
      </c>
      <c r="G241" s="629">
        <f t="shared" si="25"/>
        <v>0</v>
      </c>
      <c r="H241" s="93">
        <f t="shared" si="26"/>
        <v>0</v>
      </c>
    </row>
    <row r="242" spans="1:9" s="13" customFormat="1" ht="14.25" x14ac:dyDescent="0.2">
      <c r="A242" s="122">
        <v>4</v>
      </c>
      <c r="B242" s="104" t="s">
        <v>60</v>
      </c>
      <c r="C242" s="104"/>
      <c r="D242" s="104"/>
      <c r="E242" s="105">
        <f>SUM(E243:E247)</f>
        <v>0</v>
      </c>
      <c r="F242" s="105">
        <f>SUM(F243:F247)</f>
        <v>0</v>
      </c>
      <c r="G242" s="627">
        <f>SUM(G243:G247)</f>
        <v>0</v>
      </c>
      <c r="H242" s="106">
        <f>SUM(H243:H247)</f>
        <v>0</v>
      </c>
      <c r="I242" s="127" t="e">
        <f>H242/'OSNOVNI PODATKI'!$E$329</f>
        <v>#DIV/0!</v>
      </c>
    </row>
    <row r="243" spans="1:9" s="13" customFormat="1" ht="14.25" x14ac:dyDescent="0.2">
      <c r="A243" s="91" t="s">
        <v>42</v>
      </c>
      <c r="B243" s="97" t="s">
        <v>203</v>
      </c>
      <c r="C243" s="97"/>
      <c r="D243" s="97"/>
      <c r="E243" s="88">
        <v>0</v>
      </c>
      <c r="F243" s="88">
        <f>E243*(100%+$F$222)</f>
        <v>0</v>
      </c>
      <c r="G243" s="628">
        <f t="shared" ref="G243:G247" si="27">F243*$F$219</f>
        <v>0</v>
      </c>
      <c r="H243" s="89">
        <f t="shared" ref="H243:H247" si="28">+G243*$F$220</f>
        <v>0</v>
      </c>
    </row>
    <row r="244" spans="1:9" s="13" customFormat="1" ht="14.25" x14ac:dyDescent="0.2">
      <c r="A244" s="91" t="s">
        <v>43</v>
      </c>
      <c r="B244" s="97" t="s">
        <v>865</v>
      </c>
      <c r="C244" s="97"/>
      <c r="D244" s="97"/>
      <c r="E244" s="88">
        <v>0</v>
      </c>
      <c r="F244" s="88">
        <f>E244*(100%+$F$222)</f>
        <v>0</v>
      </c>
      <c r="G244" s="628">
        <f t="shared" si="27"/>
        <v>0</v>
      </c>
      <c r="H244" s="89">
        <f t="shared" si="28"/>
        <v>0</v>
      </c>
    </row>
    <row r="245" spans="1:9" s="13" customFormat="1" ht="14.25" x14ac:dyDescent="0.2">
      <c r="A245" s="91" t="s">
        <v>44</v>
      </c>
      <c r="B245" s="97" t="s">
        <v>963</v>
      </c>
      <c r="C245" s="97"/>
      <c r="D245" s="97"/>
      <c r="E245" s="88">
        <v>0</v>
      </c>
      <c r="F245" s="88">
        <f>E245*(100%+$F$222)</f>
        <v>0</v>
      </c>
      <c r="G245" s="628">
        <f t="shared" si="27"/>
        <v>0</v>
      </c>
      <c r="H245" s="89">
        <f t="shared" si="28"/>
        <v>0</v>
      </c>
    </row>
    <row r="246" spans="1:9" s="13" customFormat="1" ht="14.25" x14ac:dyDescent="0.2">
      <c r="A246" s="91" t="s">
        <v>45</v>
      </c>
      <c r="B246" s="97" t="s">
        <v>866</v>
      </c>
      <c r="C246" s="97"/>
      <c r="D246" s="97"/>
      <c r="E246" s="88">
        <v>0</v>
      </c>
      <c r="F246" s="88">
        <f>E246*(100%+$F$222)</f>
        <v>0</v>
      </c>
      <c r="G246" s="628">
        <f t="shared" si="27"/>
        <v>0</v>
      </c>
      <c r="H246" s="89">
        <f t="shared" si="28"/>
        <v>0</v>
      </c>
    </row>
    <row r="247" spans="1:9" s="13" customFormat="1" ht="14.25" x14ac:dyDescent="0.2">
      <c r="A247" s="119" t="s">
        <v>46</v>
      </c>
      <c r="B247" s="92" t="s">
        <v>847</v>
      </c>
      <c r="C247" s="92"/>
      <c r="D247" s="92"/>
      <c r="E247" s="114">
        <v>0</v>
      </c>
      <c r="F247" s="114">
        <f>E247*(100%+$F$222)</f>
        <v>0</v>
      </c>
      <c r="G247" s="629">
        <f t="shared" si="27"/>
        <v>0</v>
      </c>
      <c r="H247" s="93">
        <f t="shared" si="28"/>
        <v>0</v>
      </c>
    </row>
    <row r="248" spans="1:9" s="13" customFormat="1" ht="14.25" x14ac:dyDescent="0.2">
      <c r="A248" s="123">
        <v>5</v>
      </c>
      <c r="B248" s="104" t="s">
        <v>47</v>
      </c>
      <c r="C248" s="104"/>
      <c r="D248" s="104"/>
      <c r="E248" s="105">
        <f>SUM(E249:E250)</f>
        <v>0</v>
      </c>
      <c r="F248" s="105">
        <f>SUM(F249:F250)</f>
        <v>0</v>
      </c>
      <c r="G248" s="627">
        <f>SUM(G249:G250)</f>
        <v>0</v>
      </c>
      <c r="H248" s="106">
        <f>SUM(H249:H250)</f>
        <v>0</v>
      </c>
      <c r="I248" s="127" t="e">
        <f>H248/'OSNOVNI PODATKI'!$E$329</f>
        <v>#DIV/0!</v>
      </c>
    </row>
    <row r="249" spans="1:9" s="13" customFormat="1" ht="14.25" x14ac:dyDescent="0.2">
      <c r="A249" s="91" t="s">
        <v>48</v>
      </c>
      <c r="B249" s="100" t="s">
        <v>205</v>
      </c>
      <c r="C249" s="100"/>
      <c r="D249" s="100"/>
      <c r="E249" s="88">
        <v>0</v>
      </c>
      <c r="F249" s="88">
        <f>E249*(100%+$F$222)</f>
        <v>0</v>
      </c>
      <c r="G249" s="628">
        <f t="shared" ref="G249:G250" si="29">F249*$F$219</f>
        <v>0</v>
      </c>
      <c r="H249" s="89">
        <f t="shared" ref="H249:H250" si="30">+G249*$F$220</f>
        <v>0</v>
      </c>
    </row>
    <row r="250" spans="1:9" s="13" customFormat="1" ht="14.25" x14ac:dyDescent="0.2">
      <c r="A250" s="119" t="s">
        <v>49</v>
      </c>
      <c r="B250" s="125" t="s">
        <v>206</v>
      </c>
      <c r="C250" s="125"/>
      <c r="D250" s="125"/>
      <c r="E250" s="114">
        <v>0</v>
      </c>
      <c r="F250" s="114">
        <f>E250*(100%+$F$222)</f>
        <v>0</v>
      </c>
      <c r="G250" s="629">
        <f t="shared" si="29"/>
        <v>0</v>
      </c>
      <c r="H250" s="93">
        <f t="shared" si="30"/>
        <v>0</v>
      </c>
    </row>
    <row r="251" spans="1:9" s="13" customFormat="1" ht="14.25" x14ac:dyDescent="0.2">
      <c r="A251" s="124">
        <v>6</v>
      </c>
      <c r="B251" s="104" t="s">
        <v>50</v>
      </c>
      <c r="C251" s="104"/>
      <c r="D251" s="104"/>
      <c r="E251" s="105"/>
      <c r="F251" s="105"/>
      <c r="G251" s="627"/>
      <c r="H251" s="106"/>
    </row>
    <row r="252" spans="1:9" s="13" customFormat="1" ht="14.25" x14ac:dyDescent="0.2">
      <c r="A252" s="91" t="s">
        <v>54</v>
      </c>
      <c r="B252" s="100" t="s">
        <v>207</v>
      </c>
      <c r="C252" s="100"/>
      <c r="D252" s="100"/>
      <c r="E252" s="88"/>
      <c r="F252" s="88"/>
      <c r="G252" s="628"/>
      <c r="H252" s="89"/>
    </row>
    <row r="253" spans="1:9" s="13" customFormat="1" ht="14.25" x14ac:dyDescent="0.2">
      <c r="A253" s="91" t="s">
        <v>55</v>
      </c>
      <c r="B253" s="100" t="s">
        <v>208</v>
      </c>
      <c r="C253" s="100"/>
      <c r="D253" s="100"/>
      <c r="E253" s="88"/>
      <c r="F253" s="88"/>
      <c r="G253" s="628"/>
      <c r="H253" s="89"/>
    </row>
    <row r="254" spans="1:9" s="13" customFormat="1" ht="14.25" x14ac:dyDescent="0.2">
      <c r="A254" s="119" t="s">
        <v>56</v>
      </c>
      <c r="B254" s="125" t="s">
        <v>209</v>
      </c>
      <c r="C254" s="125"/>
      <c r="D254" s="125"/>
      <c r="E254" s="114"/>
      <c r="F254" s="114"/>
      <c r="G254" s="629"/>
      <c r="H254" s="93"/>
    </row>
    <row r="255" spans="1:9" s="13" customFormat="1" ht="14.25" x14ac:dyDescent="0.2">
      <c r="A255" s="94"/>
      <c r="B255" s="95"/>
      <c r="C255" s="95"/>
      <c r="D255" s="95"/>
      <c r="E255" s="96"/>
      <c r="F255" s="96"/>
      <c r="G255" s="624"/>
      <c r="H255" s="95"/>
    </row>
    <row r="256" spans="1:9" s="13" customFormat="1" ht="14.25" x14ac:dyDescent="0.2">
      <c r="A256" s="128"/>
      <c r="B256" s="129" t="s">
        <v>1</v>
      </c>
      <c r="C256" s="129"/>
      <c r="D256" s="129"/>
      <c r="E256" s="130">
        <f>E226+E229+E233+E239+E242+E248+E251</f>
        <v>1</v>
      </c>
      <c r="F256" s="130">
        <f>F226+F229+F233+F239+F242+F248+F251</f>
        <v>1</v>
      </c>
      <c r="G256" s="625">
        <f>G226+G229+G233+G239+G242+G248+G251</f>
        <v>0</v>
      </c>
      <c r="H256" s="618">
        <f>H226+H229+H233+H239+H242+H248+H251</f>
        <v>0</v>
      </c>
      <c r="I256" s="127" t="e">
        <f>H256/'OSNOVNI PODATKI'!$E$329</f>
        <v>#DIV/0!</v>
      </c>
    </row>
    <row r="257" spans="1:8" s="13" customFormat="1" ht="14.25" x14ac:dyDescent="0.2">
      <c r="A257" s="29"/>
      <c r="B257" s="126"/>
      <c r="E257" s="30"/>
      <c r="G257" s="30"/>
      <c r="H257" s="127"/>
    </row>
    <row r="258" spans="1:8" s="13" customFormat="1" ht="14.25" x14ac:dyDescent="0.2">
      <c r="A258" s="29"/>
      <c r="B258" s="126"/>
      <c r="E258" s="30"/>
      <c r="G258" s="30"/>
      <c r="H258" s="127"/>
    </row>
    <row r="259" spans="1:8" s="13" customFormat="1" ht="14.25" x14ac:dyDescent="0.2"/>
    <row r="260" spans="1:8" s="13" customFormat="1" ht="14.25" x14ac:dyDescent="0.2"/>
    <row r="261" spans="1:8" s="13" customFormat="1" ht="14.25" x14ac:dyDescent="0.2"/>
  </sheetData>
  <sheetProtection algorithmName="SHA-512" hashValue="x/frG9yrvj7wyAm6LRWWdBz6an6ONy3SMpkcXdvh1KE9pOdday14VChx4NArAy0jFhqsSqyJnEebwVPPV0YE5w==" saltValue="EQs1byIwNP1aR1Z1ZmF1j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21C66-1D90-449B-B559-F50A619AB7F3}">
  <sheetPr codeName="Sheet1">
    <tabColor rgb="FF00B0F0"/>
    <outlinePr summaryBelow="0"/>
    <pageSetUpPr fitToPage="1"/>
  </sheetPr>
  <dimension ref="A1:AA409"/>
  <sheetViews>
    <sheetView showGridLines="0" topLeftCell="A350" workbookViewId="0">
      <selection activeCell="H73" sqref="H73"/>
    </sheetView>
    <sheetView topLeftCell="A367" workbookViewId="1">
      <selection activeCell="G409" sqref="G409"/>
    </sheetView>
  </sheetViews>
  <sheetFormatPr defaultColWidth="9.140625" defaultRowHeight="12.75" outlineLevelRow="2" x14ac:dyDescent="0.2"/>
  <cols>
    <col min="1" max="1" width="10.7109375" style="32" customWidth="1"/>
    <col min="2" max="2" width="47.5703125" style="28" customWidth="1"/>
    <col min="3" max="3" width="16.5703125" style="28" customWidth="1"/>
    <col min="4" max="4" width="19.85546875" style="33" customWidth="1"/>
    <col min="5" max="5" width="34" style="221" customWidth="1"/>
    <col min="6" max="6" width="15.28515625" style="28" customWidth="1"/>
    <col min="7" max="7" width="14.85546875" style="28" customWidth="1"/>
    <col min="8" max="8" width="13.85546875" style="28" customWidth="1"/>
    <col min="9" max="9" width="12.5703125" style="28" customWidth="1"/>
    <col min="10" max="10" width="13.85546875" style="28" customWidth="1"/>
    <col min="11" max="11" width="19.28515625" style="28" customWidth="1"/>
    <col min="12" max="12" width="15.5703125" style="28" customWidth="1"/>
    <col min="13" max="13" width="9.140625" style="28"/>
    <col min="14" max="14" width="18.7109375" style="28" customWidth="1"/>
    <col min="15" max="15" width="9.140625" style="28"/>
    <col min="16" max="16" width="27.5703125" style="28" customWidth="1"/>
    <col min="17" max="17" width="13.7109375" style="28" customWidth="1"/>
    <col min="18" max="16384" width="9.140625" style="28"/>
  </cols>
  <sheetData>
    <row r="1" spans="1:15" s="16" customFormat="1" ht="18" customHeight="1" x14ac:dyDescent="0.25">
      <c r="D1" s="320" t="s">
        <v>58</v>
      </c>
      <c r="E1" s="494"/>
      <c r="F1" s="497"/>
    </row>
    <row r="2" spans="1:15" s="17" customFormat="1" ht="18" customHeight="1" x14ac:dyDescent="0.3">
      <c r="D2" s="320"/>
      <c r="E2" s="495"/>
      <c r="F2" s="498"/>
    </row>
    <row r="3" spans="1:15" s="16" customFormat="1" ht="26.25" x14ac:dyDescent="0.4">
      <c r="A3" s="17"/>
      <c r="B3" s="236" t="s">
        <v>938</v>
      </c>
      <c r="C3" s="236"/>
      <c r="D3" s="320" t="s">
        <v>748</v>
      </c>
      <c r="E3" s="494"/>
      <c r="F3" s="497"/>
      <c r="G3" s="17"/>
      <c r="H3" s="17"/>
      <c r="I3" s="17"/>
      <c r="J3" s="17"/>
      <c r="K3" s="18"/>
      <c r="L3" s="18"/>
    </row>
    <row r="4" spans="1:15" s="18" customFormat="1" ht="25.5" x14ac:dyDescent="0.25">
      <c r="A4" s="41"/>
      <c r="B4" s="229" t="s">
        <v>843</v>
      </c>
      <c r="C4" s="229"/>
      <c r="D4" s="320" t="s">
        <v>60</v>
      </c>
      <c r="E4" s="496"/>
      <c r="F4" s="497"/>
    </row>
    <row r="5" spans="1:15" s="16" customFormat="1" ht="15.75" x14ac:dyDescent="0.25">
      <c r="A5" s="40" t="s">
        <v>1156</v>
      </c>
      <c r="B5" s="319" t="s">
        <v>1155</v>
      </c>
      <c r="C5" s="319"/>
      <c r="D5" s="321" t="s">
        <v>61</v>
      </c>
      <c r="E5" s="613">
        <f ca="1">TODAY()</f>
        <v>45125</v>
      </c>
      <c r="F5" s="499"/>
    </row>
    <row r="6" spans="1:15" s="16" customFormat="1" ht="18.75" x14ac:dyDescent="0.3">
      <c r="A6" s="19"/>
      <c r="B6" s="20"/>
      <c r="C6" s="20"/>
      <c r="D6" s="17"/>
      <c r="E6" s="339"/>
      <c r="F6" s="17"/>
      <c r="G6" s="17"/>
      <c r="H6" s="17"/>
      <c r="I6" s="17"/>
      <c r="J6" s="17"/>
      <c r="K6" s="18"/>
      <c r="L6" s="18"/>
    </row>
    <row r="7" spans="1:15" s="18" customFormat="1" ht="26.25" x14ac:dyDescent="0.25">
      <c r="A7" s="1" t="s">
        <v>221</v>
      </c>
      <c r="B7" s="230"/>
      <c r="C7" s="230"/>
      <c r="D7" s="230"/>
      <c r="E7" s="340"/>
      <c r="F7" s="230"/>
    </row>
    <row r="8" spans="1:15" s="16" customFormat="1" ht="19.5" thickBot="1" x14ac:dyDescent="0.35">
      <c r="A8" s="67"/>
      <c r="B8" s="67"/>
      <c r="C8" s="67"/>
      <c r="D8" s="67"/>
      <c r="E8" s="342"/>
      <c r="F8" s="67"/>
      <c r="J8" s="17"/>
    </row>
    <row r="9" spans="1:15" s="18" customFormat="1" ht="15.75" x14ac:dyDescent="0.25">
      <c r="A9" s="231" t="s">
        <v>937</v>
      </c>
      <c r="B9" s="231"/>
      <c r="C9" s="231"/>
      <c r="D9" s="231"/>
      <c r="E9" s="343"/>
      <c r="F9" s="231"/>
    </row>
    <row r="10" spans="1:15" s="18" customFormat="1" ht="15.75" x14ac:dyDescent="0.25">
      <c r="A10" s="64"/>
      <c r="B10" s="64"/>
      <c r="C10" s="64"/>
      <c r="D10" s="64"/>
      <c r="E10" s="344"/>
      <c r="F10" s="64"/>
    </row>
    <row r="11" spans="1:15" s="18" customFormat="1" ht="15.75" x14ac:dyDescent="0.25">
      <c r="A11" s="64"/>
      <c r="B11" s="54" t="s">
        <v>958</v>
      </c>
      <c r="C11" s="54"/>
      <c r="D11" s="54"/>
      <c r="E11" s="988"/>
      <c r="F11" s="1303">
        <v>1</v>
      </c>
    </row>
    <row r="12" spans="1:15" s="18" customFormat="1" ht="15.75" x14ac:dyDescent="0.25">
      <c r="A12" s="64"/>
      <c r="B12" s="54" t="s">
        <v>959</v>
      </c>
      <c r="C12" s="54"/>
      <c r="D12" s="54"/>
      <c r="E12" s="986"/>
      <c r="F12" s="54"/>
    </row>
    <row r="13" spans="1:15" s="18" customFormat="1" ht="15.75" outlineLevel="1" x14ac:dyDescent="0.25">
      <c r="A13" s="64"/>
      <c r="B13" s="64"/>
      <c r="C13" s="64"/>
      <c r="D13" s="64"/>
      <c r="E13" s="344"/>
      <c r="F13" s="64"/>
    </row>
    <row r="14" spans="1:15" s="43" customFormat="1" ht="15.75" outlineLevel="1" x14ac:dyDescent="0.2">
      <c r="A14" s="235" t="s">
        <v>888</v>
      </c>
      <c r="B14" s="66"/>
      <c r="C14" s="66"/>
      <c r="D14" s="66"/>
      <c r="E14" s="1319"/>
      <c r="F14" s="1319"/>
      <c r="G14" s="41"/>
      <c r="H14" s="41"/>
      <c r="I14" s="41"/>
      <c r="J14" s="41"/>
      <c r="K14" s="41"/>
      <c r="L14" s="41"/>
      <c r="M14" s="41"/>
      <c r="N14" s="41"/>
      <c r="O14" s="41"/>
    </row>
    <row r="15" spans="1:15" s="229" customFormat="1" ht="25.5" customHeight="1" outlineLevel="1" x14ac:dyDescent="0.2">
      <c r="B15" s="53" t="s">
        <v>722</v>
      </c>
      <c r="C15" s="53"/>
      <c r="D15" s="53"/>
      <c r="E15" s="1318"/>
      <c r="F15" s="1318"/>
      <c r="G15" s="34"/>
      <c r="H15" s="34"/>
      <c r="I15" s="34"/>
      <c r="J15" s="34"/>
      <c r="K15" s="34"/>
      <c r="L15" s="34"/>
      <c r="M15" s="34"/>
      <c r="N15" s="34"/>
      <c r="O15" s="34"/>
    </row>
    <row r="16" spans="1:15" s="34" customFormat="1" ht="14.25" outlineLevel="1" x14ac:dyDescent="0.2">
      <c r="B16" s="54" t="s">
        <v>92</v>
      </c>
      <c r="C16" s="54"/>
      <c r="D16" s="54"/>
      <c r="E16" s="500">
        <v>0</v>
      </c>
      <c r="F16" s="770" t="s">
        <v>1080</v>
      </c>
    </row>
    <row r="17" spans="1:6" s="78" customFormat="1" outlineLevel="1" collapsed="1" x14ac:dyDescent="0.2">
      <c r="B17" s="205" t="s">
        <v>904</v>
      </c>
      <c r="C17" s="205"/>
      <c r="D17" s="205"/>
      <c r="E17" s="500" t="s">
        <v>85</v>
      </c>
      <c r="F17" s="505"/>
    </row>
    <row r="18" spans="1:6" s="504" customFormat="1" hidden="1" outlineLevel="2" x14ac:dyDescent="0.2">
      <c r="A18" s="78"/>
      <c r="B18" s="533" t="s">
        <v>905</v>
      </c>
      <c r="C18" s="533"/>
      <c r="D18" s="501"/>
      <c r="E18" s="984" t="s">
        <v>85</v>
      </c>
      <c r="F18" s="505"/>
    </row>
    <row r="19" spans="1:6" s="504" customFormat="1" hidden="1" outlineLevel="2" x14ac:dyDescent="0.2">
      <c r="A19" s="78"/>
      <c r="B19" s="534" t="s">
        <v>906</v>
      </c>
      <c r="C19" s="534"/>
      <c r="D19" s="501"/>
      <c r="E19" s="984" t="s">
        <v>84</v>
      </c>
      <c r="F19" s="505"/>
    </row>
    <row r="20" spans="1:6" s="504" customFormat="1" hidden="1" outlineLevel="2" x14ac:dyDescent="0.2">
      <c r="A20" s="78"/>
      <c r="B20" s="534" t="s">
        <v>907</v>
      </c>
      <c r="C20" s="534"/>
      <c r="D20" s="501"/>
      <c r="E20" s="984" t="s">
        <v>84</v>
      </c>
      <c r="F20" s="505"/>
    </row>
    <row r="21" spans="1:6" s="504" customFormat="1" hidden="1" outlineLevel="2" x14ac:dyDescent="0.2">
      <c r="A21" s="78"/>
      <c r="B21" s="534" t="s">
        <v>908</v>
      </c>
      <c r="C21" s="534"/>
      <c r="D21" s="501"/>
      <c r="E21" s="984" t="s">
        <v>84</v>
      </c>
      <c r="F21" s="505"/>
    </row>
    <row r="22" spans="1:6" s="504" customFormat="1" hidden="1" outlineLevel="2" x14ac:dyDescent="0.2">
      <c r="A22" s="78"/>
      <c r="B22" s="534" t="s">
        <v>909</v>
      </c>
      <c r="C22" s="534"/>
      <c r="D22" s="501"/>
      <c r="E22" s="984" t="s">
        <v>84</v>
      </c>
      <c r="F22" s="505"/>
    </row>
    <row r="23" spans="1:6" s="504" customFormat="1" hidden="1" outlineLevel="2" x14ac:dyDescent="0.2">
      <c r="A23" s="78"/>
      <c r="B23" s="536" t="s">
        <v>910</v>
      </c>
      <c r="C23" s="536"/>
      <c r="D23" s="501"/>
      <c r="E23" s="535" t="str">
        <f>E17</f>
        <v>Cenovni razred II</v>
      </c>
      <c r="F23" s="505"/>
    </row>
    <row r="24" spans="1:6" s="504" customFormat="1" hidden="1" outlineLevel="2" x14ac:dyDescent="0.2">
      <c r="A24" s="78"/>
      <c r="B24" s="537" t="s">
        <v>911</v>
      </c>
      <c r="C24" s="537"/>
      <c r="D24" s="501"/>
      <c r="E24" s="984" t="s">
        <v>84</v>
      </c>
      <c r="F24" s="505"/>
    </row>
    <row r="25" spans="1:6" s="508" customFormat="1" hidden="1" outlineLevel="2" x14ac:dyDescent="0.2">
      <c r="A25" s="34"/>
      <c r="B25" s="534" t="s">
        <v>912</v>
      </c>
      <c r="C25" s="534"/>
      <c r="D25" s="505"/>
      <c r="E25" s="984" t="s">
        <v>84</v>
      </c>
      <c r="F25" s="505"/>
    </row>
    <row r="26" spans="1:6" s="78" customFormat="1" hidden="1" outlineLevel="2" x14ac:dyDescent="0.2">
      <c r="B26" s="592" t="s">
        <v>924</v>
      </c>
      <c r="C26" s="205"/>
      <c r="D26" s="552"/>
      <c r="E26" s="503" t="str">
        <f>_xlfn.IFNA(VLOOKUP(E15,'CENOVNI RAZREDI'!$B$7:$Q$92,16,FALSE),"/")</f>
        <v>/</v>
      </c>
      <c r="F26" s="210"/>
    </row>
    <row r="27" spans="1:6" s="78" customFormat="1" hidden="1" outlineLevel="2" x14ac:dyDescent="0.2">
      <c r="B27" s="637" t="s">
        <v>954</v>
      </c>
      <c r="C27" s="638"/>
      <c r="D27" s="639"/>
      <c r="E27" s="503" t="str">
        <f>_xlfn.IFNA(VLOOKUP(E15,'CENOVNI RAZREDI'!$B$7:$V$92,21,FALSE),"/")</f>
        <v>/</v>
      </c>
      <c r="F27" s="640"/>
    </row>
    <row r="28" spans="1:6" s="508" customFormat="1" hidden="1" outlineLevel="2" x14ac:dyDescent="0.2">
      <c r="A28" s="34"/>
      <c r="B28" s="533" t="s">
        <v>923</v>
      </c>
      <c r="C28" s="533"/>
      <c r="D28" s="506"/>
      <c r="E28" s="503" t="str">
        <f>_xlfn.IFNA(VLOOKUP(E15,'CENOVNI RAZREDI'!$B$7:$U$92,17,FALSE),"/")</f>
        <v>/</v>
      </c>
      <c r="F28" s="506"/>
    </row>
    <row r="29" spans="1:6" s="508" customFormat="1" hidden="1" outlineLevel="2" x14ac:dyDescent="0.2">
      <c r="A29" s="34"/>
      <c r="B29" s="533" t="s">
        <v>918</v>
      </c>
      <c r="C29" s="533"/>
      <c r="D29" s="506"/>
      <c r="E29" s="503" t="str">
        <f>_xlfn.IFNA(VLOOKUP(E15,'CENOVNI RAZREDI'!$B$7:$U$92,18,FALSE),"/")</f>
        <v>/</v>
      </c>
      <c r="F29" s="506"/>
    </row>
    <row r="30" spans="1:6" s="508" customFormat="1" hidden="1" outlineLevel="2" x14ac:dyDescent="0.2">
      <c r="A30" s="34"/>
      <c r="B30" s="533" t="s">
        <v>919</v>
      </c>
      <c r="C30" s="533"/>
      <c r="D30" s="506"/>
      <c r="E30" s="503" t="str">
        <f>_xlfn.IFNA(VLOOKUP(E15,'CENOVNI RAZREDI'!$B$7:$U$92,19,FALSE),"/")</f>
        <v>/</v>
      </c>
      <c r="F30" s="506"/>
    </row>
    <row r="31" spans="1:6" s="508" customFormat="1" hidden="1" outlineLevel="2" x14ac:dyDescent="0.2">
      <c r="A31" s="34"/>
      <c r="B31" s="533" t="s">
        <v>920</v>
      </c>
      <c r="C31" s="533"/>
      <c r="D31" s="506"/>
      <c r="E31" s="503" t="str">
        <f>_xlfn.IFNA(VLOOKUP(E15,'CENOVNI RAZREDI'!$B$7:$U$92,20,FALSE),"/")</f>
        <v>/</v>
      </c>
      <c r="F31" s="506"/>
    </row>
    <row r="32" spans="1:6" s="508" customFormat="1" hidden="1" outlineLevel="2" x14ac:dyDescent="0.2">
      <c r="A32" s="34"/>
      <c r="B32" s="533"/>
      <c r="C32" s="533"/>
      <c r="D32" s="533"/>
      <c r="E32" s="533"/>
      <c r="F32" s="533"/>
    </row>
    <row r="33" spans="1:27" s="78" customFormat="1" hidden="1" outlineLevel="2" x14ac:dyDescent="0.2">
      <c r="B33" s="532" t="s">
        <v>896</v>
      </c>
      <c r="C33" s="532"/>
      <c r="D33" s="554"/>
      <c r="E33" s="554"/>
      <c r="F33" s="398"/>
    </row>
    <row r="34" spans="1:27" s="538" customFormat="1" ht="12" hidden="1" outlineLevel="2" x14ac:dyDescent="0.2">
      <c r="B34" s="555" t="s">
        <v>893</v>
      </c>
      <c r="C34" s="555"/>
      <c r="D34" s="556"/>
      <c r="E34" s="557" t="str">
        <f>_xlfn.IFNA(CONCATENATE(VLOOKUP(E15,'CENOVNI RAZREDI'!$B$7:$J$92,8,FALSE)," - ",VLOOKUP(E15,'CENOVNI RAZREDI'!$B$7:$J$92,9,FALSE)),"")</f>
        <v/>
      </c>
      <c r="F34" s="558" t="s">
        <v>897</v>
      </c>
      <c r="G34" s="539"/>
      <c r="H34" s="508"/>
      <c r="I34" s="508"/>
      <c r="J34" s="508"/>
      <c r="K34" s="508"/>
      <c r="L34" s="508"/>
      <c r="M34" s="508"/>
      <c r="N34" s="508"/>
      <c r="O34" s="508"/>
    </row>
    <row r="35" spans="1:27" s="508" customFormat="1" ht="12" hidden="1" outlineLevel="2" x14ac:dyDescent="0.2">
      <c r="B35" s="558" t="s">
        <v>894</v>
      </c>
      <c r="C35" s="558"/>
      <c r="D35" s="558"/>
      <c r="E35" s="593">
        <v>1200</v>
      </c>
      <c r="F35" s="558" t="s">
        <v>897</v>
      </c>
      <c r="W35" s="529"/>
      <c r="X35" s="540"/>
      <c r="Y35" s="541"/>
      <c r="Z35" s="540"/>
      <c r="AA35" s="541"/>
    </row>
    <row r="36" spans="1:27" s="508" customFormat="1" ht="11.25" hidden="1" outlineLevel="2" x14ac:dyDescent="0.2">
      <c r="B36" s="558" t="s">
        <v>895</v>
      </c>
      <c r="C36" s="558"/>
      <c r="D36" s="559"/>
      <c r="E36" s="560">
        <f>E16*E35</f>
        <v>0</v>
      </c>
      <c r="F36" s="561" t="s">
        <v>89</v>
      </c>
      <c r="W36" s="529"/>
    </row>
    <row r="37" spans="1:27" s="508" customFormat="1" ht="11.25" hidden="1" outlineLevel="2" x14ac:dyDescent="0.2">
      <c r="B37" s="562" t="s">
        <v>62</v>
      </c>
      <c r="C37" s="562"/>
      <c r="D37" s="563">
        <f>_xlfn.IFNA(VLOOKUP(E15,'CENOVNI RAZREDI'!$B$7:$N$92,10,FALSE),0)</f>
        <v>0</v>
      </c>
      <c r="E37" s="564">
        <f>D37*E36</f>
        <v>0</v>
      </c>
      <c r="F37" s="565" t="s">
        <v>89</v>
      </c>
      <c r="W37" s="541"/>
    </row>
    <row r="38" spans="1:27" s="508" customFormat="1" ht="11.25" hidden="1" outlineLevel="2" x14ac:dyDescent="0.2">
      <c r="B38" s="562" t="s">
        <v>64</v>
      </c>
      <c r="C38" s="562"/>
      <c r="D38" s="563">
        <f>_xlfn.IFNA(VLOOKUP(E15,'CENOVNI RAZREDI'!$B$7:$N$92,12,FALSE),0)</f>
        <v>0</v>
      </c>
      <c r="E38" s="564">
        <f>D38*E36</f>
        <v>0</v>
      </c>
      <c r="F38" s="565" t="s">
        <v>89</v>
      </c>
      <c r="Y38" s="541"/>
      <c r="Z38" s="540"/>
      <c r="AA38" s="541"/>
    </row>
    <row r="39" spans="1:27" s="508" customFormat="1" ht="11.25" hidden="1" outlineLevel="2" x14ac:dyDescent="0.2">
      <c r="B39" s="562" t="s">
        <v>63</v>
      </c>
      <c r="C39" s="562"/>
      <c r="D39" s="563">
        <f>_xlfn.IFNA(VLOOKUP(E15,'CENOVNI RAZREDI'!$B$7:$N$92,11,FALSE),0)</f>
        <v>0</v>
      </c>
      <c r="E39" s="564">
        <f>D39*E36</f>
        <v>0</v>
      </c>
      <c r="F39" s="565" t="s">
        <v>89</v>
      </c>
      <c r="W39" s="541"/>
    </row>
    <row r="40" spans="1:27" s="508" customFormat="1" ht="11.25" hidden="1" outlineLevel="2" x14ac:dyDescent="0.2">
      <c r="B40" s="566" t="s">
        <v>366</v>
      </c>
      <c r="C40" s="566"/>
      <c r="D40" s="567">
        <f>_xlfn.IFNA(VLOOKUP(E15,'CENOVNI RAZREDI'!$B$7:$N$92,13,FALSE),0)</f>
        <v>0</v>
      </c>
      <c r="E40" s="568">
        <f>D40*E36</f>
        <v>0</v>
      </c>
      <c r="F40" s="569" t="s">
        <v>89</v>
      </c>
      <c r="W40" s="541"/>
    </row>
    <row r="41" spans="1:27" s="508" customFormat="1" ht="11.25" hidden="1" outlineLevel="2" x14ac:dyDescent="0.2">
      <c r="B41" s="531"/>
      <c r="C41" s="531"/>
      <c r="D41" s="530"/>
      <c r="E41" s="528"/>
      <c r="F41" s="529"/>
      <c r="W41" s="541"/>
    </row>
    <row r="42" spans="1:27" s="78" customFormat="1" outlineLevel="1" x14ac:dyDescent="0.2">
      <c r="B42" s="86" t="s">
        <v>737</v>
      </c>
      <c r="C42" s="86"/>
      <c r="D42" s="85"/>
      <c r="E42" s="551">
        <f>IFERROR(STAVBE!C27,0)</f>
        <v>0</v>
      </c>
      <c r="F42" s="394" t="s">
        <v>879</v>
      </c>
    </row>
    <row r="43" spans="1:27" s="78" customFormat="1" outlineLevel="1" x14ac:dyDescent="0.2">
      <c r="B43" s="86" t="s">
        <v>738</v>
      </c>
      <c r="C43" s="86"/>
      <c r="D43" s="85"/>
      <c r="E43" s="551">
        <f>IFERROR(STAVBE!C28,0)</f>
        <v>0</v>
      </c>
      <c r="F43" s="394" t="s">
        <v>879</v>
      </c>
    </row>
    <row r="44" spans="1:27" s="34" customFormat="1" outlineLevel="1" x14ac:dyDescent="0.2">
      <c r="A44" s="55"/>
      <c r="B44" s="55"/>
      <c r="C44" s="55"/>
      <c r="D44" s="56"/>
      <c r="E44" s="347"/>
      <c r="F44" s="57"/>
      <c r="Y44" s="37"/>
      <c r="Z44" s="36"/>
      <c r="AA44" s="37"/>
    </row>
    <row r="45" spans="1:27" s="43" customFormat="1" ht="15.75" outlineLevel="1" x14ac:dyDescent="0.2">
      <c r="A45" s="234" t="s">
        <v>889</v>
      </c>
      <c r="B45" s="42"/>
      <c r="C45" s="42"/>
      <c r="D45" s="42"/>
      <c r="E45" s="1319"/>
      <c r="F45" s="1319"/>
      <c r="G45" s="41"/>
      <c r="H45" s="41"/>
      <c r="I45" s="41"/>
      <c r="J45" s="41"/>
      <c r="K45" s="41"/>
      <c r="L45" s="41"/>
      <c r="M45" s="41"/>
      <c r="N45" s="41"/>
      <c r="O45" s="41"/>
    </row>
    <row r="46" spans="1:27" s="229" customFormat="1" ht="25.5" customHeight="1" outlineLevel="1" x14ac:dyDescent="0.2">
      <c r="B46" s="53" t="s">
        <v>722</v>
      </c>
      <c r="C46" s="53"/>
      <c r="D46" s="53"/>
      <c r="E46" s="1318"/>
      <c r="F46" s="1318"/>
      <c r="G46" s="34"/>
      <c r="H46" s="34"/>
      <c r="I46" s="34"/>
      <c r="J46" s="34"/>
      <c r="K46" s="34"/>
      <c r="L46" s="34"/>
      <c r="M46" s="34"/>
      <c r="N46" s="34"/>
      <c r="O46" s="34"/>
    </row>
    <row r="47" spans="1:27" s="34" customFormat="1" ht="14.25" outlineLevel="1" x14ac:dyDescent="0.2">
      <c r="B47" s="54" t="s">
        <v>92</v>
      </c>
      <c r="C47" s="54"/>
      <c r="D47" s="54"/>
      <c r="E47" s="500">
        <v>0</v>
      </c>
      <c r="F47" s="770" t="s">
        <v>1080</v>
      </c>
    </row>
    <row r="48" spans="1:27" s="78" customFormat="1" outlineLevel="1" collapsed="1" x14ac:dyDescent="0.2">
      <c r="B48" s="205" t="s">
        <v>904</v>
      </c>
      <c r="C48" s="205"/>
      <c r="D48" s="205"/>
      <c r="E48" s="500" t="s">
        <v>85</v>
      </c>
      <c r="F48" s="210"/>
    </row>
    <row r="49" spans="1:6" s="504" customFormat="1" hidden="1" outlineLevel="2" x14ac:dyDescent="0.2">
      <c r="A49" s="78"/>
      <c r="B49" s="533" t="s">
        <v>905</v>
      </c>
      <c r="C49" s="533"/>
      <c r="D49" s="501"/>
      <c r="E49" s="984" t="s">
        <v>84</v>
      </c>
      <c r="F49" s="505"/>
    </row>
    <row r="50" spans="1:6" s="504" customFormat="1" hidden="1" outlineLevel="2" x14ac:dyDescent="0.2">
      <c r="A50" s="78"/>
      <c r="B50" s="534" t="s">
        <v>906</v>
      </c>
      <c r="C50" s="534"/>
      <c r="D50" s="501"/>
      <c r="E50" s="984" t="s">
        <v>85</v>
      </c>
      <c r="F50" s="505"/>
    </row>
    <row r="51" spans="1:6" s="504" customFormat="1" hidden="1" outlineLevel="2" x14ac:dyDescent="0.2">
      <c r="A51" s="78"/>
      <c r="B51" s="534" t="s">
        <v>907</v>
      </c>
      <c r="C51" s="534"/>
      <c r="D51" s="501"/>
      <c r="E51" s="984" t="s">
        <v>85</v>
      </c>
      <c r="F51" s="505"/>
    </row>
    <row r="52" spans="1:6" s="504" customFormat="1" hidden="1" outlineLevel="2" x14ac:dyDescent="0.2">
      <c r="A52" s="78"/>
      <c r="B52" s="534" t="s">
        <v>908</v>
      </c>
      <c r="C52" s="534"/>
      <c r="D52" s="501"/>
      <c r="E52" s="984" t="s">
        <v>85</v>
      </c>
      <c r="F52" s="505"/>
    </row>
    <row r="53" spans="1:6" s="504" customFormat="1" hidden="1" outlineLevel="2" x14ac:dyDescent="0.2">
      <c r="A53" s="78"/>
      <c r="B53" s="534" t="s">
        <v>909</v>
      </c>
      <c r="C53" s="534"/>
      <c r="D53" s="501"/>
      <c r="E53" s="984" t="s">
        <v>85</v>
      </c>
      <c r="F53" s="505"/>
    </row>
    <row r="54" spans="1:6" s="504" customFormat="1" hidden="1" outlineLevel="2" x14ac:dyDescent="0.2">
      <c r="A54" s="78"/>
      <c r="B54" s="536" t="s">
        <v>910</v>
      </c>
      <c r="C54" s="536"/>
      <c r="D54" s="501"/>
      <c r="E54" s="535" t="str">
        <f>E48</f>
        <v>Cenovni razred II</v>
      </c>
      <c r="F54" s="505"/>
    </row>
    <row r="55" spans="1:6" s="504" customFormat="1" hidden="1" outlineLevel="2" x14ac:dyDescent="0.2">
      <c r="A55" s="78"/>
      <c r="B55" s="537" t="s">
        <v>911</v>
      </c>
      <c r="C55" s="537"/>
      <c r="D55" s="501"/>
      <c r="E55" s="984" t="s">
        <v>85</v>
      </c>
      <c r="F55" s="505"/>
    </row>
    <row r="56" spans="1:6" s="508" customFormat="1" hidden="1" outlineLevel="2" x14ac:dyDescent="0.2">
      <c r="A56" s="34"/>
      <c r="B56" s="534" t="s">
        <v>912</v>
      </c>
      <c r="C56" s="534"/>
      <c r="D56" s="505"/>
      <c r="E56" s="984" t="s">
        <v>85</v>
      </c>
      <c r="F56" s="505"/>
    </row>
    <row r="57" spans="1:6" s="78" customFormat="1" hidden="1" outlineLevel="2" x14ac:dyDescent="0.2">
      <c r="B57" s="592" t="s">
        <v>924</v>
      </c>
      <c r="C57" s="205"/>
      <c r="D57" s="552"/>
      <c r="E57" s="503" t="str">
        <f>_xlfn.IFNA(VLOOKUP(E46,'CENOVNI RAZREDI'!$B$7:$Q$92,16,FALSE),"/")</f>
        <v>/</v>
      </c>
      <c r="F57" s="210"/>
    </row>
    <row r="58" spans="1:6" s="78" customFormat="1" hidden="1" outlineLevel="2" x14ac:dyDescent="0.2">
      <c r="B58" s="637" t="s">
        <v>954</v>
      </c>
      <c r="C58" s="638"/>
      <c r="D58" s="639"/>
      <c r="E58" s="503" t="str">
        <f>_xlfn.IFNA(VLOOKUP(E46,'CENOVNI RAZREDI'!$B$7:$V$92,21,FALSE),"/")</f>
        <v>/</v>
      </c>
      <c r="F58" s="640"/>
    </row>
    <row r="59" spans="1:6" s="508" customFormat="1" hidden="1" outlineLevel="2" x14ac:dyDescent="0.2">
      <c r="A59" s="34"/>
      <c r="B59" s="533" t="s">
        <v>923</v>
      </c>
      <c r="C59" s="533"/>
      <c r="D59" s="506"/>
      <c r="E59" s="503" t="str">
        <f>_xlfn.IFNA(VLOOKUP(E46,'CENOVNI RAZREDI'!$B$7:$U$92,17,FALSE),"/")</f>
        <v>/</v>
      </c>
      <c r="F59" s="506"/>
    </row>
    <row r="60" spans="1:6" s="508" customFormat="1" hidden="1" outlineLevel="2" x14ac:dyDescent="0.2">
      <c r="A60" s="34"/>
      <c r="B60" s="533" t="s">
        <v>918</v>
      </c>
      <c r="C60" s="533"/>
      <c r="D60" s="506"/>
      <c r="E60" s="503" t="str">
        <f>_xlfn.IFNA(VLOOKUP(E46,'CENOVNI RAZREDI'!$B$7:$U$92,18,FALSE),"/")</f>
        <v>/</v>
      </c>
      <c r="F60" s="506"/>
    </row>
    <row r="61" spans="1:6" s="508" customFormat="1" hidden="1" outlineLevel="2" x14ac:dyDescent="0.2">
      <c r="A61" s="34"/>
      <c r="B61" s="533" t="s">
        <v>919</v>
      </c>
      <c r="C61" s="533"/>
      <c r="D61" s="506"/>
      <c r="E61" s="503" t="str">
        <f>_xlfn.IFNA(VLOOKUP(E46,'CENOVNI RAZREDI'!$B$7:$U$92,19,FALSE),"/")</f>
        <v>/</v>
      </c>
      <c r="F61" s="506"/>
    </row>
    <row r="62" spans="1:6" s="508" customFormat="1" hidden="1" outlineLevel="2" x14ac:dyDescent="0.2">
      <c r="A62" s="34"/>
      <c r="B62" s="533" t="s">
        <v>920</v>
      </c>
      <c r="C62" s="533"/>
      <c r="D62" s="506"/>
      <c r="E62" s="503" t="str">
        <f>_xlfn.IFNA(VLOOKUP(E46,'CENOVNI RAZREDI'!$B$7:$U$92,20,FALSE),"/")</f>
        <v>/</v>
      </c>
      <c r="F62" s="506"/>
    </row>
    <row r="63" spans="1:6" s="508" customFormat="1" hidden="1" outlineLevel="2" x14ac:dyDescent="0.2">
      <c r="A63" s="34"/>
      <c r="B63" s="533"/>
      <c r="C63" s="533"/>
      <c r="D63" s="533"/>
      <c r="E63" s="533"/>
      <c r="F63" s="533"/>
    </row>
    <row r="64" spans="1:6" s="78" customFormat="1" hidden="1" outlineLevel="2" x14ac:dyDescent="0.2">
      <c r="B64" s="532" t="s">
        <v>896</v>
      </c>
      <c r="C64" s="532"/>
      <c r="D64" s="554"/>
      <c r="E64" s="554"/>
      <c r="F64" s="398"/>
    </row>
    <row r="65" spans="1:27" s="538" customFormat="1" ht="12" hidden="1" outlineLevel="2" x14ac:dyDescent="0.2">
      <c r="B65" s="555" t="s">
        <v>893</v>
      </c>
      <c r="C65" s="555"/>
      <c r="D65" s="556"/>
      <c r="E65" s="557" t="str">
        <f>_xlfn.IFNA(CONCATENATE(VLOOKUP(E46,'CENOVNI RAZREDI'!$B$7:$J$92,8,FALSE)," - ",VLOOKUP(E46,'CENOVNI RAZREDI'!$B$7:$J$92,9,FALSE)),"")</f>
        <v/>
      </c>
      <c r="F65" s="558" t="s">
        <v>897</v>
      </c>
      <c r="G65" s="539"/>
      <c r="H65" s="508"/>
      <c r="I65" s="508"/>
      <c r="J65" s="508"/>
      <c r="K65" s="508"/>
      <c r="L65" s="508"/>
      <c r="M65" s="508"/>
      <c r="N65" s="508"/>
      <c r="O65" s="508"/>
    </row>
    <row r="66" spans="1:27" s="508" customFormat="1" ht="12" hidden="1" outlineLevel="2" x14ac:dyDescent="0.2">
      <c r="B66" s="558" t="s">
        <v>894</v>
      </c>
      <c r="C66" s="558"/>
      <c r="D66" s="558"/>
      <c r="E66" s="593">
        <v>0</v>
      </c>
      <c r="F66" s="558" t="s">
        <v>897</v>
      </c>
      <c r="W66" s="529"/>
      <c r="X66" s="540"/>
      <c r="Y66" s="541"/>
      <c r="Z66" s="540"/>
      <c r="AA66" s="541"/>
    </row>
    <row r="67" spans="1:27" s="508" customFormat="1" ht="11.25" hidden="1" outlineLevel="2" x14ac:dyDescent="0.2">
      <c r="B67" s="558" t="s">
        <v>895</v>
      </c>
      <c r="C67" s="558"/>
      <c r="D67" s="559"/>
      <c r="E67" s="560">
        <f>E47*E66</f>
        <v>0</v>
      </c>
      <c r="F67" s="561" t="s">
        <v>89</v>
      </c>
      <c r="W67" s="529"/>
    </row>
    <row r="68" spans="1:27" s="508" customFormat="1" ht="11.25" hidden="1" outlineLevel="2" x14ac:dyDescent="0.2">
      <c r="B68" s="562" t="s">
        <v>62</v>
      </c>
      <c r="C68" s="562"/>
      <c r="D68" s="563">
        <f>_xlfn.IFNA(VLOOKUP(E46,'CENOVNI RAZREDI'!$B$7:$N$92,10,FALSE),0)</f>
        <v>0</v>
      </c>
      <c r="E68" s="564">
        <f>D68*E67</f>
        <v>0</v>
      </c>
      <c r="F68" s="565" t="s">
        <v>89</v>
      </c>
      <c r="W68" s="541"/>
    </row>
    <row r="69" spans="1:27" s="508" customFormat="1" ht="11.25" hidden="1" outlineLevel="2" x14ac:dyDescent="0.2">
      <c r="B69" s="562" t="s">
        <v>64</v>
      </c>
      <c r="C69" s="562"/>
      <c r="D69" s="563">
        <f>_xlfn.IFNA(VLOOKUP(E46,'CENOVNI RAZREDI'!$B$7:$N$92,12,FALSE),0)</f>
        <v>0</v>
      </c>
      <c r="E69" s="564">
        <f>D69*E67</f>
        <v>0</v>
      </c>
      <c r="F69" s="565" t="s">
        <v>89</v>
      </c>
      <c r="Y69" s="541"/>
      <c r="Z69" s="540"/>
      <c r="AA69" s="541"/>
    </row>
    <row r="70" spans="1:27" s="508" customFormat="1" ht="11.25" hidden="1" outlineLevel="2" x14ac:dyDescent="0.2">
      <c r="B70" s="562" t="s">
        <v>63</v>
      </c>
      <c r="C70" s="562"/>
      <c r="D70" s="563">
        <f>_xlfn.IFNA(VLOOKUP(E46,'CENOVNI RAZREDI'!$B$7:$N$92,11,FALSE),0)</f>
        <v>0</v>
      </c>
      <c r="E70" s="564">
        <f>D70*E67</f>
        <v>0</v>
      </c>
      <c r="F70" s="565" t="s">
        <v>89</v>
      </c>
      <c r="W70" s="541"/>
    </row>
    <row r="71" spans="1:27" s="508" customFormat="1" ht="11.25" hidden="1" outlineLevel="2" x14ac:dyDescent="0.2">
      <c r="B71" s="566" t="s">
        <v>366</v>
      </c>
      <c r="C71" s="566"/>
      <c r="D71" s="567">
        <f>_xlfn.IFNA(VLOOKUP(E46,'CENOVNI RAZREDI'!$B$7:$N$92,13,FALSE),0)</f>
        <v>0</v>
      </c>
      <c r="E71" s="568">
        <f>D71*E67</f>
        <v>0</v>
      </c>
      <c r="F71" s="569" t="s">
        <v>89</v>
      </c>
      <c r="W71" s="541"/>
    </row>
    <row r="72" spans="1:27" s="508" customFormat="1" ht="11.25" hidden="1" outlineLevel="2" x14ac:dyDescent="0.2">
      <c r="B72" s="531"/>
      <c r="C72" s="531"/>
      <c r="D72" s="530"/>
      <c r="E72" s="528"/>
      <c r="F72" s="529"/>
      <c r="W72" s="541"/>
    </row>
    <row r="73" spans="1:27" s="78" customFormat="1" outlineLevel="1" x14ac:dyDescent="0.2">
      <c r="B73" s="86" t="s">
        <v>737</v>
      </c>
      <c r="C73" s="86"/>
      <c r="D73" s="85"/>
      <c r="E73" s="551">
        <f>IFERROR(STAVBE!C49,0)</f>
        <v>0</v>
      </c>
      <c r="F73" s="394" t="s">
        <v>879</v>
      </c>
    </row>
    <row r="74" spans="1:27" s="78" customFormat="1" outlineLevel="1" x14ac:dyDescent="0.2">
      <c r="B74" s="86" t="s">
        <v>738</v>
      </c>
      <c r="C74" s="86"/>
      <c r="D74" s="85"/>
      <c r="E74" s="551">
        <f>IFERROR(STAVBE!C50,0)</f>
        <v>0</v>
      </c>
      <c r="F74" s="394" t="s">
        <v>879</v>
      </c>
    </row>
    <row r="75" spans="1:27" s="34" customFormat="1" outlineLevel="1" x14ac:dyDescent="0.2">
      <c r="A75" s="55"/>
      <c r="B75" s="55"/>
      <c r="C75" s="55"/>
      <c r="D75" s="56"/>
      <c r="E75" s="347"/>
      <c r="F75" s="57"/>
      <c r="Y75" s="37"/>
      <c r="Z75" s="36"/>
      <c r="AA75" s="37"/>
    </row>
    <row r="76" spans="1:27" s="43" customFormat="1" ht="15.75" outlineLevel="1" x14ac:dyDescent="0.2">
      <c r="A76" s="234" t="s">
        <v>890</v>
      </c>
      <c r="B76" s="42"/>
      <c r="C76" s="42"/>
      <c r="D76" s="42"/>
      <c r="E76" s="1319"/>
      <c r="F76" s="1319"/>
      <c r="G76" s="41"/>
      <c r="H76" s="41"/>
      <c r="I76" s="41"/>
      <c r="J76" s="41"/>
      <c r="K76" s="41"/>
      <c r="L76" s="41"/>
      <c r="M76" s="41"/>
      <c r="N76" s="41"/>
      <c r="O76" s="41"/>
    </row>
    <row r="77" spans="1:27" s="229" customFormat="1" ht="27.75" customHeight="1" outlineLevel="1" x14ac:dyDescent="0.2">
      <c r="B77" s="53" t="s">
        <v>722</v>
      </c>
      <c r="C77" s="53"/>
      <c r="D77" s="53"/>
      <c r="E77" s="1318"/>
      <c r="F77" s="1318"/>
      <c r="G77" s="34"/>
      <c r="H77" s="34"/>
      <c r="I77" s="34"/>
      <c r="J77" s="34"/>
      <c r="K77" s="34"/>
      <c r="L77" s="34"/>
      <c r="M77" s="34"/>
      <c r="N77" s="34"/>
      <c r="O77" s="34"/>
    </row>
    <row r="78" spans="1:27" s="34" customFormat="1" ht="14.25" outlineLevel="1" x14ac:dyDescent="0.2">
      <c r="B78" s="54" t="s">
        <v>92</v>
      </c>
      <c r="C78" s="54"/>
      <c r="D78" s="54"/>
      <c r="E78" s="500">
        <v>0</v>
      </c>
      <c r="F78" s="770" t="s">
        <v>1080</v>
      </c>
    </row>
    <row r="79" spans="1:27" s="78" customFormat="1" outlineLevel="1" collapsed="1" x14ac:dyDescent="0.2">
      <c r="B79" s="205" t="s">
        <v>904</v>
      </c>
      <c r="C79" s="205"/>
      <c r="D79" s="205"/>
      <c r="E79" s="500" t="s">
        <v>85</v>
      </c>
    </row>
    <row r="80" spans="1:27" s="504" customFormat="1" hidden="1" outlineLevel="2" x14ac:dyDescent="0.2">
      <c r="A80" s="78"/>
      <c r="B80" s="533" t="s">
        <v>905</v>
      </c>
      <c r="C80" s="533"/>
      <c r="D80" s="501"/>
      <c r="E80" s="984" t="s">
        <v>84</v>
      </c>
      <c r="F80" s="505"/>
    </row>
    <row r="81" spans="1:15" s="504" customFormat="1" hidden="1" outlineLevel="2" x14ac:dyDescent="0.2">
      <c r="A81" s="78"/>
      <c r="B81" s="534" t="s">
        <v>906</v>
      </c>
      <c r="C81" s="534"/>
      <c r="D81" s="501"/>
      <c r="E81" s="984" t="s">
        <v>85</v>
      </c>
      <c r="F81" s="505"/>
    </row>
    <row r="82" spans="1:15" s="504" customFormat="1" hidden="1" outlineLevel="2" x14ac:dyDescent="0.2">
      <c r="A82" s="78"/>
      <c r="B82" s="534" t="s">
        <v>907</v>
      </c>
      <c r="C82" s="534"/>
      <c r="D82" s="501"/>
      <c r="E82" s="984" t="s">
        <v>85</v>
      </c>
      <c r="F82" s="505"/>
    </row>
    <row r="83" spans="1:15" s="504" customFormat="1" hidden="1" outlineLevel="2" x14ac:dyDescent="0.2">
      <c r="A83" s="78"/>
      <c r="B83" s="534" t="s">
        <v>908</v>
      </c>
      <c r="C83" s="534"/>
      <c r="D83" s="501"/>
      <c r="E83" s="984" t="s">
        <v>85</v>
      </c>
      <c r="F83" s="505"/>
    </row>
    <row r="84" spans="1:15" s="504" customFormat="1" hidden="1" outlineLevel="2" x14ac:dyDescent="0.2">
      <c r="A84" s="78"/>
      <c r="B84" s="534" t="s">
        <v>909</v>
      </c>
      <c r="C84" s="534"/>
      <c r="D84" s="501"/>
      <c r="E84" s="984" t="s">
        <v>85</v>
      </c>
      <c r="F84" s="505"/>
    </row>
    <row r="85" spans="1:15" s="504" customFormat="1" hidden="1" outlineLevel="2" x14ac:dyDescent="0.2">
      <c r="A85" s="78"/>
      <c r="B85" s="536" t="s">
        <v>910</v>
      </c>
      <c r="C85" s="536"/>
      <c r="D85" s="501"/>
      <c r="E85" s="535" t="str">
        <f>E79</f>
        <v>Cenovni razred II</v>
      </c>
      <c r="F85" s="505"/>
    </row>
    <row r="86" spans="1:15" s="504" customFormat="1" hidden="1" outlineLevel="2" x14ac:dyDescent="0.2">
      <c r="A86" s="78"/>
      <c r="B86" s="537" t="s">
        <v>911</v>
      </c>
      <c r="C86" s="537"/>
      <c r="D86" s="501"/>
      <c r="E86" s="984" t="s">
        <v>85</v>
      </c>
      <c r="F86" s="505"/>
    </row>
    <row r="87" spans="1:15" s="508" customFormat="1" hidden="1" outlineLevel="2" x14ac:dyDescent="0.2">
      <c r="A87" s="34"/>
      <c r="B87" s="534" t="s">
        <v>912</v>
      </c>
      <c r="C87" s="534"/>
      <c r="D87" s="505"/>
      <c r="E87" s="984" t="s">
        <v>85</v>
      </c>
      <c r="F87" s="505"/>
    </row>
    <row r="88" spans="1:15" s="78" customFormat="1" hidden="1" outlineLevel="2" x14ac:dyDescent="0.2">
      <c r="B88" s="592" t="s">
        <v>924</v>
      </c>
      <c r="C88" s="205"/>
      <c r="D88" s="502"/>
      <c r="E88" s="503" t="str">
        <f>_xlfn.IFNA(VLOOKUP(E77,'CENOVNI RAZREDI'!$B$7:$Q$92,16,FALSE),"/")</f>
        <v>/</v>
      </c>
      <c r="F88" s="510"/>
    </row>
    <row r="89" spans="1:15" s="78" customFormat="1" hidden="1" outlineLevel="2" x14ac:dyDescent="0.2">
      <c r="B89" s="637" t="s">
        <v>954</v>
      </c>
      <c r="C89" s="638"/>
      <c r="D89" s="639"/>
      <c r="E89" s="503" t="str">
        <f>_xlfn.IFNA(VLOOKUP(E77,'CENOVNI RAZREDI'!$B$7:$V$92,21,FALSE),"/")</f>
        <v>/</v>
      </c>
      <c r="F89" s="640"/>
    </row>
    <row r="90" spans="1:15" s="508" customFormat="1" hidden="1" outlineLevel="2" x14ac:dyDescent="0.2">
      <c r="A90" s="34"/>
      <c r="B90" s="533" t="s">
        <v>923</v>
      </c>
      <c r="C90" s="533"/>
      <c r="D90" s="506"/>
      <c r="E90" s="503" t="str">
        <f>_xlfn.IFNA(VLOOKUP(E77,'CENOVNI RAZREDI'!$B$7:$U$92,17,FALSE),"/")</f>
        <v>/</v>
      </c>
      <c r="F90" s="506"/>
    </row>
    <row r="91" spans="1:15" s="508" customFormat="1" hidden="1" outlineLevel="2" x14ac:dyDescent="0.2">
      <c r="A91" s="34"/>
      <c r="B91" s="533" t="s">
        <v>918</v>
      </c>
      <c r="C91" s="533"/>
      <c r="D91" s="506"/>
      <c r="E91" s="503" t="str">
        <f>_xlfn.IFNA(VLOOKUP(E77,'CENOVNI RAZREDI'!$B$7:$U$92,18,FALSE),"/")</f>
        <v>/</v>
      </c>
      <c r="F91" s="506"/>
    </row>
    <row r="92" spans="1:15" s="508" customFormat="1" hidden="1" outlineLevel="2" x14ac:dyDescent="0.2">
      <c r="A92" s="34"/>
      <c r="B92" s="533" t="s">
        <v>919</v>
      </c>
      <c r="C92" s="533"/>
      <c r="D92" s="506"/>
      <c r="E92" s="503" t="str">
        <f>_xlfn.IFNA(VLOOKUP(E77,'CENOVNI RAZREDI'!$B$7:$U$92,19,FALSE),"/")</f>
        <v>/</v>
      </c>
      <c r="F92" s="506"/>
    </row>
    <row r="93" spans="1:15" s="508" customFormat="1" hidden="1" outlineLevel="2" x14ac:dyDescent="0.2">
      <c r="A93" s="34"/>
      <c r="B93" s="533" t="s">
        <v>920</v>
      </c>
      <c r="C93" s="533"/>
      <c r="D93" s="506"/>
      <c r="E93" s="503" t="str">
        <f>_xlfn.IFNA(VLOOKUP(E77,'CENOVNI RAZREDI'!$B$7:$U$92,20,FALSE),"/")</f>
        <v>/</v>
      </c>
      <c r="F93" s="506"/>
    </row>
    <row r="94" spans="1:15" s="78" customFormat="1" hidden="1" outlineLevel="2" x14ac:dyDescent="0.2">
      <c r="B94" s="86"/>
      <c r="C94" s="86"/>
      <c r="D94" s="85"/>
      <c r="E94" s="85"/>
      <c r="F94" s="54"/>
    </row>
    <row r="95" spans="1:15" s="78" customFormat="1" hidden="1" outlineLevel="2" x14ac:dyDescent="0.2">
      <c r="B95" s="532" t="s">
        <v>896</v>
      </c>
      <c r="C95" s="532"/>
      <c r="D95" s="554"/>
      <c r="E95" s="554"/>
      <c r="F95" s="398"/>
    </row>
    <row r="96" spans="1:15" s="538" customFormat="1" ht="12" hidden="1" outlineLevel="2" x14ac:dyDescent="0.2">
      <c r="B96" s="555" t="s">
        <v>893</v>
      </c>
      <c r="C96" s="555"/>
      <c r="D96" s="556"/>
      <c r="E96" s="557" t="str">
        <f>_xlfn.IFNA(CONCATENATE(VLOOKUP(E77,'CENOVNI RAZREDI'!$B$7:$J$92,8,FALSE)," - ",VLOOKUP(E77,'CENOVNI RAZREDI'!$B$7:$J$92,9,FALSE)),"")</f>
        <v/>
      </c>
      <c r="F96" s="558" t="s">
        <v>897</v>
      </c>
      <c r="G96" s="539"/>
      <c r="H96" s="508"/>
      <c r="I96" s="508"/>
      <c r="J96" s="508"/>
      <c r="K96" s="508"/>
      <c r="L96" s="508"/>
      <c r="M96" s="508"/>
      <c r="N96" s="508"/>
      <c r="O96" s="508"/>
    </row>
    <row r="97" spans="1:27" s="508" customFormat="1" ht="12" hidden="1" outlineLevel="2" x14ac:dyDescent="0.2">
      <c r="B97" s="558" t="s">
        <v>894</v>
      </c>
      <c r="C97" s="558"/>
      <c r="D97" s="558"/>
      <c r="E97" s="593">
        <v>0</v>
      </c>
      <c r="F97" s="558" t="s">
        <v>897</v>
      </c>
      <c r="W97" s="529"/>
      <c r="X97" s="540"/>
      <c r="Y97" s="541"/>
      <c r="Z97" s="540"/>
      <c r="AA97" s="541"/>
    </row>
    <row r="98" spans="1:27" s="508" customFormat="1" ht="11.25" hidden="1" outlineLevel="2" x14ac:dyDescent="0.2">
      <c r="B98" s="558" t="s">
        <v>895</v>
      </c>
      <c r="C98" s="558"/>
      <c r="D98" s="559"/>
      <c r="E98" s="560">
        <f>E78*E97</f>
        <v>0</v>
      </c>
      <c r="F98" s="561" t="s">
        <v>89</v>
      </c>
      <c r="W98" s="529"/>
    </row>
    <row r="99" spans="1:27" s="508" customFormat="1" ht="11.25" hidden="1" outlineLevel="2" x14ac:dyDescent="0.2">
      <c r="B99" s="562" t="s">
        <v>62</v>
      </c>
      <c r="C99" s="562"/>
      <c r="D99" s="563">
        <f>_xlfn.IFNA(VLOOKUP(E77,'CENOVNI RAZREDI'!$B$7:$N$92,10,FALSE),0)</f>
        <v>0</v>
      </c>
      <c r="E99" s="564">
        <f>D99*E98</f>
        <v>0</v>
      </c>
      <c r="F99" s="565" t="s">
        <v>89</v>
      </c>
      <c r="W99" s="541"/>
    </row>
    <row r="100" spans="1:27" s="508" customFormat="1" ht="11.25" hidden="1" outlineLevel="2" x14ac:dyDescent="0.2">
      <c r="B100" s="562" t="s">
        <v>64</v>
      </c>
      <c r="C100" s="562"/>
      <c r="D100" s="563">
        <f>_xlfn.IFNA(VLOOKUP(E77,'CENOVNI RAZREDI'!$B$7:$N$92,12,FALSE),0)</f>
        <v>0</v>
      </c>
      <c r="E100" s="564">
        <f>D100*E98</f>
        <v>0</v>
      </c>
      <c r="F100" s="565" t="s">
        <v>89</v>
      </c>
      <c r="Y100" s="541"/>
      <c r="Z100" s="540"/>
      <c r="AA100" s="541"/>
    </row>
    <row r="101" spans="1:27" s="508" customFormat="1" ht="11.25" hidden="1" outlineLevel="2" x14ac:dyDescent="0.2">
      <c r="B101" s="562" t="s">
        <v>63</v>
      </c>
      <c r="C101" s="562"/>
      <c r="D101" s="563">
        <f>_xlfn.IFNA(VLOOKUP(E77,'CENOVNI RAZREDI'!$B$7:$N$92,11,FALSE),0)</f>
        <v>0</v>
      </c>
      <c r="E101" s="564">
        <f>D101*E98</f>
        <v>0</v>
      </c>
      <c r="F101" s="565" t="s">
        <v>89</v>
      </c>
      <c r="W101" s="541"/>
    </row>
    <row r="102" spans="1:27" s="508" customFormat="1" ht="11.25" hidden="1" outlineLevel="2" x14ac:dyDescent="0.2">
      <c r="B102" s="566" t="s">
        <v>366</v>
      </c>
      <c r="C102" s="566"/>
      <c r="D102" s="567">
        <f>_xlfn.IFNA(VLOOKUP(E77,'CENOVNI RAZREDI'!$B$7:$N$92,13,FALSE),0)</f>
        <v>0</v>
      </c>
      <c r="E102" s="568">
        <f>D102*E98</f>
        <v>0</v>
      </c>
      <c r="F102" s="569" t="s">
        <v>89</v>
      </c>
      <c r="W102" s="541"/>
    </row>
    <row r="103" spans="1:27" s="508" customFormat="1" ht="11.25" hidden="1" outlineLevel="2" x14ac:dyDescent="0.2">
      <c r="B103" s="531"/>
      <c r="C103" s="531"/>
      <c r="D103" s="530"/>
      <c r="E103" s="528"/>
      <c r="F103" s="529"/>
      <c r="W103" s="541"/>
    </row>
    <row r="104" spans="1:27" s="78" customFormat="1" outlineLevel="1" x14ac:dyDescent="0.2">
      <c r="B104" s="86" t="s">
        <v>737</v>
      </c>
      <c r="C104" s="86"/>
      <c r="D104" s="85"/>
      <c r="E104" s="551">
        <f>IFERROR(STAVBE!C71,0)</f>
        <v>0</v>
      </c>
      <c r="F104" s="394" t="s">
        <v>879</v>
      </c>
    </row>
    <row r="105" spans="1:27" s="78" customFormat="1" outlineLevel="1" x14ac:dyDescent="0.2">
      <c r="B105" s="86" t="s">
        <v>738</v>
      </c>
      <c r="C105" s="86"/>
      <c r="D105" s="85"/>
      <c r="E105" s="551">
        <f>IFERROR(STAVBE!C72,0)</f>
        <v>0</v>
      </c>
      <c r="F105" s="394" t="s">
        <v>879</v>
      </c>
    </row>
    <row r="106" spans="1:27" s="34" customFormat="1" outlineLevel="1" x14ac:dyDescent="0.2">
      <c r="A106" s="55"/>
      <c r="B106" s="55"/>
      <c r="C106" s="55"/>
      <c r="D106" s="56"/>
      <c r="E106" s="347"/>
      <c r="F106" s="57"/>
      <c r="Y106" s="37"/>
      <c r="Z106" s="36"/>
      <c r="AA106" s="37"/>
    </row>
    <row r="107" spans="1:27" s="43" customFormat="1" ht="15.75" outlineLevel="1" x14ac:dyDescent="0.2">
      <c r="A107" s="234" t="s">
        <v>891</v>
      </c>
      <c r="B107" s="42"/>
      <c r="C107" s="42"/>
      <c r="D107" s="42"/>
      <c r="E107" s="1319"/>
      <c r="F107" s="1319"/>
      <c r="G107" s="41"/>
      <c r="H107" s="41"/>
      <c r="I107" s="41"/>
      <c r="J107" s="41"/>
      <c r="K107" s="41"/>
      <c r="L107" s="41"/>
      <c r="M107" s="41"/>
      <c r="N107" s="41"/>
      <c r="O107" s="41"/>
    </row>
    <row r="108" spans="1:27" s="229" customFormat="1" ht="25.5" customHeight="1" outlineLevel="1" x14ac:dyDescent="0.2">
      <c r="B108" s="53" t="s">
        <v>722</v>
      </c>
      <c r="C108" s="53"/>
      <c r="D108" s="53"/>
      <c r="E108" s="1318"/>
      <c r="F108" s="1318"/>
      <c r="G108" s="34"/>
      <c r="H108" s="34"/>
      <c r="I108" s="34"/>
      <c r="J108" s="34"/>
      <c r="K108" s="34"/>
      <c r="L108" s="34"/>
      <c r="M108" s="34"/>
      <c r="N108" s="34"/>
      <c r="O108" s="34"/>
    </row>
    <row r="109" spans="1:27" s="34" customFormat="1" ht="14.25" outlineLevel="1" x14ac:dyDescent="0.2">
      <c r="B109" s="54" t="s">
        <v>92</v>
      </c>
      <c r="C109" s="54"/>
      <c r="D109" s="54"/>
      <c r="E109" s="500">
        <v>0</v>
      </c>
      <c r="F109" s="770" t="s">
        <v>1080</v>
      </c>
    </row>
    <row r="110" spans="1:27" s="78" customFormat="1" outlineLevel="1" collapsed="1" x14ac:dyDescent="0.2">
      <c r="B110" s="205" t="s">
        <v>904</v>
      </c>
      <c r="C110" s="205"/>
      <c r="D110" s="205"/>
      <c r="E110" s="500" t="s">
        <v>85</v>
      </c>
    </row>
    <row r="111" spans="1:27" s="504" customFormat="1" hidden="1" outlineLevel="2" x14ac:dyDescent="0.2">
      <c r="A111" s="78"/>
      <c r="B111" s="533" t="s">
        <v>905</v>
      </c>
      <c r="C111" s="533"/>
      <c r="D111" s="501"/>
      <c r="E111" s="984" t="s">
        <v>84</v>
      </c>
      <c r="F111" s="505"/>
    </row>
    <row r="112" spans="1:27" s="504" customFormat="1" hidden="1" outlineLevel="2" x14ac:dyDescent="0.2">
      <c r="A112" s="78"/>
      <c r="B112" s="534" t="s">
        <v>906</v>
      </c>
      <c r="C112" s="534"/>
      <c r="D112" s="501"/>
      <c r="E112" s="984" t="s">
        <v>85</v>
      </c>
      <c r="F112" s="505"/>
    </row>
    <row r="113" spans="1:27" s="504" customFormat="1" hidden="1" outlineLevel="2" x14ac:dyDescent="0.2">
      <c r="A113" s="78"/>
      <c r="B113" s="534" t="s">
        <v>907</v>
      </c>
      <c r="C113" s="534"/>
      <c r="D113" s="501"/>
      <c r="E113" s="984" t="s">
        <v>85</v>
      </c>
      <c r="F113" s="505"/>
    </row>
    <row r="114" spans="1:27" s="504" customFormat="1" hidden="1" outlineLevel="2" x14ac:dyDescent="0.2">
      <c r="A114" s="78"/>
      <c r="B114" s="534" t="s">
        <v>908</v>
      </c>
      <c r="C114" s="534"/>
      <c r="D114" s="501"/>
      <c r="E114" s="984" t="s">
        <v>85</v>
      </c>
      <c r="F114" s="505"/>
    </row>
    <row r="115" spans="1:27" s="504" customFormat="1" hidden="1" outlineLevel="2" x14ac:dyDescent="0.2">
      <c r="A115" s="78"/>
      <c r="B115" s="534" t="s">
        <v>909</v>
      </c>
      <c r="C115" s="534"/>
      <c r="D115" s="501"/>
      <c r="E115" s="984" t="s">
        <v>85</v>
      </c>
      <c r="F115" s="505"/>
    </row>
    <row r="116" spans="1:27" s="504" customFormat="1" hidden="1" outlineLevel="2" x14ac:dyDescent="0.2">
      <c r="A116" s="78"/>
      <c r="B116" s="536" t="s">
        <v>910</v>
      </c>
      <c r="C116" s="536"/>
      <c r="D116" s="501"/>
      <c r="E116" s="535" t="str">
        <f>E110</f>
        <v>Cenovni razred II</v>
      </c>
      <c r="F116" s="505"/>
    </row>
    <row r="117" spans="1:27" s="504" customFormat="1" hidden="1" outlineLevel="2" x14ac:dyDescent="0.2">
      <c r="A117" s="78"/>
      <c r="B117" s="537" t="s">
        <v>911</v>
      </c>
      <c r="C117" s="537"/>
      <c r="D117" s="501"/>
      <c r="E117" s="984" t="s">
        <v>85</v>
      </c>
      <c r="F117" s="505"/>
    </row>
    <row r="118" spans="1:27" s="508" customFormat="1" hidden="1" outlineLevel="2" x14ac:dyDescent="0.2">
      <c r="A118" s="34"/>
      <c r="B118" s="534" t="s">
        <v>912</v>
      </c>
      <c r="C118" s="534"/>
      <c r="D118" s="505"/>
      <c r="E118" s="984" t="s">
        <v>85</v>
      </c>
      <c r="F118" s="505"/>
    </row>
    <row r="119" spans="1:27" s="78" customFormat="1" hidden="1" outlineLevel="2" x14ac:dyDescent="0.2">
      <c r="B119" s="592" t="s">
        <v>924</v>
      </c>
      <c r="C119" s="205"/>
      <c r="D119" s="502"/>
      <c r="E119" s="503" t="str">
        <f>_xlfn.IFNA(VLOOKUP(E108,'CENOVNI RAZREDI'!$B$7:$Q$92,16,FALSE),"/")</f>
        <v>/</v>
      </c>
      <c r="F119" s="510"/>
    </row>
    <row r="120" spans="1:27" s="78" customFormat="1" hidden="1" outlineLevel="2" x14ac:dyDescent="0.2">
      <c r="B120" s="637" t="s">
        <v>954</v>
      </c>
      <c r="C120" s="638"/>
      <c r="D120" s="639"/>
      <c r="E120" s="503" t="str">
        <f>_xlfn.IFNA(VLOOKUP(E108,'CENOVNI RAZREDI'!$B$7:$V$92,21,FALSE),"/")</f>
        <v>/</v>
      </c>
      <c r="F120" s="640"/>
    </row>
    <row r="121" spans="1:27" s="508" customFormat="1" hidden="1" outlineLevel="2" x14ac:dyDescent="0.2">
      <c r="A121" s="34"/>
      <c r="B121" s="533" t="s">
        <v>923</v>
      </c>
      <c r="C121" s="533"/>
      <c r="D121" s="506"/>
      <c r="E121" s="503" t="str">
        <f>_xlfn.IFNA(VLOOKUP(E108,'CENOVNI RAZREDI'!$B$7:$U$92,17,FALSE),"/")</f>
        <v>/</v>
      </c>
      <c r="F121" s="506"/>
    </row>
    <row r="122" spans="1:27" s="508" customFormat="1" hidden="1" outlineLevel="2" x14ac:dyDescent="0.2">
      <c r="A122" s="34"/>
      <c r="B122" s="533" t="s">
        <v>918</v>
      </c>
      <c r="C122" s="533"/>
      <c r="D122" s="506"/>
      <c r="E122" s="503" t="str">
        <f>_xlfn.IFNA(VLOOKUP(E108,'CENOVNI RAZREDI'!$B$7:$U$92,18,FALSE),"/")</f>
        <v>/</v>
      </c>
      <c r="F122" s="506"/>
    </row>
    <row r="123" spans="1:27" s="508" customFormat="1" hidden="1" outlineLevel="2" x14ac:dyDescent="0.2">
      <c r="A123" s="34"/>
      <c r="B123" s="533" t="s">
        <v>919</v>
      </c>
      <c r="C123" s="533"/>
      <c r="D123" s="506"/>
      <c r="E123" s="503" t="str">
        <f>_xlfn.IFNA(VLOOKUP(E108,'CENOVNI RAZREDI'!$B$7:$U$92,19,FALSE),"/")</f>
        <v>/</v>
      </c>
      <c r="F123" s="506"/>
    </row>
    <row r="124" spans="1:27" s="508" customFormat="1" hidden="1" outlineLevel="2" x14ac:dyDescent="0.2">
      <c r="A124" s="34"/>
      <c r="B124" s="533" t="s">
        <v>920</v>
      </c>
      <c r="C124" s="533"/>
      <c r="D124" s="506"/>
      <c r="E124" s="503" t="str">
        <f>_xlfn.IFNA(VLOOKUP(E108,'CENOVNI RAZREDI'!$B$7:$U$92,20,FALSE),"/")</f>
        <v>/</v>
      </c>
      <c r="F124" s="506"/>
    </row>
    <row r="125" spans="1:27" s="34" customFormat="1" hidden="1" outlineLevel="2" x14ac:dyDescent="0.2">
      <c r="B125" s="54"/>
      <c r="C125" s="54"/>
      <c r="D125" s="54"/>
      <c r="E125" s="54"/>
      <c r="F125" s="54"/>
    </row>
    <row r="126" spans="1:27" s="78" customFormat="1" hidden="1" outlineLevel="2" x14ac:dyDescent="0.2">
      <c r="B126" s="532" t="s">
        <v>896</v>
      </c>
      <c r="C126" s="532"/>
      <c r="D126" s="554"/>
      <c r="E126" s="554"/>
      <c r="F126" s="398"/>
    </row>
    <row r="127" spans="1:27" s="538" customFormat="1" ht="12" hidden="1" outlineLevel="2" x14ac:dyDescent="0.2">
      <c r="B127" s="555" t="s">
        <v>893</v>
      </c>
      <c r="C127" s="555"/>
      <c r="D127" s="556"/>
      <c r="E127" s="557" t="str">
        <f>_xlfn.IFNA(CONCATENATE(VLOOKUP(E108,'CENOVNI RAZREDI'!$B$7:$J$92,8,FALSE)," - ",VLOOKUP(E108,'CENOVNI RAZREDI'!$B$7:$J$92,9,FALSE)),"")</f>
        <v/>
      </c>
      <c r="F127" s="558" t="s">
        <v>897</v>
      </c>
      <c r="G127" s="539"/>
      <c r="H127" s="508"/>
      <c r="I127" s="508"/>
      <c r="J127" s="508"/>
      <c r="K127" s="508"/>
      <c r="L127" s="508"/>
      <c r="M127" s="508"/>
      <c r="N127" s="508"/>
      <c r="O127" s="508"/>
    </row>
    <row r="128" spans="1:27" s="508" customFormat="1" ht="12" hidden="1" outlineLevel="2" x14ac:dyDescent="0.2">
      <c r="B128" s="558" t="s">
        <v>894</v>
      </c>
      <c r="C128" s="558"/>
      <c r="D128" s="558"/>
      <c r="E128" s="593">
        <v>0</v>
      </c>
      <c r="F128" s="558" t="s">
        <v>897</v>
      </c>
      <c r="W128" s="529"/>
      <c r="X128" s="540"/>
      <c r="Y128" s="541"/>
      <c r="Z128" s="540"/>
      <c r="AA128" s="541"/>
    </row>
    <row r="129" spans="1:27" s="508" customFormat="1" ht="11.25" hidden="1" outlineLevel="2" x14ac:dyDescent="0.2">
      <c r="B129" s="558" t="s">
        <v>895</v>
      </c>
      <c r="C129" s="558"/>
      <c r="D129" s="559"/>
      <c r="E129" s="560">
        <f>E109*E128</f>
        <v>0</v>
      </c>
      <c r="F129" s="561" t="s">
        <v>89</v>
      </c>
      <c r="W129" s="529"/>
    </row>
    <row r="130" spans="1:27" s="508" customFormat="1" ht="11.25" hidden="1" outlineLevel="2" x14ac:dyDescent="0.2">
      <c r="B130" s="562" t="s">
        <v>62</v>
      </c>
      <c r="C130" s="562"/>
      <c r="D130" s="563">
        <f>_xlfn.IFNA(VLOOKUP(E108,'CENOVNI RAZREDI'!$B$7:$N$92,10,FALSE),0)</f>
        <v>0</v>
      </c>
      <c r="E130" s="564">
        <f>D130*E129</f>
        <v>0</v>
      </c>
      <c r="F130" s="565" t="s">
        <v>89</v>
      </c>
      <c r="W130" s="541"/>
    </row>
    <row r="131" spans="1:27" s="508" customFormat="1" ht="11.25" hidden="1" outlineLevel="2" x14ac:dyDescent="0.2">
      <c r="B131" s="562" t="s">
        <v>64</v>
      </c>
      <c r="C131" s="562"/>
      <c r="D131" s="563">
        <f>_xlfn.IFNA(VLOOKUP(E108,'CENOVNI RAZREDI'!$B$7:$N$92,12,FALSE),0)</f>
        <v>0</v>
      </c>
      <c r="E131" s="564">
        <f>D131*E129</f>
        <v>0</v>
      </c>
      <c r="F131" s="565" t="s">
        <v>89</v>
      </c>
      <c r="Y131" s="541"/>
      <c r="Z131" s="540"/>
      <c r="AA131" s="541"/>
    </row>
    <row r="132" spans="1:27" s="508" customFormat="1" ht="11.25" hidden="1" outlineLevel="2" x14ac:dyDescent="0.2">
      <c r="B132" s="562" t="s">
        <v>63</v>
      </c>
      <c r="C132" s="562"/>
      <c r="D132" s="563">
        <f>_xlfn.IFNA(VLOOKUP(E108,'CENOVNI RAZREDI'!$B$7:$N$92,11,FALSE),0)</f>
        <v>0</v>
      </c>
      <c r="E132" s="564">
        <f>D132*E129</f>
        <v>0</v>
      </c>
      <c r="F132" s="565" t="s">
        <v>89</v>
      </c>
      <c r="W132" s="541"/>
    </row>
    <row r="133" spans="1:27" s="508" customFormat="1" ht="11.25" hidden="1" outlineLevel="2" x14ac:dyDescent="0.2">
      <c r="B133" s="566" t="s">
        <v>366</v>
      </c>
      <c r="C133" s="566"/>
      <c r="D133" s="567">
        <f>_xlfn.IFNA(VLOOKUP(E108,'CENOVNI RAZREDI'!$B$7:$N$92,13,FALSE),0)</f>
        <v>0</v>
      </c>
      <c r="E133" s="568">
        <f>D133*E129</f>
        <v>0</v>
      </c>
      <c r="F133" s="569" t="s">
        <v>89</v>
      </c>
      <c r="W133" s="541"/>
    </row>
    <row r="134" spans="1:27" s="508" customFormat="1" ht="11.25" hidden="1" outlineLevel="2" x14ac:dyDescent="0.2">
      <c r="B134" s="531"/>
      <c r="C134" s="531"/>
      <c r="D134" s="530"/>
      <c r="E134" s="528"/>
      <c r="F134" s="529"/>
      <c r="W134" s="541"/>
    </row>
    <row r="135" spans="1:27" s="78" customFormat="1" outlineLevel="1" x14ac:dyDescent="0.2">
      <c r="B135" s="86" t="s">
        <v>737</v>
      </c>
      <c r="C135" s="86"/>
      <c r="D135" s="85"/>
      <c r="E135" s="551">
        <f>IFERROR(STAVBE!C93,0)</f>
        <v>0</v>
      </c>
      <c r="F135" s="394" t="s">
        <v>879</v>
      </c>
    </row>
    <row r="136" spans="1:27" s="78" customFormat="1" outlineLevel="1" x14ac:dyDescent="0.2">
      <c r="B136" s="86" t="s">
        <v>738</v>
      </c>
      <c r="C136" s="86"/>
      <c r="D136" s="85"/>
      <c r="E136" s="551">
        <f>IFERROR(STAVBE!C94,0)</f>
        <v>0</v>
      </c>
      <c r="F136" s="394" t="s">
        <v>879</v>
      </c>
    </row>
    <row r="137" spans="1:27" s="34" customFormat="1" outlineLevel="1" x14ac:dyDescent="0.2">
      <c r="A137" s="55"/>
      <c r="B137" s="55"/>
      <c r="C137" s="55"/>
      <c r="D137" s="56"/>
      <c r="E137" s="347"/>
      <c r="F137" s="57"/>
      <c r="Y137" s="37"/>
      <c r="Z137" s="36"/>
      <c r="AA137" s="37"/>
    </row>
    <row r="138" spans="1:27" s="43" customFormat="1" ht="15.75" outlineLevel="1" x14ac:dyDescent="0.2">
      <c r="A138" s="234" t="s">
        <v>892</v>
      </c>
      <c r="B138" s="42"/>
      <c r="C138" s="42"/>
      <c r="D138" s="42"/>
      <c r="E138" s="1319"/>
      <c r="F138" s="1319"/>
      <c r="G138" s="41"/>
      <c r="H138" s="41"/>
      <c r="I138" s="41"/>
      <c r="J138" s="41"/>
      <c r="K138" s="41"/>
      <c r="L138" s="41"/>
      <c r="M138" s="41"/>
      <c r="N138" s="41"/>
      <c r="O138" s="41"/>
    </row>
    <row r="139" spans="1:27" s="229" customFormat="1" ht="25.5" customHeight="1" outlineLevel="1" x14ac:dyDescent="0.2">
      <c r="B139" s="53" t="s">
        <v>722</v>
      </c>
      <c r="C139" s="53"/>
      <c r="D139" s="53"/>
      <c r="E139" s="1318"/>
      <c r="F139" s="1318"/>
      <c r="G139" s="34"/>
      <c r="H139" s="34"/>
      <c r="I139" s="34"/>
      <c r="J139" s="34"/>
      <c r="K139" s="34"/>
      <c r="L139" s="34"/>
      <c r="M139" s="34"/>
      <c r="N139" s="34"/>
      <c r="O139" s="34"/>
    </row>
    <row r="140" spans="1:27" s="34" customFormat="1" ht="14.25" outlineLevel="1" x14ac:dyDescent="0.2">
      <c r="B140" s="54" t="s">
        <v>92</v>
      </c>
      <c r="C140" s="54"/>
      <c r="D140" s="54"/>
      <c r="E140" s="500">
        <v>0</v>
      </c>
      <c r="F140" s="770" t="s">
        <v>1080</v>
      </c>
    </row>
    <row r="141" spans="1:27" s="78" customFormat="1" outlineLevel="1" collapsed="1" x14ac:dyDescent="0.2">
      <c r="B141" s="205" t="s">
        <v>904</v>
      </c>
      <c r="C141" s="205"/>
      <c r="D141" s="205"/>
      <c r="E141" s="500" t="s">
        <v>85</v>
      </c>
    </row>
    <row r="142" spans="1:27" s="504" customFormat="1" hidden="1" outlineLevel="2" x14ac:dyDescent="0.2">
      <c r="A142" s="78"/>
      <c r="B142" s="533" t="s">
        <v>905</v>
      </c>
      <c r="C142" s="533"/>
      <c r="D142" s="501"/>
      <c r="E142" s="984" t="s">
        <v>84</v>
      </c>
      <c r="F142" s="505"/>
    </row>
    <row r="143" spans="1:27" s="504" customFormat="1" hidden="1" outlineLevel="2" x14ac:dyDescent="0.2">
      <c r="A143" s="78"/>
      <c r="B143" s="534" t="s">
        <v>906</v>
      </c>
      <c r="C143" s="534"/>
      <c r="D143" s="501"/>
      <c r="E143" s="984" t="s">
        <v>85</v>
      </c>
      <c r="F143" s="505"/>
    </row>
    <row r="144" spans="1:27" s="504" customFormat="1" hidden="1" outlineLevel="2" x14ac:dyDescent="0.2">
      <c r="A144" s="78"/>
      <c r="B144" s="534" t="s">
        <v>907</v>
      </c>
      <c r="C144" s="534"/>
      <c r="D144" s="501"/>
      <c r="E144" s="984" t="s">
        <v>85</v>
      </c>
      <c r="F144" s="505"/>
    </row>
    <row r="145" spans="1:27" s="504" customFormat="1" hidden="1" outlineLevel="2" x14ac:dyDescent="0.2">
      <c r="A145" s="78"/>
      <c r="B145" s="534" t="s">
        <v>908</v>
      </c>
      <c r="C145" s="534"/>
      <c r="D145" s="501"/>
      <c r="E145" s="984" t="s">
        <v>85</v>
      </c>
      <c r="F145" s="505"/>
    </row>
    <row r="146" spans="1:27" s="504" customFormat="1" hidden="1" outlineLevel="2" x14ac:dyDescent="0.2">
      <c r="A146" s="78"/>
      <c r="B146" s="534" t="s">
        <v>909</v>
      </c>
      <c r="C146" s="534"/>
      <c r="D146" s="501"/>
      <c r="E146" s="984" t="s">
        <v>85</v>
      </c>
      <c r="F146" s="505"/>
    </row>
    <row r="147" spans="1:27" s="504" customFormat="1" hidden="1" outlineLevel="2" x14ac:dyDescent="0.2">
      <c r="A147" s="78"/>
      <c r="B147" s="536" t="s">
        <v>910</v>
      </c>
      <c r="C147" s="536"/>
      <c r="D147" s="501"/>
      <c r="E147" s="535" t="str">
        <f>E141</f>
        <v>Cenovni razred II</v>
      </c>
      <c r="F147" s="505"/>
    </row>
    <row r="148" spans="1:27" s="504" customFormat="1" hidden="1" outlineLevel="2" x14ac:dyDescent="0.2">
      <c r="A148" s="78"/>
      <c r="B148" s="537" t="s">
        <v>911</v>
      </c>
      <c r="C148" s="537"/>
      <c r="D148" s="501"/>
      <c r="E148" s="984" t="s">
        <v>85</v>
      </c>
      <c r="F148" s="505"/>
    </row>
    <row r="149" spans="1:27" s="508" customFormat="1" hidden="1" outlineLevel="2" x14ac:dyDescent="0.2">
      <c r="A149" s="34"/>
      <c r="B149" s="534" t="s">
        <v>912</v>
      </c>
      <c r="C149" s="534"/>
      <c r="D149" s="505"/>
      <c r="E149" s="984" t="s">
        <v>85</v>
      </c>
      <c r="F149" s="505"/>
    </row>
    <row r="150" spans="1:27" s="78" customFormat="1" hidden="1" outlineLevel="2" x14ac:dyDescent="0.2">
      <c r="B150" s="592" t="s">
        <v>924</v>
      </c>
      <c r="C150" s="205"/>
      <c r="D150" s="502"/>
      <c r="E150" s="503" t="str">
        <f>_xlfn.IFNA(VLOOKUP(E139,'CENOVNI RAZREDI'!$B$7:$Q$92,16,FALSE),"/")</f>
        <v>/</v>
      </c>
      <c r="F150" s="510"/>
    </row>
    <row r="151" spans="1:27" s="78" customFormat="1" hidden="1" outlineLevel="2" x14ac:dyDescent="0.2">
      <c r="B151" s="637" t="s">
        <v>954</v>
      </c>
      <c r="C151" s="638"/>
      <c r="D151" s="639"/>
      <c r="E151" s="503" t="str">
        <f>_xlfn.IFNA(VLOOKUP(E139,'CENOVNI RAZREDI'!$B$7:$V$92,21,FALSE),"/")</f>
        <v>/</v>
      </c>
      <c r="F151" s="640"/>
    </row>
    <row r="152" spans="1:27" s="508" customFormat="1" hidden="1" outlineLevel="2" x14ac:dyDescent="0.2">
      <c r="A152" s="34"/>
      <c r="B152" s="533" t="s">
        <v>923</v>
      </c>
      <c r="C152" s="533"/>
      <c r="D152" s="506"/>
      <c r="E152" s="503" t="str">
        <f>_xlfn.IFNA(VLOOKUP(E139,'CENOVNI RAZREDI'!$B$7:$U$92,17,FALSE),"/")</f>
        <v>/</v>
      </c>
      <c r="F152" s="506"/>
    </row>
    <row r="153" spans="1:27" s="508" customFormat="1" hidden="1" outlineLevel="2" x14ac:dyDescent="0.2">
      <c r="A153" s="34"/>
      <c r="B153" s="533" t="s">
        <v>918</v>
      </c>
      <c r="C153" s="533"/>
      <c r="D153" s="506"/>
      <c r="E153" s="503" t="str">
        <f>_xlfn.IFNA(VLOOKUP(E139,'CENOVNI RAZREDI'!$B$7:$U$92,18,FALSE),"/")</f>
        <v>/</v>
      </c>
      <c r="F153" s="506"/>
    </row>
    <row r="154" spans="1:27" s="508" customFormat="1" hidden="1" outlineLevel="2" x14ac:dyDescent="0.2">
      <c r="A154" s="34"/>
      <c r="B154" s="533" t="s">
        <v>919</v>
      </c>
      <c r="C154" s="533"/>
      <c r="D154" s="506"/>
      <c r="E154" s="503" t="str">
        <f>_xlfn.IFNA(VLOOKUP(E139,'CENOVNI RAZREDI'!$B$7:$U$92,19,FALSE),"/")</f>
        <v>/</v>
      </c>
      <c r="F154" s="506"/>
    </row>
    <row r="155" spans="1:27" s="508" customFormat="1" hidden="1" outlineLevel="2" x14ac:dyDescent="0.2">
      <c r="A155" s="34"/>
      <c r="B155" s="533" t="s">
        <v>920</v>
      </c>
      <c r="C155" s="533"/>
      <c r="D155" s="506"/>
      <c r="E155" s="503" t="str">
        <f>_xlfn.IFNA(VLOOKUP(E139,'CENOVNI RAZREDI'!$B$7:$U$92,20,FALSE),"/")</f>
        <v>/</v>
      </c>
      <c r="F155" s="506"/>
    </row>
    <row r="156" spans="1:27" s="34" customFormat="1" hidden="1" outlineLevel="2" x14ac:dyDescent="0.2">
      <c r="B156" s="54"/>
      <c r="C156" s="54"/>
      <c r="D156" s="54"/>
      <c r="E156" s="54"/>
      <c r="F156" s="54"/>
    </row>
    <row r="157" spans="1:27" s="78" customFormat="1" hidden="1" outlineLevel="2" x14ac:dyDescent="0.2">
      <c r="B157" s="532" t="s">
        <v>896</v>
      </c>
      <c r="C157" s="532"/>
      <c r="D157" s="554"/>
      <c r="E157" s="554"/>
      <c r="F157" s="398"/>
    </row>
    <row r="158" spans="1:27" s="538" customFormat="1" ht="12" hidden="1" outlineLevel="2" x14ac:dyDescent="0.2">
      <c r="B158" s="555" t="s">
        <v>893</v>
      </c>
      <c r="C158" s="555"/>
      <c r="D158" s="556"/>
      <c r="E158" s="557" t="str">
        <f>_xlfn.IFNA(CONCATENATE(VLOOKUP(E139,'CENOVNI RAZREDI'!$B$7:$J$92,8,FALSE)," - ",VLOOKUP(E139,'CENOVNI RAZREDI'!$B$7:$J$92,9,FALSE)),"")</f>
        <v/>
      </c>
      <c r="F158" s="558" t="s">
        <v>897</v>
      </c>
      <c r="G158" s="539"/>
      <c r="H158" s="508"/>
      <c r="I158" s="508"/>
      <c r="J158" s="508"/>
      <c r="K158" s="508"/>
      <c r="L158" s="508"/>
      <c r="M158" s="508"/>
      <c r="N158" s="508"/>
      <c r="O158" s="508"/>
    </row>
    <row r="159" spans="1:27" s="508" customFormat="1" ht="12" hidden="1" outlineLevel="2" x14ac:dyDescent="0.2">
      <c r="B159" s="558" t="s">
        <v>894</v>
      </c>
      <c r="C159" s="558"/>
      <c r="D159" s="558"/>
      <c r="E159" s="593">
        <v>0</v>
      </c>
      <c r="F159" s="558" t="s">
        <v>897</v>
      </c>
      <c r="W159" s="529"/>
      <c r="X159" s="540"/>
      <c r="Y159" s="541"/>
      <c r="Z159" s="540"/>
      <c r="AA159" s="541"/>
    </row>
    <row r="160" spans="1:27" s="508" customFormat="1" ht="11.25" hidden="1" outlineLevel="2" x14ac:dyDescent="0.2">
      <c r="B160" s="558" t="s">
        <v>895</v>
      </c>
      <c r="C160" s="558"/>
      <c r="D160" s="559"/>
      <c r="E160" s="560">
        <f>E140*E159</f>
        <v>0</v>
      </c>
      <c r="F160" s="561" t="s">
        <v>89</v>
      </c>
      <c r="W160" s="529"/>
    </row>
    <row r="161" spans="1:27" s="508" customFormat="1" ht="11.25" hidden="1" outlineLevel="2" x14ac:dyDescent="0.2">
      <c r="B161" s="562" t="s">
        <v>62</v>
      </c>
      <c r="C161" s="562"/>
      <c r="D161" s="563">
        <f>_xlfn.IFNA(VLOOKUP(E139,'CENOVNI RAZREDI'!$B$7:$N$92,10,FALSE),0)</f>
        <v>0</v>
      </c>
      <c r="E161" s="564">
        <f>D161*E160</f>
        <v>0</v>
      </c>
      <c r="F161" s="565" t="s">
        <v>89</v>
      </c>
      <c r="W161" s="541"/>
    </row>
    <row r="162" spans="1:27" s="508" customFormat="1" ht="11.25" hidden="1" outlineLevel="2" x14ac:dyDescent="0.2">
      <c r="B162" s="562" t="s">
        <v>64</v>
      </c>
      <c r="C162" s="562"/>
      <c r="D162" s="563">
        <f>_xlfn.IFNA(VLOOKUP(E139,'CENOVNI RAZREDI'!$B$7:$N$92,12,FALSE),0)</f>
        <v>0</v>
      </c>
      <c r="E162" s="564">
        <f>D162*E160</f>
        <v>0</v>
      </c>
      <c r="F162" s="565" t="s">
        <v>89</v>
      </c>
      <c r="Y162" s="541"/>
      <c r="Z162" s="540"/>
      <c r="AA162" s="541"/>
    </row>
    <row r="163" spans="1:27" s="508" customFormat="1" ht="11.25" hidden="1" outlineLevel="2" x14ac:dyDescent="0.2">
      <c r="B163" s="562" t="s">
        <v>63</v>
      </c>
      <c r="C163" s="562"/>
      <c r="D163" s="563">
        <f>_xlfn.IFNA(VLOOKUP(E139,'CENOVNI RAZREDI'!$B$7:$N$92,11,FALSE),0)</f>
        <v>0</v>
      </c>
      <c r="E163" s="564">
        <f>D163*E160</f>
        <v>0</v>
      </c>
      <c r="F163" s="565" t="s">
        <v>89</v>
      </c>
      <c r="W163" s="541"/>
    </row>
    <row r="164" spans="1:27" s="508" customFormat="1" ht="11.25" hidden="1" outlineLevel="2" x14ac:dyDescent="0.2">
      <c r="B164" s="566" t="s">
        <v>366</v>
      </c>
      <c r="C164" s="566"/>
      <c r="D164" s="567">
        <f>_xlfn.IFNA(VLOOKUP(E139,'CENOVNI RAZREDI'!$B$7:$N$92,13,FALSE),0)</f>
        <v>0</v>
      </c>
      <c r="E164" s="568">
        <f>D164*E160</f>
        <v>0</v>
      </c>
      <c r="F164" s="569" t="s">
        <v>89</v>
      </c>
      <c r="W164" s="541"/>
    </row>
    <row r="165" spans="1:27" s="508" customFormat="1" ht="11.25" hidden="1" outlineLevel="2" x14ac:dyDescent="0.2">
      <c r="B165" s="531"/>
      <c r="C165" s="531"/>
      <c r="D165" s="530"/>
      <c r="E165" s="528"/>
      <c r="F165" s="529"/>
      <c r="W165" s="541"/>
    </row>
    <row r="166" spans="1:27" s="78" customFormat="1" outlineLevel="1" x14ac:dyDescent="0.2">
      <c r="B166" s="86" t="s">
        <v>737</v>
      </c>
      <c r="C166" s="86"/>
      <c r="D166" s="85"/>
      <c r="E166" s="551">
        <f>IFERROR(STAVBE!C115,0)</f>
        <v>0</v>
      </c>
      <c r="F166" s="394" t="s">
        <v>879</v>
      </c>
    </row>
    <row r="167" spans="1:27" s="78" customFormat="1" outlineLevel="1" x14ac:dyDescent="0.2">
      <c r="B167" s="86" t="s">
        <v>738</v>
      </c>
      <c r="C167" s="86"/>
      <c r="D167" s="85"/>
      <c r="E167" s="551">
        <f>IFERROR(STAVBE!C116,0)</f>
        <v>0</v>
      </c>
      <c r="F167" s="394" t="s">
        <v>879</v>
      </c>
    </row>
    <row r="168" spans="1:27" s="41" customFormat="1" ht="16.5" outlineLevel="1" thickBot="1" x14ac:dyDescent="0.25">
      <c r="A168" s="68"/>
      <c r="B168" s="68"/>
      <c r="C168" s="68"/>
      <c r="D168" s="69"/>
      <c r="E168" s="348"/>
      <c r="F168" s="70"/>
      <c r="Y168" s="50"/>
      <c r="Z168" s="49"/>
      <c r="AA168" s="50"/>
    </row>
    <row r="169" spans="1:27" s="18" customFormat="1" ht="15.75" x14ac:dyDescent="0.25">
      <c r="A169" s="231" t="s">
        <v>2</v>
      </c>
      <c r="B169" s="231"/>
      <c r="C169" s="231"/>
      <c r="D169" s="231"/>
      <c r="E169" s="343"/>
      <c r="F169" s="231"/>
    </row>
    <row r="170" spans="1:27" s="18" customFormat="1" ht="15.75" x14ac:dyDescent="0.25">
      <c r="A170" s="780"/>
      <c r="B170" s="778"/>
      <c r="C170" s="778"/>
      <c r="D170" s="778"/>
      <c r="E170" s="779"/>
      <c r="F170" s="778"/>
    </row>
    <row r="171" spans="1:27" s="18" customFormat="1" ht="32.25" customHeight="1" x14ac:dyDescent="0.25">
      <c r="A171" s="64"/>
      <c r="B171" s="1321" t="s">
        <v>1078</v>
      </c>
      <c r="C171" s="1321"/>
      <c r="D171" s="1321"/>
      <c r="E171" s="985"/>
      <c r="F171" s="1304">
        <v>1</v>
      </c>
    </row>
    <row r="172" spans="1:27" s="18" customFormat="1" ht="15.75" x14ac:dyDescent="0.25">
      <c r="A172" s="64"/>
      <c r="B172" s="54" t="s">
        <v>1079</v>
      </c>
      <c r="C172" s="54"/>
      <c r="D172" s="54"/>
      <c r="E172" s="986"/>
      <c r="F172" s="54"/>
    </row>
    <row r="173" spans="1:27" s="18" customFormat="1" ht="15.75" outlineLevel="1" x14ac:dyDescent="0.25">
      <c r="A173" s="776"/>
      <c r="B173" s="776"/>
      <c r="C173" s="776"/>
      <c r="D173" s="776"/>
      <c r="E173" s="777"/>
      <c r="F173" s="776"/>
    </row>
    <row r="174" spans="1:27" s="43" customFormat="1" ht="15.75" outlineLevel="1" collapsed="1" x14ac:dyDescent="0.2">
      <c r="A174" s="234" t="s">
        <v>1087</v>
      </c>
      <c r="B174" s="42"/>
      <c r="C174" s="42"/>
      <c r="D174" s="42"/>
      <c r="E174" s="1319"/>
      <c r="F174" s="1319"/>
      <c r="G174" s="41"/>
      <c r="H174" s="41"/>
      <c r="I174" s="41"/>
      <c r="J174" s="41"/>
      <c r="K174" s="41"/>
      <c r="L174" s="41"/>
      <c r="M174" s="41"/>
      <c r="N174" s="41"/>
      <c r="O174" s="41"/>
    </row>
    <row r="175" spans="1:27" s="43" customFormat="1" ht="32.65" customHeight="1" outlineLevel="1" x14ac:dyDescent="0.2">
      <c r="B175" s="53" t="s">
        <v>219</v>
      </c>
      <c r="C175" s="42"/>
      <c r="D175" s="44"/>
      <c r="E175" s="1318"/>
      <c r="F175" s="1318"/>
      <c r="G175" s="41"/>
      <c r="H175" s="41"/>
      <c r="I175" s="41"/>
      <c r="J175" s="41"/>
      <c r="K175" s="41"/>
      <c r="L175" s="41"/>
      <c r="M175" s="41"/>
      <c r="N175" s="41"/>
      <c r="O175" s="41"/>
    </row>
    <row r="176" spans="1:27" s="41" customFormat="1" ht="15.75" outlineLevel="1" x14ac:dyDescent="0.2">
      <c r="B176" s="54" t="s">
        <v>1059</v>
      </c>
      <c r="C176" s="46"/>
      <c r="D176" s="47"/>
      <c r="E176" s="771">
        <v>0</v>
      </c>
      <c r="F176" s="770" t="s">
        <v>1080</v>
      </c>
    </row>
    <row r="177" spans="1:27" s="78" customFormat="1" outlineLevel="1" x14ac:dyDescent="0.2">
      <c r="B177" s="205" t="s">
        <v>1061</v>
      </c>
      <c r="C177" s="205"/>
      <c r="D177" s="205"/>
      <c r="E177" s="500"/>
    </row>
    <row r="178" spans="1:27" s="43" customFormat="1" ht="15.75" outlineLevel="1" x14ac:dyDescent="0.2">
      <c r="B178" s="53" t="s">
        <v>853</v>
      </c>
      <c r="C178" s="42"/>
      <c r="D178" s="44"/>
      <c r="E178" s="345" t="str">
        <f>_xlfn.IFNA(VLOOKUP(E175,'CENOVNI RAZREDI'!$B$114:$I$170,8),"")</f>
        <v/>
      </c>
      <c r="F178" s="54" t="s">
        <v>213</v>
      </c>
      <c r="G178" s="41"/>
      <c r="H178" s="41"/>
      <c r="I178" s="41"/>
      <c r="J178" s="41"/>
      <c r="K178" s="41"/>
      <c r="L178" s="41"/>
      <c r="M178" s="41"/>
      <c r="N178" s="41"/>
      <c r="O178" s="41"/>
    </row>
    <row r="179" spans="1:27" s="41" customFormat="1" ht="15.75" outlineLevel="1" x14ac:dyDescent="0.2">
      <c r="B179" s="54" t="s">
        <v>1058</v>
      </c>
      <c r="C179" s="46"/>
      <c r="D179" s="45"/>
      <c r="E179" s="771"/>
      <c r="F179" s="770" t="s">
        <v>1081</v>
      </c>
      <c r="W179" s="48"/>
      <c r="X179" s="49"/>
      <c r="Y179" s="50"/>
      <c r="Z179" s="49"/>
      <c r="AA179" s="50"/>
    </row>
    <row r="180" spans="1:27" s="41" customFormat="1" ht="15.75" outlineLevel="1" x14ac:dyDescent="0.2">
      <c r="B180" s="54" t="s">
        <v>1057</v>
      </c>
      <c r="C180" s="46"/>
      <c r="D180" s="46"/>
      <c r="E180" s="772">
        <f>E176*E179</f>
        <v>0</v>
      </c>
      <c r="F180" s="773" t="s">
        <v>89</v>
      </c>
      <c r="W180" s="48"/>
    </row>
    <row r="181" spans="1:27" s="508" customFormat="1" ht="11.25" outlineLevel="1" x14ac:dyDescent="0.2">
      <c r="B181" s="531"/>
      <c r="C181" s="531"/>
      <c r="D181" s="530"/>
      <c r="E181" s="528"/>
      <c r="F181" s="529"/>
      <c r="W181" s="541"/>
    </row>
    <row r="182" spans="1:27" s="78" customFormat="1" outlineLevel="1" x14ac:dyDescent="0.2">
      <c r="B182" s="86" t="s">
        <v>737</v>
      </c>
      <c r="C182" s="86"/>
      <c r="D182" s="85"/>
      <c r="E182" s="551">
        <f>'NOTRANJA OPREMA'!F58</f>
        <v>0</v>
      </c>
      <c r="F182" s="394" t="s">
        <v>879</v>
      </c>
    </row>
    <row r="183" spans="1:27" s="78" customFormat="1" outlineLevel="1" x14ac:dyDescent="0.2">
      <c r="B183" s="86" t="s">
        <v>738</v>
      </c>
      <c r="C183" s="86"/>
      <c r="D183" s="85"/>
      <c r="E183" s="551">
        <f>'NOTRANJA OPREMA'!F64</f>
        <v>0</v>
      </c>
      <c r="F183" s="394" t="s">
        <v>879</v>
      </c>
    </row>
    <row r="184" spans="1:27" s="41" customFormat="1" ht="15.75" outlineLevel="1" x14ac:dyDescent="0.2">
      <c r="A184" s="71"/>
      <c r="B184" s="71"/>
      <c r="C184" s="71"/>
      <c r="D184" s="72"/>
      <c r="E184" s="352"/>
      <c r="F184" s="74"/>
      <c r="Y184" s="50"/>
      <c r="Z184" s="49"/>
      <c r="AA184" s="50"/>
    </row>
    <row r="185" spans="1:27" s="43" customFormat="1" ht="15.75" outlineLevel="1" collapsed="1" x14ac:dyDescent="0.2">
      <c r="A185" s="234" t="s">
        <v>1088</v>
      </c>
      <c r="B185" s="42"/>
      <c r="C185" s="42"/>
      <c r="D185" s="42"/>
      <c r="E185" s="1320"/>
      <c r="F185" s="1320"/>
      <c r="G185" s="41"/>
      <c r="H185" s="41"/>
      <c r="I185" s="41"/>
      <c r="J185" s="41"/>
      <c r="K185" s="41"/>
      <c r="L185" s="41"/>
      <c r="M185" s="41"/>
      <c r="N185" s="41"/>
      <c r="O185" s="41"/>
    </row>
    <row r="186" spans="1:27" s="43" customFormat="1" ht="30.6" customHeight="1" outlineLevel="1" x14ac:dyDescent="0.2">
      <c r="B186" s="53" t="s">
        <v>219</v>
      </c>
      <c r="C186" s="42"/>
      <c r="D186" s="44"/>
      <c r="E186" s="1318"/>
      <c r="F186" s="1318"/>
      <c r="G186" s="41"/>
      <c r="H186" s="41"/>
      <c r="I186" s="41"/>
      <c r="J186" s="41"/>
      <c r="K186" s="41"/>
      <c r="L186" s="41"/>
      <c r="M186" s="41"/>
      <c r="N186" s="41"/>
      <c r="O186" s="41"/>
    </row>
    <row r="187" spans="1:27" s="41" customFormat="1" ht="15.75" outlineLevel="1" x14ac:dyDescent="0.2">
      <c r="B187" s="54" t="s">
        <v>1059</v>
      </c>
      <c r="C187" s="46"/>
      <c r="D187" s="47"/>
      <c r="E187" s="771">
        <v>0</v>
      </c>
      <c r="F187" s="770" t="s">
        <v>1080</v>
      </c>
    </row>
    <row r="188" spans="1:27" s="78" customFormat="1" outlineLevel="1" x14ac:dyDescent="0.2">
      <c r="B188" s="205" t="s">
        <v>1061</v>
      </c>
      <c r="C188" s="205"/>
      <c r="D188" s="205"/>
      <c r="E188" s="500" t="s">
        <v>85</v>
      </c>
    </row>
    <row r="189" spans="1:27" s="43" customFormat="1" ht="15.75" outlineLevel="1" x14ac:dyDescent="0.2">
      <c r="B189" s="53" t="s">
        <v>853</v>
      </c>
      <c r="C189" s="42"/>
      <c r="D189" s="44"/>
      <c r="E189" s="345" t="str">
        <f>_xlfn.IFNA(VLOOKUP(E186,'CENOVNI RAZREDI'!$B$114:$I$170,8),"")</f>
        <v/>
      </c>
      <c r="F189" s="54" t="s">
        <v>213</v>
      </c>
      <c r="G189" s="41"/>
      <c r="H189" s="41"/>
      <c r="I189" s="41"/>
      <c r="J189" s="41"/>
      <c r="K189" s="41"/>
      <c r="L189" s="41"/>
      <c r="M189" s="41"/>
      <c r="N189" s="41"/>
      <c r="O189" s="41"/>
    </row>
    <row r="190" spans="1:27" s="41" customFormat="1" ht="15.75" outlineLevel="1" x14ac:dyDescent="0.2">
      <c r="B190" s="54" t="s">
        <v>1058</v>
      </c>
      <c r="C190" s="46"/>
      <c r="D190" s="45"/>
      <c r="E190" s="771">
        <v>0</v>
      </c>
      <c r="F190" s="770" t="s">
        <v>1081</v>
      </c>
      <c r="W190" s="48"/>
      <c r="X190" s="49"/>
      <c r="Y190" s="50"/>
      <c r="Z190" s="49"/>
      <c r="AA190" s="50"/>
    </row>
    <row r="191" spans="1:27" s="41" customFormat="1" ht="15.75" outlineLevel="1" x14ac:dyDescent="0.2">
      <c r="B191" s="54" t="s">
        <v>1057</v>
      </c>
      <c r="C191" s="46"/>
      <c r="D191" s="46"/>
      <c r="E191" s="772">
        <f>E187*E190</f>
        <v>0</v>
      </c>
      <c r="F191" s="773" t="s">
        <v>89</v>
      </c>
      <c r="W191" s="48"/>
    </row>
    <row r="192" spans="1:27" s="508" customFormat="1" ht="11.25" outlineLevel="1" x14ac:dyDescent="0.2">
      <c r="B192" s="531"/>
      <c r="C192" s="531"/>
      <c r="D192" s="530"/>
      <c r="E192" s="528"/>
      <c r="F192" s="529"/>
      <c r="W192" s="541"/>
    </row>
    <row r="193" spans="1:27" s="78" customFormat="1" outlineLevel="1" x14ac:dyDescent="0.2">
      <c r="B193" s="86" t="s">
        <v>737</v>
      </c>
      <c r="C193" s="86"/>
      <c r="D193" s="85"/>
      <c r="E193" s="551">
        <f>'NOTRANJA OPREMA'!F84</f>
        <v>0</v>
      </c>
      <c r="F193" s="394" t="s">
        <v>879</v>
      </c>
    </row>
    <row r="194" spans="1:27" s="78" customFormat="1" outlineLevel="1" x14ac:dyDescent="0.2">
      <c r="B194" s="86" t="s">
        <v>738</v>
      </c>
      <c r="C194" s="86"/>
      <c r="D194" s="85"/>
      <c r="E194" s="551">
        <f>'NOTRANJA OPREMA'!F90</f>
        <v>0</v>
      </c>
      <c r="F194" s="394" t="s">
        <v>879</v>
      </c>
    </row>
    <row r="195" spans="1:27" s="41" customFormat="1" ht="15.75" outlineLevel="1" x14ac:dyDescent="0.2">
      <c r="A195" s="71"/>
      <c r="B195" s="71"/>
      <c r="C195" s="71"/>
      <c r="D195" s="72"/>
      <c r="E195" s="352"/>
      <c r="F195" s="74"/>
      <c r="Y195" s="50"/>
      <c r="Z195" s="49"/>
      <c r="AA195" s="50"/>
    </row>
    <row r="196" spans="1:27" s="43" customFormat="1" ht="15.75" outlineLevel="1" collapsed="1" x14ac:dyDescent="0.2">
      <c r="A196" s="234" t="s">
        <v>1089</v>
      </c>
      <c r="B196" s="42"/>
      <c r="C196" s="42"/>
      <c r="D196" s="42"/>
      <c r="E196" s="1320"/>
      <c r="F196" s="1320"/>
      <c r="G196" s="41"/>
      <c r="H196" s="41"/>
      <c r="I196" s="41"/>
      <c r="J196" s="41"/>
      <c r="K196" s="41"/>
      <c r="L196" s="41"/>
      <c r="M196" s="41"/>
      <c r="N196" s="41"/>
      <c r="O196" s="41"/>
    </row>
    <row r="197" spans="1:27" s="43" customFormat="1" ht="30.4" customHeight="1" outlineLevel="1" x14ac:dyDescent="0.2">
      <c r="B197" s="53" t="s">
        <v>219</v>
      </c>
      <c r="C197" s="42"/>
      <c r="D197" s="44"/>
      <c r="E197" s="1318"/>
      <c r="F197" s="1318"/>
      <c r="G197" s="41"/>
      <c r="H197" s="41"/>
      <c r="I197" s="41"/>
      <c r="J197" s="41"/>
      <c r="K197" s="41"/>
      <c r="L197" s="41"/>
      <c r="M197" s="41"/>
      <c r="N197" s="41"/>
      <c r="O197" s="41"/>
    </row>
    <row r="198" spans="1:27" s="41" customFormat="1" ht="15.75" outlineLevel="1" x14ac:dyDescent="0.2">
      <c r="B198" s="54" t="s">
        <v>1059</v>
      </c>
      <c r="C198" s="46"/>
      <c r="D198" s="47"/>
      <c r="E198" s="771">
        <v>0</v>
      </c>
      <c r="F198" s="770" t="s">
        <v>1080</v>
      </c>
    </row>
    <row r="199" spans="1:27" s="78" customFormat="1" outlineLevel="1" x14ac:dyDescent="0.2">
      <c r="B199" s="205" t="s">
        <v>1061</v>
      </c>
      <c r="C199" s="205"/>
      <c r="D199" s="205"/>
      <c r="E199" s="500" t="s">
        <v>85</v>
      </c>
    </row>
    <row r="200" spans="1:27" s="43" customFormat="1" ht="15.75" outlineLevel="1" x14ac:dyDescent="0.2">
      <c r="B200" s="53" t="s">
        <v>853</v>
      </c>
      <c r="C200" s="42"/>
      <c r="D200" s="44"/>
      <c r="E200" s="345" t="str">
        <f>_xlfn.IFNA(VLOOKUP(E197,'CENOVNI RAZREDI'!$B$114:$I$170,8),"")</f>
        <v/>
      </c>
      <c r="F200" s="54" t="s">
        <v>213</v>
      </c>
      <c r="G200" s="41"/>
      <c r="H200" s="41"/>
      <c r="I200" s="41"/>
      <c r="J200" s="41"/>
      <c r="K200" s="41"/>
      <c r="L200" s="41"/>
      <c r="M200" s="41"/>
      <c r="N200" s="41"/>
      <c r="O200" s="41"/>
    </row>
    <row r="201" spans="1:27" s="41" customFormat="1" ht="15.75" outlineLevel="1" x14ac:dyDescent="0.2">
      <c r="B201" s="54" t="s">
        <v>1058</v>
      </c>
      <c r="C201" s="46"/>
      <c r="D201" s="45"/>
      <c r="E201" s="771">
        <v>0</v>
      </c>
      <c r="F201" s="770" t="s">
        <v>1081</v>
      </c>
      <c r="W201" s="48"/>
      <c r="X201" s="49"/>
      <c r="Y201" s="50"/>
      <c r="Z201" s="49"/>
      <c r="AA201" s="50"/>
    </row>
    <row r="202" spans="1:27" s="41" customFormat="1" ht="15.75" outlineLevel="1" x14ac:dyDescent="0.2">
      <c r="B202" s="54" t="s">
        <v>1057</v>
      </c>
      <c r="C202" s="46"/>
      <c r="D202" s="46"/>
      <c r="E202" s="772">
        <f>E198*E201</f>
        <v>0</v>
      </c>
      <c r="F202" s="773" t="s">
        <v>89</v>
      </c>
      <c r="W202" s="48"/>
    </row>
    <row r="203" spans="1:27" s="508" customFormat="1" ht="11.25" outlineLevel="1" x14ac:dyDescent="0.2">
      <c r="B203" s="531"/>
      <c r="C203" s="531"/>
      <c r="D203" s="530"/>
      <c r="E203" s="528"/>
      <c r="F203" s="529"/>
      <c r="W203" s="541"/>
    </row>
    <row r="204" spans="1:27" s="78" customFormat="1" outlineLevel="1" x14ac:dyDescent="0.2">
      <c r="B204" s="86" t="s">
        <v>737</v>
      </c>
      <c r="C204" s="86"/>
      <c r="D204" s="85"/>
      <c r="E204" s="551">
        <f>'NOTRANJA OPREMA'!F110</f>
        <v>0</v>
      </c>
      <c r="F204" s="394" t="s">
        <v>879</v>
      </c>
    </row>
    <row r="205" spans="1:27" s="78" customFormat="1" outlineLevel="1" x14ac:dyDescent="0.2">
      <c r="B205" s="86" t="s">
        <v>738</v>
      </c>
      <c r="C205" s="86"/>
      <c r="D205" s="85"/>
      <c r="E205" s="551">
        <f>'NOTRANJA OPREMA'!F116</f>
        <v>0</v>
      </c>
      <c r="F205" s="394" t="s">
        <v>879</v>
      </c>
    </row>
    <row r="206" spans="1:27" s="41" customFormat="1" ht="15.75" outlineLevel="1" x14ac:dyDescent="0.2">
      <c r="A206" s="71"/>
      <c r="B206" s="71"/>
      <c r="C206" s="71"/>
      <c r="D206" s="72"/>
      <c r="E206" s="352"/>
      <c r="F206" s="74"/>
      <c r="Y206" s="50"/>
      <c r="Z206" s="49"/>
      <c r="AA206" s="50"/>
    </row>
    <row r="207" spans="1:27" s="43" customFormat="1" ht="15.75" outlineLevel="1" collapsed="1" x14ac:dyDescent="0.2">
      <c r="A207" s="234" t="s">
        <v>1090</v>
      </c>
      <c r="B207" s="42"/>
      <c r="C207" s="42"/>
      <c r="D207" s="42"/>
      <c r="E207" s="1320"/>
      <c r="F207" s="1320"/>
      <c r="G207" s="41"/>
      <c r="H207" s="41"/>
      <c r="I207" s="41"/>
      <c r="J207" s="41"/>
      <c r="K207" s="41"/>
      <c r="L207" s="41"/>
      <c r="M207" s="41"/>
      <c r="N207" s="41"/>
      <c r="O207" s="41"/>
    </row>
    <row r="208" spans="1:27" s="43" customFormat="1" ht="30.4" customHeight="1" outlineLevel="1" x14ac:dyDescent="0.2">
      <c r="B208" s="53" t="s">
        <v>219</v>
      </c>
      <c r="C208" s="42"/>
      <c r="D208" s="44"/>
      <c r="E208" s="1318"/>
      <c r="F208" s="1318"/>
      <c r="G208" s="41"/>
      <c r="H208" s="41"/>
      <c r="I208" s="41"/>
      <c r="J208" s="41"/>
      <c r="K208" s="41"/>
      <c r="L208" s="41"/>
      <c r="M208" s="41"/>
      <c r="N208" s="41"/>
      <c r="O208" s="41"/>
    </row>
    <row r="209" spans="1:27" s="41" customFormat="1" ht="15.75" outlineLevel="1" x14ac:dyDescent="0.2">
      <c r="B209" s="54" t="s">
        <v>1059</v>
      </c>
      <c r="C209" s="46"/>
      <c r="D209" s="47"/>
      <c r="E209" s="771">
        <v>0</v>
      </c>
      <c r="F209" s="770" t="s">
        <v>1080</v>
      </c>
    </row>
    <row r="210" spans="1:27" s="78" customFormat="1" outlineLevel="1" x14ac:dyDescent="0.2">
      <c r="B210" s="205" t="s">
        <v>1061</v>
      </c>
      <c r="C210" s="205"/>
      <c r="D210" s="205"/>
      <c r="E210" s="500" t="s">
        <v>85</v>
      </c>
    </row>
    <row r="211" spans="1:27" s="43" customFormat="1" ht="15.75" outlineLevel="1" x14ac:dyDescent="0.2">
      <c r="B211" s="53" t="s">
        <v>853</v>
      </c>
      <c r="C211" s="42"/>
      <c r="D211" s="44"/>
      <c r="E211" s="345" t="str">
        <f>_xlfn.IFNA(VLOOKUP(E208,'CENOVNI RAZREDI'!$B$114:$I$170,8),"")</f>
        <v/>
      </c>
      <c r="F211" s="54" t="s">
        <v>213</v>
      </c>
      <c r="G211" s="41"/>
      <c r="H211" s="41"/>
      <c r="I211" s="41"/>
      <c r="J211" s="41"/>
      <c r="K211" s="41"/>
      <c r="L211" s="41"/>
      <c r="M211" s="41"/>
      <c r="N211" s="41"/>
      <c r="O211" s="41"/>
    </row>
    <row r="212" spans="1:27" s="41" customFormat="1" ht="15.75" outlineLevel="1" x14ac:dyDescent="0.2">
      <c r="B212" s="54" t="s">
        <v>1058</v>
      </c>
      <c r="C212" s="46"/>
      <c r="D212" s="45"/>
      <c r="E212" s="771">
        <v>0</v>
      </c>
      <c r="F212" s="770" t="s">
        <v>1081</v>
      </c>
      <c r="W212" s="48"/>
      <c r="X212" s="49"/>
      <c r="Y212" s="50"/>
      <c r="Z212" s="49"/>
      <c r="AA212" s="50"/>
    </row>
    <row r="213" spans="1:27" s="41" customFormat="1" ht="15.75" outlineLevel="1" x14ac:dyDescent="0.2">
      <c r="B213" s="54" t="s">
        <v>1057</v>
      </c>
      <c r="C213" s="46"/>
      <c r="D213" s="46"/>
      <c r="E213" s="772">
        <f>E209*E212</f>
        <v>0</v>
      </c>
      <c r="F213" s="773" t="s">
        <v>89</v>
      </c>
      <c r="W213" s="48"/>
    </row>
    <row r="214" spans="1:27" s="508" customFormat="1" ht="11.25" outlineLevel="1" x14ac:dyDescent="0.2">
      <c r="B214" s="531"/>
      <c r="C214" s="531"/>
      <c r="D214" s="530"/>
      <c r="E214" s="528"/>
      <c r="F214" s="529"/>
      <c r="W214" s="541"/>
    </row>
    <row r="215" spans="1:27" s="78" customFormat="1" outlineLevel="1" x14ac:dyDescent="0.2">
      <c r="B215" s="86" t="s">
        <v>737</v>
      </c>
      <c r="C215" s="86"/>
      <c r="D215" s="85"/>
      <c r="E215" s="551">
        <f>'NOTRANJA OPREMA'!F136</f>
        <v>0</v>
      </c>
      <c r="F215" s="394" t="s">
        <v>879</v>
      </c>
    </row>
    <row r="216" spans="1:27" s="78" customFormat="1" outlineLevel="1" x14ac:dyDescent="0.2">
      <c r="B216" s="86" t="s">
        <v>738</v>
      </c>
      <c r="C216" s="86"/>
      <c r="D216" s="85"/>
      <c r="E216" s="551">
        <f>'NOTRANJA OPREMA'!F142</f>
        <v>0</v>
      </c>
      <c r="F216" s="394" t="s">
        <v>879</v>
      </c>
    </row>
    <row r="217" spans="1:27" s="41" customFormat="1" ht="15.75" outlineLevel="1" x14ac:dyDescent="0.2">
      <c r="A217" s="71"/>
      <c r="B217" s="71"/>
      <c r="C217" s="71"/>
      <c r="D217" s="72"/>
      <c r="E217" s="352"/>
      <c r="F217" s="74"/>
      <c r="Y217" s="50"/>
      <c r="Z217" s="49"/>
      <c r="AA217" s="50"/>
    </row>
    <row r="218" spans="1:27" s="43" customFormat="1" ht="15.75" outlineLevel="1" collapsed="1" x14ac:dyDescent="0.2">
      <c r="A218" s="234" t="s">
        <v>1091</v>
      </c>
      <c r="B218" s="42"/>
      <c r="C218" s="42"/>
      <c r="D218" s="42"/>
      <c r="E218" s="1320"/>
      <c r="F218" s="1320"/>
      <c r="G218" s="41"/>
      <c r="H218" s="41"/>
      <c r="I218" s="41"/>
      <c r="J218" s="41"/>
      <c r="K218" s="41"/>
      <c r="L218" s="41"/>
      <c r="M218" s="41"/>
      <c r="N218" s="41"/>
      <c r="O218" s="41"/>
    </row>
    <row r="219" spans="1:27" s="43" customFormat="1" ht="30.4" customHeight="1" outlineLevel="1" x14ac:dyDescent="0.2">
      <c r="B219" s="53" t="s">
        <v>219</v>
      </c>
      <c r="C219" s="42"/>
      <c r="D219" s="44"/>
      <c r="E219" s="1318"/>
      <c r="F219" s="1318"/>
      <c r="G219" s="41"/>
      <c r="H219" s="41"/>
      <c r="I219" s="41"/>
      <c r="J219" s="41"/>
      <c r="K219" s="41"/>
      <c r="L219" s="41"/>
      <c r="M219" s="41"/>
      <c r="N219" s="41"/>
      <c r="O219" s="41"/>
    </row>
    <row r="220" spans="1:27" s="41" customFormat="1" ht="15.75" outlineLevel="1" x14ac:dyDescent="0.2">
      <c r="B220" s="54" t="s">
        <v>1059</v>
      </c>
      <c r="C220" s="46"/>
      <c r="D220" s="47"/>
      <c r="E220" s="771">
        <v>0</v>
      </c>
      <c r="F220" s="770" t="s">
        <v>1080</v>
      </c>
    </row>
    <row r="221" spans="1:27" s="78" customFormat="1" outlineLevel="1" x14ac:dyDescent="0.2">
      <c r="B221" s="205" t="s">
        <v>1061</v>
      </c>
      <c r="C221" s="205"/>
      <c r="D221" s="205"/>
      <c r="E221" s="500" t="s">
        <v>85</v>
      </c>
    </row>
    <row r="222" spans="1:27" s="43" customFormat="1" ht="15.75" outlineLevel="1" x14ac:dyDescent="0.2">
      <c r="B222" s="53" t="s">
        <v>853</v>
      </c>
      <c r="C222" s="42"/>
      <c r="D222" s="44"/>
      <c r="E222" s="345" t="str">
        <f>_xlfn.IFNA(VLOOKUP(E219,'CENOVNI RAZREDI'!$B$114:$I$170,8),"")</f>
        <v/>
      </c>
      <c r="F222" s="54" t="s">
        <v>213</v>
      </c>
      <c r="G222" s="41"/>
      <c r="H222" s="41"/>
      <c r="I222" s="41"/>
      <c r="J222" s="41"/>
      <c r="K222" s="41"/>
      <c r="L222" s="41"/>
      <c r="M222" s="41"/>
      <c r="N222" s="41"/>
      <c r="O222" s="41"/>
    </row>
    <row r="223" spans="1:27" s="41" customFormat="1" ht="15.75" outlineLevel="1" x14ac:dyDescent="0.2">
      <c r="B223" s="54" t="s">
        <v>1058</v>
      </c>
      <c r="C223" s="46"/>
      <c r="D223" s="45"/>
      <c r="E223" s="771">
        <v>0</v>
      </c>
      <c r="F223" s="770" t="s">
        <v>1081</v>
      </c>
      <c r="W223" s="48"/>
      <c r="X223" s="49"/>
      <c r="Y223" s="50"/>
      <c r="Z223" s="49"/>
      <c r="AA223" s="50"/>
    </row>
    <row r="224" spans="1:27" s="41" customFormat="1" ht="15.75" outlineLevel="1" x14ac:dyDescent="0.2">
      <c r="B224" s="54" t="s">
        <v>1057</v>
      </c>
      <c r="C224" s="46"/>
      <c r="D224" s="46"/>
      <c r="E224" s="772">
        <f>E220*E223</f>
        <v>0</v>
      </c>
      <c r="F224" s="773" t="s">
        <v>89</v>
      </c>
      <c r="W224" s="48"/>
    </row>
    <row r="225" spans="1:27" s="508" customFormat="1" ht="11.25" outlineLevel="1" x14ac:dyDescent="0.2">
      <c r="B225" s="531"/>
      <c r="C225" s="531"/>
      <c r="D225" s="530"/>
      <c r="E225" s="528"/>
      <c r="F225" s="529"/>
      <c r="W225" s="541"/>
    </row>
    <row r="226" spans="1:27" s="78" customFormat="1" outlineLevel="1" x14ac:dyDescent="0.2">
      <c r="B226" s="86" t="s">
        <v>737</v>
      </c>
      <c r="C226" s="86"/>
      <c r="D226" s="85"/>
      <c r="E226" s="551">
        <f>'NOTRANJA OPREMA'!F162</f>
        <v>0</v>
      </c>
      <c r="F226" s="394" t="s">
        <v>879</v>
      </c>
    </row>
    <row r="227" spans="1:27" s="78" customFormat="1" outlineLevel="1" x14ac:dyDescent="0.2">
      <c r="B227" s="86" t="s">
        <v>738</v>
      </c>
      <c r="C227" s="86"/>
      <c r="D227" s="85"/>
      <c r="E227" s="551">
        <f>'NOTRANJA OPREMA'!F168</f>
        <v>0</v>
      </c>
      <c r="F227" s="394" t="s">
        <v>879</v>
      </c>
    </row>
    <row r="228" spans="1:27" s="41" customFormat="1" ht="16.5" outlineLevel="1" thickBot="1" x14ac:dyDescent="0.25">
      <c r="A228" s="68"/>
      <c r="B228" s="68"/>
      <c r="C228" s="68"/>
      <c r="D228" s="69"/>
      <c r="E228" s="348"/>
      <c r="F228" s="70"/>
      <c r="Y228" s="50"/>
      <c r="Z228" s="49"/>
      <c r="AA228" s="50"/>
    </row>
    <row r="229" spans="1:27" s="18" customFormat="1" ht="15.75" x14ac:dyDescent="0.25">
      <c r="A229" s="231" t="s">
        <v>218</v>
      </c>
      <c r="B229" s="231"/>
      <c r="C229" s="231"/>
      <c r="D229" s="231"/>
      <c r="E229" s="343"/>
      <c r="F229" s="231"/>
    </row>
    <row r="230" spans="1:27" s="18" customFormat="1" ht="15.75" x14ac:dyDescent="0.25">
      <c r="A230" s="64"/>
      <c r="B230" s="64"/>
      <c r="C230" s="64"/>
      <c r="D230" s="64"/>
      <c r="E230" s="344"/>
      <c r="F230" s="64"/>
    </row>
    <row r="231" spans="1:27" s="18" customFormat="1" ht="38.25" customHeight="1" x14ac:dyDescent="0.25">
      <c r="A231" s="64"/>
      <c r="B231" s="1322" t="s">
        <v>956</v>
      </c>
      <c r="C231" s="1322"/>
      <c r="D231" s="1322"/>
      <c r="E231" s="988"/>
      <c r="F231" s="1303">
        <v>1</v>
      </c>
    </row>
    <row r="232" spans="1:27" s="18" customFormat="1" ht="31.5" customHeight="1" x14ac:dyDescent="0.25">
      <c r="A232" s="64"/>
      <c r="B232" s="1322" t="s">
        <v>957</v>
      </c>
      <c r="C232" s="1322"/>
      <c r="D232" s="1322"/>
      <c r="E232" s="988"/>
      <c r="F232" s="54"/>
    </row>
    <row r="233" spans="1:27" s="18" customFormat="1" ht="15.75" outlineLevel="1" x14ac:dyDescent="0.25">
      <c r="A233" s="776"/>
      <c r="B233" s="776"/>
      <c r="C233" s="776"/>
      <c r="D233" s="776"/>
      <c r="E233" s="777"/>
      <c r="F233" s="776"/>
    </row>
    <row r="234" spans="1:27" s="43" customFormat="1" ht="15.75" outlineLevel="1" collapsed="1" x14ac:dyDescent="0.2">
      <c r="A234" s="234" t="s">
        <v>928</v>
      </c>
      <c r="B234" s="42"/>
      <c r="C234" s="42"/>
      <c r="D234" s="42"/>
      <c r="E234" s="987"/>
      <c r="F234" s="66"/>
      <c r="G234" s="41"/>
      <c r="H234" s="41"/>
      <c r="I234" s="41"/>
      <c r="J234" s="41"/>
      <c r="K234" s="41"/>
      <c r="L234" s="41"/>
      <c r="M234" s="41"/>
      <c r="N234" s="41"/>
      <c r="O234" s="41"/>
    </row>
    <row r="235" spans="1:27" s="43" customFormat="1" ht="15.75" outlineLevel="1" x14ac:dyDescent="0.2">
      <c r="B235" s="53" t="s">
        <v>187</v>
      </c>
      <c r="C235" s="42"/>
      <c r="D235" s="44"/>
      <c r="E235" s="594"/>
      <c r="F235" s="45"/>
      <c r="G235" s="41"/>
      <c r="H235" s="41"/>
      <c r="I235" s="41"/>
      <c r="J235" s="41"/>
      <c r="K235" s="41"/>
      <c r="L235" s="41"/>
      <c r="M235" s="41"/>
      <c r="N235" s="41"/>
      <c r="O235" s="41"/>
    </row>
    <row r="236" spans="1:27" s="41" customFormat="1" ht="15.75" outlineLevel="1" x14ac:dyDescent="0.2">
      <c r="B236" s="54" t="s">
        <v>188</v>
      </c>
      <c r="C236" s="46"/>
      <c r="D236" s="47"/>
      <c r="E236" s="500">
        <v>0</v>
      </c>
      <c r="F236" s="54" t="s">
        <v>212</v>
      </c>
    </row>
    <row r="237" spans="1:27" s="78" customFormat="1" outlineLevel="1" collapsed="1" x14ac:dyDescent="0.2">
      <c r="B237" s="205" t="s">
        <v>933</v>
      </c>
      <c r="C237" s="205"/>
      <c r="D237" s="205"/>
      <c r="E237" s="500" t="s">
        <v>85</v>
      </c>
    </row>
    <row r="238" spans="1:27" s="504" customFormat="1" ht="11.25" hidden="1" outlineLevel="2" x14ac:dyDescent="0.2">
      <c r="B238" s="501"/>
      <c r="C238" s="501"/>
      <c r="D238" s="501"/>
      <c r="E238" s="501"/>
      <c r="F238" s="501"/>
    </row>
    <row r="239" spans="1:27" s="78" customFormat="1" hidden="1" outlineLevel="2" x14ac:dyDescent="0.2">
      <c r="B239" s="592" t="s">
        <v>885</v>
      </c>
      <c r="C239" s="205"/>
      <c r="D239" s="502"/>
      <c r="E239" s="659" t="str">
        <f>_xlfn.IFNA(VLOOKUP(E235,'CENOVNI RAZREDI'!$B$184:$K$242,10,FALSE),"")</f>
        <v/>
      </c>
      <c r="F239" s="510"/>
    </row>
    <row r="240" spans="1:27" s="78" customFormat="1" hidden="1" outlineLevel="2" x14ac:dyDescent="0.2">
      <c r="B240" s="532" t="s">
        <v>896</v>
      </c>
      <c r="C240" s="532"/>
      <c r="D240" s="554"/>
      <c r="E240" s="503"/>
      <c r="F240" s="398"/>
    </row>
    <row r="241" spans="1:27" s="600" customFormat="1" ht="12" hidden="1" outlineLevel="2" x14ac:dyDescent="0.2">
      <c r="A241" s="504"/>
      <c r="B241" s="555" t="s">
        <v>934</v>
      </c>
      <c r="C241" s="598"/>
      <c r="D241" s="556"/>
      <c r="E241" s="557" t="str">
        <f>_xlfn.IFNA(CONCATENATE(VLOOKUP(E235,'CENOVNI RAZREDI'!$B$184:$J$242,8,FALSE)," - ",VLOOKUP(E235,'CENOVNI RAZREDI'!$B$184:$J$242,9,FALSE)),"")</f>
        <v/>
      </c>
      <c r="F241" s="558" t="s">
        <v>897</v>
      </c>
      <c r="G241" s="599"/>
      <c r="H241" s="599"/>
      <c r="I241" s="599"/>
      <c r="J241" s="599"/>
      <c r="K241" s="599"/>
      <c r="L241" s="599"/>
      <c r="M241" s="599"/>
      <c r="N241" s="599"/>
      <c r="O241" s="599"/>
    </row>
    <row r="242" spans="1:27" s="599" customFormat="1" ht="12" hidden="1" outlineLevel="2" x14ac:dyDescent="0.2">
      <c r="A242" s="504"/>
      <c r="B242" s="558" t="s">
        <v>935</v>
      </c>
      <c r="C242" s="559"/>
      <c r="D242" s="558"/>
      <c r="E242" s="601">
        <v>100</v>
      </c>
      <c r="F242" s="558" t="s">
        <v>897</v>
      </c>
      <c r="W242" s="565"/>
      <c r="X242" s="602"/>
      <c r="Y242" s="603"/>
      <c r="Z242" s="602"/>
      <c r="AA242" s="603"/>
    </row>
    <row r="243" spans="1:27" s="599" customFormat="1" ht="11.25" hidden="1" outlineLevel="2" x14ac:dyDescent="0.2">
      <c r="A243" s="504"/>
      <c r="B243" s="558" t="s">
        <v>895</v>
      </c>
      <c r="C243" s="559"/>
      <c r="D243" s="559"/>
      <c r="E243" s="604">
        <f>E236*E242</f>
        <v>0</v>
      </c>
      <c r="F243" s="561" t="s">
        <v>89</v>
      </c>
      <c r="W243" s="565"/>
    </row>
    <row r="244" spans="1:27" s="595" customFormat="1" ht="11.25" hidden="1" outlineLevel="2" x14ac:dyDescent="0.2">
      <c r="A244" s="504"/>
      <c r="B244" s="574" t="s">
        <v>62</v>
      </c>
      <c r="D244" s="989">
        <v>0</v>
      </c>
      <c r="E244" s="576">
        <f>D244*E243</f>
        <v>0</v>
      </c>
      <c r="F244" s="577" t="s">
        <v>89</v>
      </c>
      <c r="W244" s="596"/>
    </row>
    <row r="245" spans="1:27" s="595" customFormat="1" ht="11.25" hidden="1" outlineLevel="2" x14ac:dyDescent="0.2">
      <c r="B245" s="574" t="s">
        <v>64</v>
      </c>
      <c r="D245" s="989">
        <v>0</v>
      </c>
      <c r="E245" s="576">
        <f>D245*E243</f>
        <v>0</v>
      </c>
      <c r="F245" s="577" t="s">
        <v>89</v>
      </c>
      <c r="Y245" s="596"/>
      <c r="Z245" s="597"/>
      <c r="AA245" s="596"/>
    </row>
    <row r="246" spans="1:27" s="595" customFormat="1" ht="11.25" hidden="1" outlineLevel="2" x14ac:dyDescent="0.2">
      <c r="B246" s="574" t="s">
        <v>63</v>
      </c>
      <c r="D246" s="989">
        <v>0</v>
      </c>
      <c r="E246" s="576">
        <f>D246*E243</f>
        <v>0</v>
      </c>
      <c r="F246" s="577" t="s">
        <v>89</v>
      </c>
      <c r="W246" s="596"/>
    </row>
    <row r="247" spans="1:27" s="595" customFormat="1" ht="11.25" hidden="1" outlineLevel="2" x14ac:dyDescent="0.2">
      <c r="B247" s="578" t="s">
        <v>366</v>
      </c>
      <c r="C247" s="607"/>
      <c r="D247" s="990">
        <v>0</v>
      </c>
      <c r="E247" s="608">
        <f>D247*E243</f>
        <v>0</v>
      </c>
      <c r="F247" s="579" t="s">
        <v>89</v>
      </c>
      <c r="W247" s="596"/>
    </row>
    <row r="248" spans="1:27" s="508" customFormat="1" ht="11.25" hidden="1" outlineLevel="2" x14ac:dyDescent="0.2">
      <c r="B248" s="531"/>
      <c r="C248" s="531"/>
      <c r="D248" s="531"/>
      <c r="E248" s="531"/>
      <c r="F248" s="531"/>
      <c r="W248" s="541"/>
    </row>
    <row r="249" spans="1:27" s="78" customFormat="1" outlineLevel="1" x14ac:dyDescent="0.2">
      <c r="B249" s="86" t="s">
        <v>737</v>
      </c>
      <c r="C249" s="86"/>
      <c r="D249" s="85"/>
      <c r="E249" s="551">
        <f>'ODPRTI PROSTOR'!C23</f>
        <v>0</v>
      </c>
      <c r="F249" s="394" t="s">
        <v>879</v>
      </c>
    </row>
    <row r="250" spans="1:27" s="78" customFormat="1" outlineLevel="1" x14ac:dyDescent="0.2">
      <c r="B250" s="86" t="s">
        <v>738</v>
      </c>
      <c r="C250" s="86"/>
      <c r="D250" s="85"/>
      <c r="E250" s="551">
        <f>'ODPRTI PROSTOR'!C24</f>
        <v>0</v>
      </c>
      <c r="F250" s="394" t="s">
        <v>879</v>
      </c>
    </row>
    <row r="251" spans="1:27" s="41" customFormat="1" ht="15.75" outlineLevel="1" x14ac:dyDescent="0.2">
      <c r="A251" s="55"/>
      <c r="B251" s="189"/>
      <c r="C251" s="189"/>
      <c r="D251" s="189"/>
      <c r="E251" s="349"/>
      <c r="F251" s="73"/>
      <c r="W251" s="48"/>
    </row>
    <row r="252" spans="1:27" s="43" customFormat="1" ht="15.75" outlineLevel="1" collapsed="1" x14ac:dyDescent="0.2">
      <c r="A252" s="234" t="s">
        <v>929</v>
      </c>
      <c r="B252" s="42"/>
      <c r="C252" s="42"/>
      <c r="D252" s="42"/>
      <c r="E252" s="987"/>
      <c r="F252" s="66"/>
      <c r="G252" s="41"/>
      <c r="H252" s="41"/>
      <c r="I252" s="41"/>
      <c r="J252" s="41"/>
      <c r="K252" s="41"/>
      <c r="L252" s="41"/>
      <c r="M252" s="41"/>
      <c r="N252" s="41"/>
      <c r="O252" s="41"/>
    </row>
    <row r="253" spans="1:27" s="43" customFormat="1" ht="15.75" outlineLevel="1" x14ac:dyDescent="0.2">
      <c r="B253" s="53" t="s">
        <v>187</v>
      </c>
      <c r="C253" s="42"/>
      <c r="D253" s="44"/>
      <c r="E253" s="594"/>
      <c r="F253" s="45"/>
      <c r="G253" s="41"/>
      <c r="H253" s="41"/>
      <c r="I253" s="41"/>
      <c r="J253" s="41"/>
      <c r="K253" s="41"/>
      <c r="L253" s="41"/>
      <c r="M253" s="41"/>
      <c r="N253" s="41"/>
      <c r="O253" s="41"/>
    </row>
    <row r="254" spans="1:27" s="41" customFormat="1" ht="15.75" outlineLevel="1" x14ac:dyDescent="0.2">
      <c r="B254" s="54" t="s">
        <v>188</v>
      </c>
      <c r="C254" s="46"/>
      <c r="D254" s="47"/>
      <c r="E254" s="500">
        <v>0</v>
      </c>
      <c r="F254" s="54" t="s">
        <v>212</v>
      </c>
    </row>
    <row r="255" spans="1:27" s="78" customFormat="1" outlineLevel="1" collapsed="1" x14ac:dyDescent="0.2">
      <c r="A255" s="504"/>
      <c r="B255" s="205" t="s">
        <v>933</v>
      </c>
      <c r="C255" s="205"/>
      <c r="D255" s="205"/>
      <c r="E255" s="500" t="s">
        <v>85</v>
      </c>
    </row>
    <row r="256" spans="1:27" s="504" customFormat="1" ht="11.25" hidden="1" outlineLevel="2" x14ac:dyDescent="0.2">
      <c r="B256" s="501"/>
      <c r="C256" s="501"/>
      <c r="D256" s="501"/>
      <c r="E256" s="501"/>
      <c r="F256" s="501"/>
    </row>
    <row r="257" spans="1:27" s="78" customFormat="1" hidden="1" outlineLevel="2" x14ac:dyDescent="0.2">
      <c r="B257" s="592" t="s">
        <v>885</v>
      </c>
      <c r="C257" s="205"/>
      <c r="D257" s="502"/>
      <c r="E257" s="659" t="str">
        <f>_xlfn.IFNA(VLOOKUP(E253,'CENOVNI RAZREDI'!$B$184:$K$242,10,FALSE),"")</f>
        <v/>
      </c>
      <c r="F257" s="510"/>
    </row>
    <row r="258" spans="1:27" s="78" customFormat="1" hidden="1" outlineLevel="2" x14ac:dyDescent="0.2">
      <c r="A258" s="504"/>
      <c r="B258" s="532" t="s">
        <v>896</v>
      </c>
      <c r="C258" s="532"/>
      <c r="D258" s="554"/>
      <c r="E258" s="554"/>
      <c r="F258" s="398"/>
    </row>
    <row r="259" spans="1:27" s="600" customFormat="1" ht="12" hidden="1" outlineLevel="2" x14ac:dyDescent="0.2">
      <c r="A259" s="504"/>
      <c r="B259" s="555" t="s">
        <v>934</v>
      </c>
      <c r="C259" s="598"/>
      <c r="D259" s="556"/>
      <c r="E259" s="557" t="str">
        <f>_xlfn.IFNA(CONCATENATE(VLOOKUP(E253,'CENOVNI RAZREDI'!$B$184:$J$242,8,FALSE)," - ",VLOOKUP(E253,'CENOVNI RAZREDI'!$B$184:$J$242,9,FALSE)),"")</f>
        <v/>
      </c>
      <c r="F259" s="558" t="s">
        <v>897</v>
      </c>
      <c r="G259" s="599"/>
      <c r="H259" s="599"/>
      <c r="I259" s="599"/>
      <c r="J259" s="599"/>
      <c r="K259" s="599"/>
      <c r="L259" s="599"/>
      <c r="M259" s="599"/>
      <c r="N259" s="599"/>
      <c r="O259" s="599"/>
    </row>
    <row r="260" spans="1:27" s="599" customFormat="1" ht="12" hidden="1" outlineLevel="2" x14ac:dyDescent="0.2">
      <c r="A260" s="504"/>
      <c r="B260" s="558" t="s">
        <v>935</v>
      </c>
      <c r="C260" s="559"/>
      <c r="D260" s="558"/>
      <c r="E260" s="601">
        <v>0</v>
      </c>
      <c r="F260" s="558" t="s">
        <v>897</v>
      </c>
      <c r="W260" s="565"/>
      <c r="X260" s="602"/>
      <c r="Y260" s="603"/>
      <c r="Z260" s="602"/>
      <c r="AA260" s="603"/>
    </row>
    <row r="261" spans="1:27" s="599" customFormat="1" ht="11.25" hidden="1" outlineLevel="2" x14ac:dyDescent="0.2">
      <c r="A261" s="504"/>
      <c r="B261" s="558" t="s">
        <v>895</v>
      </c>
      <c r="C261" s="559"/>
      <c r="D261" s="559"/>
      <c r="E261" s="604">
        <f>E254*E260</f>
        <v>0</v>
      </c>
      <c r="F261" s="561" t="s">
        <v>89</v>
      </c>
      <c r="W261" s="565"/>
    </row>
    <row r="262" spans="1:27" s="599" customFormat="1" ht="11.25" hidden="1" outlineLevel="2" x14ac:dyDescent="0.2">
      <c r="A262" s="504"/>
      <c r="B262" s="574" t="s">
        <v>62</v>
      </c>
      <c r="D262" s="991">
        <v>0</v>
      </c>
      <c r="E262" s="564">
        <f>D262*E261</f>
        <v>0</v>
      </c>
      <c r="F262" s="565" t="s">
        <v>89</v>
      </c>
      <c r="W262" s="603"/>
    </row>
    <row r="263" spans="1:27" s="599" customFormat="1" ht="11.25" hidden="1" outlineLevel="2" x14ac:dyDescent="0.2">
      <c r="B263" s="574" t="s">
        <v>64</v>
      </c>
      <c r="D263" s="991">
        <v>0</v>
      </c>
      <c r="E263" s="564">
        <f>D263*E261</f>
        <v>0</v>
      </c>
      <c r="F263" s="565" t="s">
        <v>89</v>
      </c>
      <c r="Y263" s="603"/>
      <c r="Z263" s="602"/>
      <c r="AA263" s="603"/>
    </row>
    <row r="264" spans="1:27" s="599" customFormat="1" ht="11.25" hidden="1" outlineLevel="2" x14ac:dyDescent="0.2">
      <c r="B264" s="574" t="s">
        <v>63</v>
      </c>
      <c r="D264" s="991">
        <v>0</v>
      </c>
      <c r="E264" s="564">
        <f>D264*E261</f>
        <v>0</v>
      </c>
      <c r="F264" s="565" t="s">
        <v>89</v>
      </c>
      <c r="W264" s="603"/>
    </row>
    <row r="265" spans="1:27" s="599" customFormat="1" ht="11.25" hidden="1" outlineLevel="2" x14ac:dyDescent="0.2">
      <c r="B265" s="578" t="s">
        <v>366</v>
      </c>
      <c r="C265" s="555"/>
      <c r="D265" s="992">
        <v>0</v>
      </c>
      <c r="E265" s="568">
        <f>D265*E261</f>
        <v>0</v>
      </c>
      <c r="F265" s="569" t="s">
        <v>89</v>
      </c>
      <c r="W265" s="603"/>
    </row>
    <row r="266" spans="1:27" s="508" customFormat="1" ht="11.25" hidden="1" outlineLevel="2" x14ac:dyDescent="0.2">
      <c r="B266" s="531"/>
      <c r="C266" s="531"/>
      <c r="D266" s="530"/>
      <c r="E266" s="528"/>
      <c r="F266" s="529"/>
      <c r="W266" s="541"/>
    </row>
    <row r="267" spans="1:27" s="78" customFormat="1" outlineLevel="1" x14ac:dyDescent="0.2">
      <c r="B267" s="86" t="s">
        <v>737</v>
      </c>
      <c r="C267" s="86"/>
      <c r="D267" s="85"/>
      <c r="E267" s="551">
        <f>'ODPRTI PROSTOR'!C41</f>
        <v>0</v>
      </c>
      <c r="F267" s="394" t="s">
        <v>879</v>
      </c>
    </row>
    <row r="268" spans="1:27" s="78" customFormat="1" outlineLevel="1" x14ac:dyDescent="0.2">
      <c r="B268" s="86" t="s">
        <v>738</v>
      </c>
      <c r="C268" s="86"/>
      <c r="D268" s="85"/>
      <c r="E268" s="551">
        <f>'ODPRTI PROSTOR'!C42</f>
        <v>0</v>
      </c>
      <c r="F268" s="394" t="s">
        <v>879</v>
      </c>
    </row>
    <row r="269" spans="1:27" s="41" customFormat="1" ht="15.75" outlineLevel="1" x14ac:dyDescent="0.2">
      <c r="A269" s="55"/>
      <c r="B269" s="189"/>
      <c r="C269" s="189"/>
      <c r="D269" s="189"/>
      <c r="E269" s="349"/>
      <c r="F269" s="73"/>
      <c r="W269" s="48"/>
    </row>
    <row r="270" spans="1:27" s="43" customFormat="1" ht="15.75" outlineLevel="1" collapsed="1" x14ac:dyDescent="0.2">
      <c r="A270" s="234" t="s">
        <v>930</v>
      </c>
      <c r="B270" s="42"/>
      <c r="C270" s="42"/>
      <c r="D270" s="42"/>
      <c r="E270" s="987"/>
      <c r="F270" s="66"/>
      <c r="G270" s="41"/>
      <c r="H270" s="41"/>
      <c r="I270" s="41"/>
      <c r="J270" s="41"/>
      <c r="K270" s="41"/>
      <c r="L270" s="41"/>
      <c r="M270" s="41"/>
      <c r="N270" s="41"/>
      <c r="O270" s="41"/>
    </row>
    <row r="271" spans="1:27" s="43" customFormat="1" ht="15.75" outlineLevel="1" x14ac:dyDescent="0.2">
      <c r="B271" s="53" t="s">
        <v>187</v>
      </c>
      <c r="C271" s="42"/>
      <c r="D271" s="44"/>
      <c r="E271" s="594"/>
      <c r="F271" s="45"/>
      <c r="G271" s="41"/>
      <c r="H271" s="41"/>
      <c r="I271" s="41"/>
      <c r="J271" s="41"/>
      <c r="K271" s="41"/>
      <c r="L271" s="41"/>
      <c r="M271" s="41"/>
      <c r="N271" s="41"/>
      <c r="O271" s="41"/>
    </row>
    <row r="272" spans="1:27" s="41" customFormat="1" ht="15.75" outlineLevel="1" x14ac:dyDescent="0.2">
      <c r="B272" s="54" t="s">
        <v>92</v>
      </c>
      <c r="C272" s="46"/>
      <c r="D272" s="47"/>
      <c r="E272" s="500">
        <v>0</v>
      </c>
      <c r="F272" s="54" t="s">
        <v>212</v>
      </c>
    </row>
    <row r="273" spans="1:27" s="78" customFormat="1" outlineLevel="1" collapsed="1" x14ac:dyDescent="0.2">
      <c r="A273" s="504"/>
      <c r="B273" s="205" t="s">
        <v>933</v>
      </c>
      <c r="C273" s="205"/>
      <c r="D273" s="205"/>
      <c r="E273" s="500" t="s">
        <v>85</v>
      </c>
    </row>
    <row r="274" spans="1:27" s="504" customFormat="1" ht="11.25" hidden="1" outlineLevel="2" x14ac:dyDescent="0.2">
      <c r="B274" s="501"/>
      <c r="C274" s="501"/>
      <c r="D274" s="501"/>
      <c r="E274" s="501"/>
      <c r="F274" s="501"/>
    </row>
    <row r="275" spans="1:27" s="78" customFormat="1" hidden="1" outlineLevel="2" x14ac:dyDescent="0.2">
      <c r="B275" s="592" t="s">
        <v>885</v>
      </c>
      <c r="C275" s="205"/>
      <c r="D275" s="502"/>
      <c r="E275" s="659" t="str">
        <f>_xlfn.IFNA(VLOOKUP(E271,'CENOVNI RAZREDI'!$B$184:$K$242,10,FALSE),"")</f>
        <v/>
      </c>
      <c r="F275" s="510"/>
    </row>
    <row r="276" spans="1:27" s="78" customFormat="1" hidden="1" outlineLevel="2" x14ac:dyDescent="0.2">
      <c r="A276" s="504"/>
      <c r="B276" s="532" t="s">
        <v>896</v>
      </c>
      <c r="C276" s="532"/>
      <c r="D276" s="554"/>
      <c r="E276" s="554"/>
      <c r="F276" s="398"/>
    </row>
    <row r="277" spans="1:27" s="600" customFormat="1" ht="12" hidden="1" outlineLevel="2" x14ac:dyDescent="0.2">
      <c r="A277" s="606"/>
      <c r="B277" s="555" t="s">
        <v>934</v>
      </c>
      <c r="C277" s="598"/>
      <c r="D277" s="556"/>
      <c r="E277" s="557" t="str">
        <f>_xlfn.IFNA(CONCATENATE(VLOOKUP(E271,'CENOVNI RAZREDI'!$B$184:$J$242,8,FALSE)," - ",VLOOKUP(E271,'CENOVNI RAZREDI'!$B$184:$J$242,9,FALSE)),"")</f>
        <v/>
      </c>
      <c r="F277" s="558" t="s">
        <v>897</v>
      </c>
      <c r="G277" s="599"/>
      <c r="H277" s="599"/>
      <c r="I277" s="599"/>
      <c r="J277" s="599"/>
      <c r="K277" s="599"/>
      <c r="L277" s="599"/>
      <c r="M277" s="599"/>
      <c r="N277" s="599"/>
      <c r="O277" s="599"/>
    </row>
    <row r="278" spans="1:27" s="599" customFormat="1" ht="12" hidden="1" outlineLevel="2" x14ac:dyDescent="0.2">
      <c r="A278" s="606"/>
      <c r="B278" s="558" t="s">
        <v>935</v>
      </c>
      <c r="C278" s="559"/>
      <c r="D278" s="558"/>
      <c r="E278" s="601">
        <v>0</v>
      </c>
      <c r="F278" s="558" t="s">
        <v>897</v>
      </c>
      <c r="W278" s="565"/>
      <c r="X278" s="602"/>
      <c r="Y278" s="603"/>
      <c r="Z278" s="602"/>
      <c r="AA278" s="603"/>
    </row>
    <row r="279" spans="1:27" s="599" customFormat="1" ht="11.25" hidden="1" outlineLevel="2" x14ac:dyDescent="0.2">
      <c r="A279" s="606"/>
      <c r="B279" s="558" t="s">
        <v>895</v>
      </c>
      <c r="C279" s="559"/>
      <c r="D279" s="559"/>
      <c r="E279" s="605">
        <f>E272*E278</f>
        <v>0</v>
      </c>
      <c r="F279" s="561" t="s">
        <v>89</v>
      </c>
      <c r="W279" s="565"/>
    </row>
    <row r="280" spans="1:27" s="599" customFormat="1" ht="11.25" hidden="1" outlineLevel="2" x14ac:dyDescent="0.2">
      <c r="A280" s="606"/>
      <c r="B280" s="574" t="s">
        <v>62</v>
      </c>
      <c r="D280" s="991">
        <v>0</v>
      </c>
      <c r="E280" s="564">
        <f>D280*E279</f>
        <v>0</v>
      </c>
      <c r="F280" s="565" t="s">
        <v>89</v>
      </c>
      <c r="W280" s="603"/>
    </row>
    <row r="281" spans="1:27" s="599" customFormat="1" ht="11.25" hidden="1" outlineLevel="2" x14ac:dyDescent="0.2">
      <c r="B281" s="574" t="s">
        <v>64</v>
      </c>
      <c r="D281" s="991">
        <v>0</v>
      </c>
      <c r="E281" s="564">
        <f>D281*E279</f>
        <v>0</v>
      </c>
      <c r="F281" s="565" t="s">
        <v>89</v>
      </c>
      <c r="Y281" s="603"/>
      <c r="Z281" s="602"/>
      <c r="AA281" s="603"/>
    </row>
    <row r="282" spans="1:27" s="599" customFormat="1" ht="11.25" hidden="1" outlineLevel="2" x14ac:dyDescent="0.2">
      <c r="B282" s="574" t="s">
        <v>63</v>
      </c>
      <c r="D282" s="991">
        <v>0</v>
      </c>
      <c r="E282" s="564">
        <f>D282*E279</f>
        <v>0</v>
      </c>
      <c r="F282" s="565" t="s">
        <v>89</v>
      </c>
      <c r="W282" s="603"/>
    </row>
    <row r="283" spans="1:27" s="599" customFormat="1" ht="11.25" hidden="1" outlineLevel="2" x14ac:dyDescent="0.2">
      <c r="B283" s="578" t="s">
        <v>366</v>
      </c>
      <c r="C283" s="555"/>
      <c r="D283" s="992">
        <v>0</v>
      </c>
      <c r="E283" s="568">
        <f>D283*E279</f>
        <v>0</v>
      </c>
      <c r="F283" s="569" t="s">
        <v>89</v>
      </c>
      <c r="W283" s="603"/>
    </row>
    <row r="284" spans="1:27" s="508" customFormat="1" ht="11.25" hidden="1" outlineLevel="2" x14ac:dyDescent="0.2">
      <c r="B284" s="531"/>
      <c r="C284" s="531"/>
      <c r="D284" s="530"/>
      <c r="E284" s="528"/>
      <c r="F284" s="529"/>
      <c r="W284" s="541"/>
    </row>
    <row r="285" spans="1:27" s="78" customFormat="1" outlineLevel="1" x14ac:dyDescent="0.2">
      <c r="B285" s="86" t="s">
        <v>737</v>
      </c>
      <c r="C285" s="86"/>
      <c r="D285" s="85"/>
      <c r="E285" s="551">
        <f>'ODPRTI PROSTOR'!C59</f>
        <v>0</v>
      </c>
      <c r="F285" s="394" t="s">
        <v>879</v>
      </c>
    </row>
    <row r="286" spans="1:27" s="78" customFormat="1" outlineLevel="1" x14ac:dyDescent="0.2">
      <c r="B286" s="86" t="s">
        <v>738</v>
      </c>
      <c r="C286" s="86"/>
      <c r="D286" s="85"/>
      <c r="E286" s="551">
        <f>'ODPRTI PROSTOR'!C60</f>
        <v>0</v>
      </c>
      <c r="F286" s="394" t="s">
        <v>879</v>
      </c>
    </row>
    <row r="287" spans="1:27" s="41" customFormat="1" ht="15.75" outlineLevel="1" x14ac:dyDescent="0.2">
      <c r="A287" s="55"/>
      <c r="B287" s="189"/>
      <c r="C287" s="189"/>
      <c r="D287" s="189"/>
      <c r="E287" s="349"/>
      <c r="F287" s="73"/>
      <c r="W287" s="48"/>
    </row>
    <row r="288" spans="1:27" s="43" customFormat="1" ht="15.75" outlineLevel="1" collapsed="1" x14ac:dyDescent="0.2">
      <c r="A288" s="234" t="s">
        <v>931</v>
      </c>
      <c r="B288" s="42"/>
      <c r="C288" s="42"/>
      <c r="D288" s="42"/>
      <c r="E288" s="987"/>
      <c r="F288" s="66"/>
      <c r="G288" s="41"/>
      <c r="H288" s="41"/>
      <c r="I288" s="41"/>
      <c r="J288" s="41"/>
      <c r="K288" s="41"/>
      <c r="L288" s="41"/>
      <c r="M288" s="41"/>
      <c r="N288" s="41"/>
      <c r="O288" s="41"/>
    </row>
    <row r="289" spans="1:27" s="43" customFormat="1" ht="15.75" outlineLevel="1" x14ac:dyDescent="0.2">
      <c r="B289" s="53" t="s">
        <v>187</v>
      </c>
      <c r="C289" s="42"/>
      <c r="D289" s="44"/>
      <c r="E289" s="594"/>
      <c r="F289" s="45"/>
      <c r="G289" s="41"/>
      <c r="H289" s="41"/>
      <c r="I289" s="41"/>
      <c r="J289" s="41"/>
      <c r="K289" s="41"/>
      <c r="L289" s="41"/>
      <c r="M289" s="41"/>
      <c r="N289" s="41"/>
      <c r="O289" s="41"/>
    </row>
    <row r="290" spans="1:27" s="41" customFormat="1" ht="15.75" outlineLevel="1" x14ac:dyDescent="0.2">
      <c r="B290" s="54" t="s">
        <v>92</v>
      </c>
      <c r="C290" s="46"/>
      <c r="D290" s="47"/>
      <c r="E290" s="500">
        <v>0</v>
      </c>
      <c r="F290" s="54" t="s">
        <v>212</v>
      </c>
    </row>
    <row r="291" spans="1:27" s="78" customFormat="1" outlineLevel="1" collapsed="1" x14ac:dyDescent="0.2">
      <c r="A291" s="504"/>
      <c r="B291" s="205" t="s">
        <v>933</v>
      </c>
      <c r="C291" s="205"/>
      <c r="D291" s="205"/>
      <c r="E291" s="500" t="s">
        <v>85</v>
      </c>
    </row>
    <row r="292" spans="1:27" s="504" customFormat="1" ht="11.25" hidden="1" outlineLevel="2" x14ac:dyDescent="0.2">
      <c r="B292" s="501"/>
      <c r="C292" s="501"/>
      <c r="D292" s="501"/>
      <c r="E292" s="501"/>
      <c r="F292" s="501"/>
    </row>
    <row r="293" spans="1:27" s="78" customFormat="1" hidden="1" outlineLevel="2" x14ac:dyDescent="0.2">
      <c r="B293" s="592" t="s">
        <v>885</v>
      </c>
      <c r="C293" s="205"/>
      <c r="D293" s="502"/>
      <c r="E293" s="659" t="str">
        <f>_xlfn.IFNA(VLOOKUP(E289,'CENOVNI RAZREDI'!$B$184:$K$242,10,FALSE),"")</f>
        <v/>
      </c>
      <c r="F293" s="510"/>
    </row>
    <row r="294" spans="1:27" s="78" customFormat="1" hidden="1" outlineLevel="2" x14ac:dyDescent="0.2">
      <c r="A294" s="504"/>
      <c r="B294" s="532" t="s">
        <v>896</v>
      </c>
      <c r="C294" s="532"/>
      <c r="D294" s="554"/>
      <c r="E294" s="554"/>
      <c r="F294" s="398"/>
    </row>
    <row r="295" spans="1:27" s="600" customFormat="1" ht="12" hidden="1" outlineLevel="2" x14ac:dyDescent="0.2">
      <c r="A295" s="606"/>
      <c r="B295" s="555" t="s">
        <v>934</v>
      </c>
      <c r="C295" s="598"/>
      <c r="D295" s="556"/>
      <c r="E295" s="557" t="str">
        <f>_xlfn.IFNA(CONCATENATE(VLOOKUP(E289,'CENOVNI RAZREDI'!$B$184:$J$242,8,FALSE)," - ",VLOOKUP(E289,'CENOVNI RAZREDI'!$B$184:$J$242,9,FALSE)),"")</f>
        <v/>
      </c>
      <c r="F295" s="558" t="s">
        <v>897</v>
      </c>
      <c r="G295" s="599"/>
      <c r="H295" s="599"/>
      <c r="I295" s="599"/>
      <c r="J295" s="599"/>
      <c r="K295" s="599"/>
      <c r="L295" s="599"/>
      <c r="M295" s="599"/>
      <c r="N295" s="599"/>
      <c r="O295" s="599"/>
    </row>
    <row r="296" spans="1:27" s="599" customFormat="1" ht="12" hidden="1" outlineLevel="2" x14ac:dyDescent="0.2">
      <c r="A296" s="606"/>
      <c r="B296" s="558" t="s">
        <v>935</v>
      </c>
      <c r="C296" s="559"/>
      <c r="D296" s="558"/>
      <c r="E296" s="601">
        <v>0</v>
      </c>
      <c r="F296" s="558" t="s">
        <v>897</v>
      </c>
      <c r="W296" s="565"/>
      <c r="X296" s="602"/>
      <c r="Y296" s="603"/>
      <c r="Z296" s="602"/>
      <c r="AA296" s="603"/>
    </row>
    <row r="297" spans="1:27" s="599" customFormat="1" ht="11.25" hidden="1" outlineLevel="2" x14ac:dyDescent="0.2">
      <c r="A297" s="606"/>
      <c r="B297" s="558" t="s">
        <v>895</v>
      </c>
      <c r="C297" s="559"/>
      <c r="D297" s="559"/>
      <c r="E297" s="605">
        <f>E290*E296</f>
        <v>0</v>
      </c>
      <c r="F297" s="561" t="s">
        <v>89</v>
      </c>
      <c r="W297" s="565"/>
    </row>
    <row r="298" spans="1:27" s="599" customFormat="1" ht="11.25" hidden="1" outlineLevel="2" x14ac:dyDescent="0.2">
      <c r="A298" s="606"/>
      <c r="B298" s="574" t="s">
        <v>62</v>
      </c>
      <c r="D298" s="991">
        <v>0</v>
      </c>
      <c r="E298" s="564">
        <f>D298*E297</f>
        <v>0</v>
      </c>
      <c r="F298" s="565" t="s">
        <v>89</v>
      </c>
      <c r="W298" s="603"/>
    </row>
    <row r="299" spans="1:27" s="599" customFormat="1" ht="11.25" hidden="1" outlineLevel="2" x14ac:dyDescent="0.2">
      <c r="B299" s="574" t="s">
        <v>64</v>
      </c>
      <c r="D299" s="991">
        <v>0</v>
      </c>
      <c r="E299" s="564">
        <f>D299*E297</f>
        <v>0</v>
      </c>
      <c r="F299" s="565" t="s">
        <v>89</v>
      </c>
      <c r="Y299" s="603"/>
      <c r="Z299" s="602"/>
      <c r="AA299" s="603"/>
    </row>
    <row r="300" spans="1:27" s="599" customFormat="1" ht="11.25" hidden="1" outlineLevel="2" x14ac:dyDescent="0.2">
      <c r="B300" s="574" t="s">
        <v>63</v>
      </c>
      <c r="D300" s="991">
        <v>0</v>
      </c>
      <c r="E300" s="564">
        <f>D300*E297</f>
        <v>0</v>
      </c>
      <c r="F300" s="565" t="s">
        <v>89</v>
      </c>
      <c r="W300" s="603"/>
    </row>
    <row r="301" spans="1:27" s="599" customFormat="1" ht="11.25" hidden="1" outlineLevel="2" x14ac:dyDescent="0.2">
      <c r="B301" s="578" t="s">
        <v>366</v>
      </c>
      <c r="C301" s="555"/>
      <c r="D301" s="992">
        <v>0</v>
      </c>
      <c r="E301" s="568">
        <f>D301*E297</f>
        <v>0</v>
      </c>
      <c r="F301" s="569" t="s">
        <v>89</v>
      </c>
      <c r="W301" s="603"/>
    </row>
    <row r="302" spans="1:27" s="508" customFormat="1" ht="11.25" hidden="1" outlineLevel="2" x14ac:dyDescent="0.2">
      <c r="B302" s="531"/>
      <c r="C302" s="531"/>
      <c r="D302" s="530"/>
      <c r="E302" s="528"/>
      <c r="F302" s="529"/>
      <c r="W302" s="541"/>
    </row>
    <row r="303" spans="1:27" s="78" customFormat="1" outlineLevel="1" x14ac:dyDescent="0.2">
      <c r="B303" s="86" t="s">
        <v>737</v>
      </c>
      <c r="C303" s="86"/>
      <c r="D303" s="85"/>
      <c r="E303" s="551">
        <f>'ODPRTI PROSTOR'!C77</f>
        <v>0</v>
      </c>
      <c r="F303" s="394" t="s">
        <v>879</v>
      </c>
    </row>
    <row r="304" spans="1:27" s="78" customFormat="1" outlineLevel="1" x14ac:dyDescent="0.2">
      <c r="B304" s="86" t="s">
        <v>738</v>
      </c>
      <c r="C304" s="86"/>
      <c r="D304" s="85"/>
      <c r="E304" s="551">
        <f>'ODPRTI PROSTOR'!C78</f>
        <v>0</v>
      </c>
      <c r="F304" s="394" t="s">
        <v>879</v>
      </c>
    </row>
    <row r="305" spans="1:27" s="41" customFormat="1" ht="15.75" outlineLevel="1" x14ac:dyDescent="0.2">
      <c r="A305" s="55"/>
      <c r="B305" s="189"/>
      <c r="C305" s="189"/>
      <c r="D305" s="189"/>
      <c r="E305" s="349"/>
      <c r="F305" s="73"/>
      <c r="W305" s="48"/>
    </row>
    <row r="306" spans="1:27" s="43" customFormat="1" ht="15.75" outlineLevel="1" collapsed="1" x14ac:dyDescent="0.2">
      <c r="A306" s="234" t="s">
        <v>932</v>
      </c>
      <c r="B306" s="42"/>
      <c r="C306" s="42"/>
      <c r="D306" s="42"/>
      <c r="E306" s="987"/>
      <c r="F306" s="66"/>
      <c r="G306" s="41"/>
      <c r="H306" s="41"/>
      <c r="I306" s="41"/>
      <c r="J306" s="41"/>
      <c r="K306" s="41"/>
      <c r="L306" s="41"/>
      <c r="M306" s="41"/>
      <c r="N306" s="41"/>
      <c r="O306" s="41"/>
    </row>
    <row r="307" spans="1:27" s="43" customFormat="1" ht="15.75" outlineLevel="1" x14ac:dyDescent="0.2">
      <c r="B307" s="53" t="s">
        <v>187</v>
      </c>
      <c r="C307" s="42"/>
      <c r="D307" s="44"/>
      <c r="E307" s="594"/>
      <c r="F307" s="45"/>
      <c r="G307" s="41"/>
      <c r="H307" s="41"/>
      <c r="I307" s="41"/>
      <c r="J307" s="41"/>
      <c r="K307" s="41"/>
      <c r="L307" s="41"/>
      <c r="M307" s="41"/>
      <c r="N307" s="41"/>
      <c r="O307" s="41"/>
    </row>
    <row r="308" spans="1:27" s="41" customFormat="1" ht="15.75" outlineLevel="1" x14ac:dyDescent="0.2">
      <c r="B308" s="54" t="s">
        <v>92</v>
      </c>
      <c r="C308" s="46"/>
      <c r="D308" s="47"/>
      <c r="E308" s="500">
        <v>0</v>
      </c>
      <c r="F308" s="54" t="s">
        <v>212</v>
      </c>
    </row>
    <row r="309" spans="1:27" s="78" customFormat="1" outlineLevel="1" collapsed="1" x14ac:dyDescent="0.2">
      <c r="A309" s="504"/>
      <c r="B309" s="205" t="s">
        <v>933</v>
      </c>
      <c r="C309" s="205"/>
      <c r="D309" s="205"/>
      <c r="E309" s="500" t="s">
        <v>85</v>
      </c>
    </row>
    <row r="310" spans="1:27" s="504" customFormat="1" ht="11.25" hidden="1" outlineLevel="2" x14ac:dyDescent="0.2">
      <c r="B310" s="501"/>
      <c r="C310" s="501"/>
      <c r="D310" s="501"/>
      <c r="E310" s="501"/>
      <c r="F310" s="501"/>
    </row>
    <row r="311" spans="1:27" s="78" customFormat="1" hidden="1" outlineLevel="2" x14ac:dyDescent="0.2">
      <c r="B311" s="592" t="s">
        <v>885</v>
      </c>
      <c r="C311" s="205"/>
      <c r="D311" s="502"/>
      <c r="E311" s="659" t="str">
        <f>_xlfn.IFNA(VLOOKUP(E307,'CENOVNI RAZREDI'!$B$184:$K$242,10,FALSE),"")</f>
        <v/>
      </c>
      <c r="F311" s="510"/>
    </row>
    <row r="312" spans="1:27" s="78" customFormat="1" hidden="1" outlineLevel="2" x14ac:dyDescent="0.2">
      <c r="A312" s="504"/>
      <c r="B312" s="532" t="s">
        <v>896</v>
      </c>
      <c r="C312" s="532"/>
      <c r="D312" s="554"/>
      <c r="E312" s="554"/>
      <c r="F312" s="398"/>
    </row>
    <row r="313" spans="1:27" s="600" customFormat="1" ht="12" hidden="1" outlineLevel="2" x14ac:dyDescent="0.2">
      <c r="A313" s="606"/>
      <c r="B313" s="555" t="s">
        <v>934</v>
      </c>
      <c r="C313" s="598"/>
      <c r="D313" s="556"/>
      <c r="E313" s="557" t="str">
        <f>_xlfn.IFNA(CONCATENATE(VLOOKUP(E307,'CENOVNI RAZREDI'!$B$184:$J$242,8,FALSE)," - ",VLOOKUP(E307,'CENOVNI RAZREDI'!$B$184:$J$242,9,FALSE)),"")</f>
        <v/>
      </c>
      <c r="F313" s="558" t="s">
        <v>897</v>
      </c>
      <c r="G313" s="599"/>
      <c r="H313" s="599"/>
      <c r="I313" s="599"/>
      <c r="J313" s="599"/>
      <c r="K313" s="599"/>
      <c r="L313" s="599"/>
      <c r="M313" s="599"/>
      <c r="N313" s="599"/>
      <c r="O313" s="599"/>
    </row>
    <row r="314" spans="1:27" s="599" customFormat="1" ht="12" hidden="1" outlineLevel="2" x14ac:dyDescent="0.2">
      <c r="A314" s="606"/>
      <c r="B314" s="558" t="s">
        <v>935</v>
      </c>
      <c r="C314" s="559"/>
      <c r="D314" s="558"/>
      <c r="E314" s="601">
        <v>0</v>
      </c>
      <c r="F314" s="558" t="s">
        <v>897</v>
      </c>
      <c r="W314" s="565"/>
      <c r="X314" s="602"/>
      <c r="Y314" s="603"/>
      <c r="Z314" s="602"/>
      <c r="AA314" s="603"/>
    </row>
    <row r="315" spans="1:27" s="599" customFormat="1" ht="11.25" hidden="1" outlineLevel="2" x14ac:dyDescent="0.2">
      <c r="A315" s="606"/>
      <c r="B315" s="558" t="s">
        <v>895</v>
      </c>
      <c r="C315" s="559"/>
      <c r="D315" s="559"/>
      <c r="E315" s="605">
        <f>E308*E314</f>
        <v>0</v>
      </c>
      <c r="F315" s="561" t="s">
        <v>89</v>
      </c>
      <c r="W315" s="565"/>
    </row>
    <row r="316" spans="1:27" s="599" customFormat="1" ht="11.25" hidden="1" outlineLevel="2" x14ac:dyDescent="0.2">
      <c r="A316" s="606"/>
      <c r="B316" s="574" t="s">
        <v>62</v>
      </c>
      <c r="D316" s="991">
        <v>0</v>
      </c>
      <c r="E316" s="564">
        <f>D316*E315</f>
        <v>0</v>
      </c>
      <c r="F316" s="565" t="s">
        <v>89</v>
      </c>
      <c r="W316" s="603"/>
    </row>
    <row r="317" spans="1:27" s="599" customFormat="1" ht="11.25" hidden="1" outlineLevel="2" x14ac:dyDescent="0.2">
      <c r="B317" s="574" t="s">
        <v>64</v>
      </c>
      <c r="D317" s="991">
        <v>0</v>
      </c>
      <c r="E317" s="564">
        <f>D317*E315</f>
        <v>0</v>
      </c>
      <c r="F317" s="565" t="s">
        <v>89</v>
      </c>
      <c r="Y317" s="603"/>
      <c r="Z317" s="602"/>
      <c r="AA317" s="603"/>
    </row>
    <row r="318" spans="1:27" s="599" customFormat="1" ht="11.25" hidden="1" outlineLevel="2" x14ac:dyDescent="0.2">
      <c r="B318" s="574" t="s">
        <v>63</v>
      </c>
      <c r="D318" s="991">
        <v>0</v>
      </c>
      <c r="E318" s="564">
        <f>D318*E315</f>
        <v>0</v>
      </c>
      <c r="F318" s="565" t="s">
        <v>89</v>
      </c>
      <c r="W318" s="603"/>
    </row>
    <row r="319" spans="1:27" s="599" customFormat="1" ht="11.25" hidden="1" outlineLevel="2" x14ac:dyDescent="0.2">
      <c r="B319" s="578" t="s">
        <v>366</v>
      </c>
      <c r="C319" s="555"/>
      <c r="D319" s="992">
        <v>0</v>
      </c>
      <c r="E319" s="568">
        <f>D319*E315</f>
        <v>0</v>
      </c>
      <c r="F319" s="569" t="s">
        <v>89</v>
      </c>
      <c r="W319" s="603"/>
    </row>
    <row r="320" spans="1:27" s="508" customFormat="1" ht="11.25" hidden="1" outlineLevel="2" x14ac:dyDescent="0.2">
      <c r="B320" s="531"/>
      <c r="C320" s="531"/>
      <c r="D320" s="530"/>
      <c r="E320" s="528"/>
      <c r="F320" s="529"/>
      <c r="W320" s="541"/>
    </row>
    <row r="321" spans="1:27" s="78" customFormat="1" outlineLevel="1" x14ac:dyDescent="0.2">
      <c r="B321" s="86" t="s">
        <v>737</v>
      </c>
      <c r="C321" s="86"/>
      <c r="D321" s="85"/>
      <c r="E321" s="551">
        <f>'ODPRTI PROSTOR'!C95</f>
        <v>0</v>
      </c>
      <c r="F321" s="394" t="s">
        <v>879</v>
      </c>
    </row>
    <row r="322" spans="1:27" s="78" customFormat="1" outlineLevel="1" x14ac:dyDescent="0.2">
      <c r="B322" s="86" t="s">
        <v>738</v>
      </c>
      <c r="C322" s="86"/>
      <c r="D322" s="85"/>
      <c r="E322" s="551">
        <f>'ODPRTI PROSTOR'!C96</f>
        <v>0</v>
      </c>
      <c r="F322" s="394" t="s">
        <v>879</v>
      </c>
    </row>
    <row r="323" spans="1:27" s="16" customFormat="1" ht="18.75" outlineLevel="1" x14ac:dyDescent="0.3">
      <c r="A323" s="190"/>
      <c r="B323" s="190"/>
      <c r="C323" s="190"/>
      <c r="D323" s="190"/>
      <c r="E323" s="350"/>
      <c r="F323" s="190"/>
      <c r="J323" s="17"/>
      <c r="P323" s="18"/>
    </row>
    <row r="324" spans="1:27" s="16" customFormat="1" ht="19.5" thickBot="1" x14ac:dyDescent="0.35">
      <c r="A324" s="781"/>
      <c r="B324" s="781"/>
      <c r="C324" s="781"/>
      <c r="D324" s="781"/>
      <c r="E324" s="782"/>
      <c r="F324" s="781"/>
      <c r="J324" s="17"/>
      <c r="P324" s="18"/>
    </row>
    <row r="325" spans="1:27" s="43" customFormat="1" ht="15.75" x14ac:dyDescent="0.2">
      <c r="A325" s="232" t="s">
        <v>93</v>
      </c>
      <c r="B325" s="233"/>
      <c r="C325" s="233"/>
      <c r="D325" s="233"/>
      <c r="E325" s="233"/>
      <c r="F325" s="233"/>
      <c r="G325" s="41"/>
      <c r="H325" s="41"/>
      <c r="I325" s="41"/>
      <c r="J325" s="41"/>
      <c r="K325" s="41"/>
      <c r="L325" s="41"/>
      <c r="M325" s="41"/>
      <c r="N325" s="41"/>
      <c r="O325" s="41"/>
    </row>
    <row r="326" spans="1:27" s="41" customFormat="1" ht="15.75" x14ac:dyDescent="0.2">
      <c r="B326" s="570" t="s">
        <v>94</v>
      </c>
      <c r="C326" s="570"/>
      <c r="D326" s="571"/>
      <c r="E326" s="572">
        <f>+E16+E47+E78+E109+E140</f>
        <v>0</v>
      </c>
      <c r="F326" s="570" t="s">
        <v>900</v>
      </c>
    </row>
    <row r="327" spans="1:27" s="41" customFormat="1" ht="15.75" x14ac:dyDescent="0.2">
      <c r="B327" s="570" t="s">
        <v>898</v>
      </c>
      <c r="C327" s="570"/>
      <c r="D327" s="571"/>
      <c r="E327" s="580">
        <f>+E42+E73+E104+E135+E166</f>
        <v>0</v>
      </c>
      <c r="F327" s="570" t="s">
        <v>879</v>
      </c>
    </row>
    <row r="328" spans="1:27" s="41" customFormat="1" ht="15.75" x14ac:dyDescent="0.2">
      <c r="B328" s="570" t="s">
        <v>899</v>
      </c>
      <c r="C328" s="570"/>
      <c r="D328" s="571"/>
      <c r="E328" s="580">
        <f>+E43+E74+E105+E136+E167</f>
        <v>0</v>
      </c>
      <c r="F328" s="570" t="s">
        <v>879</v>
      </c>
    </row>
    <row r="329" spans="1:27" s="78" customFormat="1" x14ac:dyDescent="0.2">
      <c r="B329" s="573" t="s">
        <v>901</v>
      </c>
      <c r="C329" s="573"/>
      <c r="D329" s="581"/>
      <c r="E329" s="582">
        <f>+E36+E67+E98+E129+E160</f>
        <v>0</v>
      </c>
      <c r="F329" s="583" t="s">
        <v>89</v>
      </c>
    </row>
    <row r="330" spans="1:27" s="508" customFormat="1" ht="11.25" x14ac:dyDescent="0.2">
      <c r="B330" s="574" t="s">
        <v>62</v>
      </c>
      <c r="C330" s="574"/>
      <c r="D330" s="575" t="e">
        <f>E330/$E$329</f>
        <v>#DIV/0!</v>
      </c>
      <c r="E330" s="576">
        <f>+E37+E68+E99+E130+E161</f>
        <v>0</v>
      </c>
      <c r="F330" s="577" t="s">
        <v>89</v>
      </c>
      <c r="W330" s="541"/>
    </row>
    <row r="331" spans="1:27" s="508" customFormat="1" ht="11.25" x14ac:dyDescent="0.2">
      <c r="B331" s="574" t="s">
        <v>64</v>
      </c>
      <c r="C331" s="574"/>
      <c r="D331" s="575" t="e">
        <f t="shared" ref="D331:D333" si="0">E331/$E$329</f>
        <v>#DIV/0!</v>
      </c>
      <c r="E331" s="576">
        <f>+E38+E69+E100+E131+E162</f>
        <v>0</v>
      </c>
      <c r="F331" s="577" t="s">
        <v>89</v>
      </c>
      <c r="Y331" s="541"/>
      <c r="Z331" s="540"/>
      <c r="AA331" s="541"/>
    </row>
    <row r="332" spans="1:27" s="508" customFormat="1" ht="11.25" x14ac:dyDescent="0.2">
      <c r="B332" s="574" t="s">
        <v>63</v>
      </c>
      <c r="C332" s="574"/>
      <c r="D332" s="575" t="e">
        <f t="shared" si="0"/>
        <v>#DIV/0!</v>
      </c>
      <c r="E332" s="576">
        <f>+E39+E70+E101+E132+E163</f>
        <v>0</v>
      </c>
      <c r="F332" s="577" t="s">
        <v>89</v>
      </c>
      <c r="W332" s="541"/>
    </row>
    <row r="333" spans="1:27" s="508" customFormat="1" ht="11.25" x14ac:dyDescent="0.2">
      <c r="B333" s="578" t="s">
        <v>366</v>
      </c>
      <c r="C333" s="574"/>
      <c r="D333" s="575" t="e">
        <f t="shared" si="0"/>
        <v>#DIV/0!</v>
      </c>
      <c r="E333" s="576">
        <f>+E40+E71+E102+E133+E164</f>
        <v>0</v>
      </c>
      <c r="F333" s="579" t="s">
        <v>89</v>
      </c>
      <c r="W333" s="541"/>
    </row>
    <row r="334" spans="1:27" s="34" customFormat="1" x14ac:dyDescent="0.2">
      <c r="B334" s="573" t="s">
        <v>99</v>
      </c>
      <c r="C334" s="573"/>
      <c r="D334" s="573"/>
      <c r="E334" s="584" t="e">
        <f>+E329/E326</f>
        <v>#DIV/0!</v>
      </c>
      <c r="F334" s="573" t="s">
        <v>902</v>
      </c>
      <c r="W334" s="35"/>
      <c r="X334" s="36"/>
      <c r="Y334" s="37"/>
      <c r="Z334" s="36"/>
      <c r="AA334" s="37"/>
    </row>
    <row r="335" spans="1:27" s="41" customFormat="1" ht="16.5" thickBot="1" x14ac:dyDescent="0.25">
      <c r="A335" s="68"/>
      <c r="B335" s="68"/>
      <c r="C335" s="68"/>
      <c r="D335" s="69"/>
      <c r="E335" s="348"/>
      <c r="F335" s="70"/>
      <c r="Y335" s="50"/>
      <c r="Z335" s="49"/>
      <c r="AA335" s="50"/>
    </row>
    <row r="336" spans="1:27" s="43" customFormat="1" ht="15.75" collapsed="1" x14ac:dyDescent="0.2">
      <c r="A336" s="232" t="s">
        <v>220</v>
      </c>
      <c r="B336" s="233"/>
      <c r="C336" s="233"/>
      <c r="D336" s="233"/>
      <c r="E336" s="233"/>
      <c r="F336" s="233"/>
      <c r="G336" s="41"/>
      <c r="H336" s="41"/>
      <c r="I336" s="41"/>
      <c r="J336" s="41"/>
      <c r="K336" s="41"/>
      <c r="L336" s="41"/>
      <c r="M336" s="41"/>
      <c r="N336" s="41"/>
      <c r="O336" s="41"/>
    </row>
    <row r="337" spans="1:27" s="41" customFormat="1" ht="15.75" x14ac:dyDescent="0.2">
      <c r="B337" s="54" t="s">
        <v>100</v>
      </c>
      <c r="C337" s="46"/>
      <c r="D337" s="47"/>
      <c r="E337" s="572">
        <f>+E176+E187+E198+E209+E220</f>
        <v>0</v>
      </c>
      <c r="F337" s="54" t="s">
        <v>212</v>
      </c>
    </row>
    <row r="338" spans="1:27" s="41" customFormat="1" ht="15.75" x14ac:dyDescent="0.2">
      <c r="B338" s="570" t="s">
        <v>898</v>
      </c>
      <c r="C338" s="570"/>
      <c r="D338" s="571"/>
      <c r="E338" s="580">
        <f>+E182+E193+E204+E215+E226</f>
        <v>0</v>
      </c>
      <c r="F338" s="570" t="s">
        <v>879</v>
      </c>
    </row>
    <row r="339" spans="1:27" s="41" customFormat="1" ht="15.75" x14ac:dyDescent="0.2">
      <c r="B339" s="570" t="s">
        <v>899</v>
      </c>
      <c r="C339" s="570"/>
      <c r="D339" s="571"/>
      <c r="E339" s="580">
        <f>+E183+E194+E205+E216+E227</f>
        <v>0</v>
      </c>
      <c r="F339" s="570" t="s">
        <v>879</v>
      </c>
    </row>
    <row r="340" spans="1:27" s="41" customFormat="1" ht="15.75" x14ac:dyDescent="0.2">
      <c r="B340" s="765" t="s">
        <v>901</v>
      </c>
      <c r="C340" s="766"/>
      <c r="D340" s="766"/>
      <c r="E340" s="767">
        <f>+E180+E191+E202+E213+E224</f>
        <v>0</v>
      </c>
      <c r="F340" s="768" t="s">
        <v>89</v>
      </c>
      <c r="W340" s="48"/>
    </row>
    <row r="341" spans="1:27" s="41" customFormat="1" ht="15.75" x14ac:dyDescent="0.2">
      <c r="B341" s="765" t="s">
        <v>101</v>
      </c>
      <c r="C341" s="766"/>
      <c r="D341" s="765"/>
      <c r="E341" s="767">
        <f>IFERROR(E340/E337,0)</f>
        <v>0</v>
      </c>
      <c r="F341" s="765" t="s">
        <v>1072</v>
      </c>
      <c r="W341" s="48"/>
      <c r="X341" s="49"/>
      <c r="Y341" s="50"/>
      <c r="Z341" s="49"/>
      <c r="AA341" s="50"/>
    </row>
    <row r="342" spans="1:27" s="41" customFormat="1" ht="16.5" thickBot="1" x14ac:dyDescent="0.25">
      <c r="A342" s="68"/>
      <c r="B342" s="68"/>
      <c r="C342" s="68"/>
      <c r="D342" s="69"/>
      <c r="E342" s="348"/>
      <c r="F342" s="70"/>
      <c r="Y342" s="50"/>
      <c r="Z342" s="49"/>
      <c r="AA342" s="50"/>
    </row>
    <row r="343" spans="1:27" s="43" customFormat="1" ht="15.75" collapsed="1" x14ac:dyDescent="0.2">
      <c r="A343" s="232" t="s">
        <v>222</v>
      </c>
      <c r="B343" s="233"/>
      <c r="C343" s="233"/>
      <c r="D343" s="233"/>
      <c r="E343" s="233"/>
      <c r="F343" s="233"/>
      <c r="G343" s="41"/>
      <c r="H343" s="41"/>
      <c r="I343" s="41"/>
      <c r="J343" s="41"/>
      <c r="K343" s="41"/>
      <c r="L343" s="41"/>
      <c r="M343" s="41"/>
      <c r="N343" s="41"/>
      <c r="O343" s="41"/>
    </row>
    <row r="344" spans="1:27" s="41" customFormat="1" ht="15.75" x14ac:dyDescent="0.2">
      <c r="B344" s="54" t="s">
        <v>189</v>
      </c>
      <c r="C344" s="46"/>
      <c r="D344" s="47"/>
      <c r="E344" s="733">
        <f>+E236+E254+E272+E290+E308</f>
        <v>0</v>
      </c>
      <c r="F344" s="570" t="s">
        <v>900</v>
      </c>
    </row>
    <row r="345" spans="1:27" s="41" customFormat="1" ht="15.75" x14ac:dyDescent="0.2">
      <c r="B345" s="570" t="s">
        <v>898</v>
      </c>
      <c r="C345" s="570"/>
      <c r="D345" s="571"/>
      <c r="E345" s="580">
        <f>+E249+E267+E285+E303+E321</f>
        <v>0</v>
      </c>
      <c r="F345" s="570" t="s">
        <v>879</v>
      </c>
    </row>
    <row r="346" spans="1:27" s="41" customFormat="1" ht="15.75" x14ac:dyDescent="0.2">
      <c r="B346" s="570" t="s">
        <v>899</v>
      </c>
      <c r="C346" s="570"/>
      <c r="D346" s="571"/>
      <c r="E346" s="580">
        <f>+E250+E268+E286+E304+E322</f>
        <v>0</v>
      </c>
      <c r="F346" s="570" t="s">
        <v>879</v>
      </c>
    </row>
    <row r="347" spans="1:27" s="41" customFormat="1" ht="15.75" x14ac:dyDescent="0.2">
      <c r="A347" s="78"/>
      <c r="B347" s="573" t="s">
        <v>901</v>
      </c>
      <c r="C347" s="573"/>
      <c r="D347" s="581"/>
      <c r="E347" s="582">
        <f>+E243+E261+E279+E297+E315</f>
        <v>0</v>
      </c>
      <c r="F347" s="583" t="s">
        <v>89</v>
      </c>
      <c r="W347" s="48"/>
    </row>
    <row r="348" spans="1:27" s="595" customFormat="1" ht="11.25" x14ac:dyDescent="0.2">
      <c r="B348" s="574" t="s">
        <v>62</v>
      </c>
      <c r="D348" s="575" t="e">
        <f>E348/$E$329</f>
        <v>#DIV/0!</v>
      </c>
      <c r="E348" s="576">
        <f>E244+E262+E280+E298+E316</f>
        <v>0</v>
      </c>
      <c r="F348" s="577" t="s">
        <v>89</v>
      </c>
      <c r="W348" s="596"/>
    </row>
    <row r="349" spans="1:27" s="595" customFormat="1" ht="11.25" x14ac:dyDescent="0.2">
      <c r="B349" s="574" t="s">
        <v>64</v>
      </c>
      <c r="D349" s="575" t="e">
        <f t="shared" ref="D349:D351" si="1">E349/$E$329</f>
        <v>#DIV/0!</v>
      </c>
      <c r="E349" s="576">
        <f>E245+E263+E281+E299+E317</f>
        <v>0</v>
      </c>
      <c r="F349" s="577" t="s">
        <v>89</v>
      </c>
      <c r="Y349" s="596"/>
      <c r="Z349" s="597"/>
      <c r="AA349" s="596"/>
    </row>
    <row r="350" spans="1:27" s="595" customFormat="1" ht="11.25" x14ac:dyDescent="0.2">
      <c r="B350" s="574" t="s">
        <v>63</v>
      </c>
      <c r="D350" s="575" t="e">
        <f t="shared" si="1"/>
        <v>#DIV/0!</v>
      </c>
      <c r="E350" s="576">
        <f>E246+E264+E282+E300+E318</f>
        <v>0</v>
      </c>
      <c r="F350" s="577" t="s">
        <v>89</v>
      </c>
      <c r="W350" s="596"/>
    </row>
    <row r="351" spans="1:27" s="595" customFormat="1" ht="11.25" x14ac:dyDescent="0.2">
      <c r="B351" s="578" t="s">
        <v>366</v>
      </c>
      <c r="D351" s="575" t="e">
        <f t="shared" si="1"/>
        <v>#DIV/0!</v>
      </c>
      <c r="E351" s="576">
        <f>E247+E265+E283+E301+E319</f>
        <v>0</v>
      </c>
      <c r="F351" s="577" t="s">
        <v>89</v>
      </c>
      <c r="W351" s="596"/>
    </row>
    <row r="352" spans="1:27" s="599" customFormat="1" ht="12" x14ac:dyDescent="0.2">
      <c r="B352" s="558" t="s">
        <v>190</v>
      </c>
      <c r="C352" s="559"/>
      <c r="D352" s="558"/>
      <c r="E352" s="609">
        <f>IFERROR(E347/E344,0)</f>
        <v>0</v>
      </c>
      <c r="F352" s="573" t="s">
        <v>902</v>
      </c>
      <c r="W352" s="565"/>
      <c r="X352" s="602"/>
      <c r="Y352" s="603"/>
      <c r="Z352" s="602"/>
      <c r="AA352" s="603"/>
    </row>
    <row r="353" spans="1:23" s="41" customFormat="1" ht="16.5" thickBot="1" x14ac:dyDescent="0.25">
      <c r="A353" s="783"/>
      <c r="B353" s="784"/>
      <c r="C353" s="784"/>
      <c r="D353" s="784"/>
      <c r="E353" s="785"/>
      <c r="F353" s="786"/>
      <c r="W353" s="48"/>
    </row>
    <row r="354" spans="1:23" s="43" customFormat="1" ht="15.75" hidden="1" collapsed="1" x14ac:dyDescent="0.2">
      <c r="A354" s="232" t="s">
        <v>369</v>
      </c>
      <c r="B354" s="233"/>
      <c r="C354" s="233"/>
      <c r="D354" s="233"/>
      <c r="E354" s="233"/>
      <c r="F354" s="233"/>
      <c r="G354" s="41"/>
      <c r="H354" s="41"/>
      <c r="I354" s="41"/>
      <c r="J354" s="41"/>
      <c r="K354" s="41"/>
      <c r="L354" s="41"/>
      <c r="M354" s="41"/>
      <c r="N354" s="41"/>
      <c r="O354" s="41"/>
    </row>
    <row r="355" spans="1:23" s="41" customFormat="1" ht="15.75" hidden="1" x14ac:dyDescent="0.2">
      <c r="A355" s="54" t="s">
        <v>367</v>
      </c>
      <c r="B355" s="46"/>
      <c r="C355" s="46"/>
      <c r="D355" s="46"/>
      <c r="E355" s="351">
        <f>SUM(E356:E359)</f>
        <v>0</v>
      </c>
      <c r="F355" s="191" t="s">
        <v>89</v>
      </c>
      <c r="W355" s="48"/>
    </row>
    <row r="356" spans="1:23" s="41" customFormat="1" ht="15.75" hidden="1" x14ac:dyDescent="0.2">
      <c r="A356" s="34"/>
      <c r="B356" s="34" t="s">
        <v>62</v>
      </c>
      <c r="C356" s="34"/>
      <c r="D356" s="49"/>
      <c r="E356" s="610">
        <v>0</v>
      </c>
      <c r="F356" s="248" t="s">
        <v>89</v>
      </c>
      <c r="W356" s="48"/>
    </row>
    <row r="357" spans="1:23" s="41" customFormat="1" ht="15.75" hidden="1" x14ac:dyDescent="0.2">
      <c r="A357" s="34"/>
      <c r="B357" s="34" t="s">
        <v>64</v>
      </c>
      <c r="C357" s="34"/>
      <c r="D357" s="49"/>
      <c r="E357" s="610">
        <v>0</v>
      </c>
      <c r="F357" s="35" t="s">
        <v>89</v>
      </c>
      <c r="W357" s="48"/>
    </row>
    <row r="358" spans="1:23" s="41" customFormat="1" ht="15.75" hidden="1" x14ac:dyDescent="0.2">
      <c r="A358" s="34"/>
      <c r="B358" s="34" t="s">
        <v>63</v>
      </c>
      <c r="C358" s="34"/>
      <c r="D358" s="49"/>
      <c r="E358" s="610">
        <v>0</v>
      </c>
      <c r="F358" s="35" t="s">
        <v>89</v>
      </c>
      <c r="W358" s="48"/>
    </row>
    <row r="359" spans="1:23" s="34" customFormat="1" hidden="1" x14ac:dyDescent="0.2">
      <c r="B359" s="34" t="s">
        <v>366</v>
      </c>
      <c r="D359" s="51"/>
      <c r="E359" s="610">
        <v>0</v>
      </c>
      <c r="F359" s="35" t="s">
        <v>89</v>
      </c>
      <c r="W359" s="37"/>
    </row>
    <row r="360" spans="1:23" s="41" customFormat="1" ht="15.75" hidden="1" x14ac:dyDescent="0.2">
      <c r="A360" s="55"/>
      <c r="B360" s="189"/>
      <c r="C360" s="189"/>
      <c r="D360" s="189"/>
      <c r="E360" s="353"/>
      <c r="F360" s="73"/>
      <c r="W360" s="48"/>
    </row>
    <row r="361" spans="1:23" s="43" customFormat="1" ht="15.75" hidden="1" collapsed="1" x14ac:dyDescent="0.2">
      <c r="A361" s="232" t="s">
        <v>371</v>
      </c>
      <c r="B361" s="233"/>
      <c r="C361" s="233"/>
      <c r="D361" s="233"/>
      <c r="E361" s="233"/>
      <c r="F361" s="233"/>
      <c r="G361" s="41"/>
      <c r="H361" s="41"/>
      <c r="I361" s="41"/>
      <c r="J361" s="41"/>
      <c r="K361" s="41"/>
      <c r="L361" s="41"/>
      <c r="M361" s="41"/>
      <c r="N361" s="41"/>
      <c r="O361" s="41"/>
    </row>
    <row r="362" spans="1:23" s="41" customFormat="1" ht="15.75" hidden="1" x14ac:dyDescent="0.2">
      <c r="A362" s="54" t="s">
        <v>367</v>
      </c>
      <c r="B362" s="46"/>
      <c r="C362" s="46"/>
      <c r="D362" s="46"/>
      <c r="E362" s="351">
        <f>SUM(E363:E366)</f>
        <v>0</v>
      </c>
      <c r="F362" s="191" t="s">
        <v>89</v>
      </c>
      <c r="W362" s="48"/>
    </row>
    <row r="363" spans="1:23" s="41" customFormat="1" ht="15.75" hidden="1" x14ac:dyDescent="0.2">
      <c r="A363" s="34"/>
      <c r="B363" s="34" t="s">
        <v>62</v>
      </c>
      <c r="C363" s="34"/>
      <c r="D363" s="49"/>
      <c r="E363" s="610">
        <v>0</v>
      </c>
      <c r="F363" s="248" t="s">
        <v>89</v>
      </c>
      <c r="W363" s="48"/>
    </row>
    <row r="364" spans="1:23" s="41" customFormat="1" ht="15.75" hidden="1" x14ac:dyDescent="0.2">
      <c r="A364" s="34"/>
      <c r="B364" s="34" t="s">
        <v>64</v>
      </c>
      <c r="C364" s="34"/>
      <c r="D364" s="49"/>
      <c r="E364" s="610">
        <v>0</v>
      </c>
      <c r="F364" s="35" t="s">
        <v>89</v>
      </c>
      <c r="W364" s="48"/>
    </row>
    <row r="365" spans="1:23" s="41" customFormat="1" ht="15.75" hidden="1" x14ac:dyDescent="0.2">
      <c r="A365" s="34"/>
      <c r="B365" s="34" t="s">
        <v>63</v>
      </c>
      <c r="C365" s="34"/>
      <c r="D365" s="49"/>
      <c r="E365" s="610">
        <v>0</v>
      </c>
      <c r="F365" s="35" t="s">
        <v>89</v>
      </c>
      <c r="W365" s="48"/>
    </row>
    <row r="366" spans="1:23" s="41" customFormat="1" ht="15.75" hidden="1" x14ac:dyDescent="0.2">
      <c r="A366" s="34"/>
      <c r="B366" s="34" t="s">
        <v>366</v>
      </c>
      <c r="C366" s="34"/>
      <c r="D366" s="51"/>
      <c r="E366" s="610">
        <v>0</v>
      </c>
      <c r="F366" s="35" t="s">
        <v>89</v>
      </c>
      <c r="W366" s="48"/>
    </row>
    <row r="367" spans="1:23" s="41" customFormat="1" ht="15.75" x14ac:dyDescent="0.2">
      <c r="A367" s="55"/>
      <c r="B367" s="189"/>
      <c r="C367" s="189"/>
      <c r="D367" s="189"/>
      <c r="E367" s="353"/>
      <c r="F367" s="73"/>
      <c r="W367" s="48"/>
    </row>
    <row r="368" spans="1:23" s="43" customFormat="1" ht="15.75" x14ac:dyDescent="0.2">
      <c r="A368" s="322" t="s">
        <v>607</v>
      </c>
      <c r="B368" s="323"/>
      <c r="C368" s="323"/>
      <c r="D368" s="58"/>
      <c r="E368" s="59">
        <f>E329+E340+E347+E355+E362</f>
        <v>0</v>
      </c>
      <c r="F368" s="58" t="s">
        <v>89</v>
      </c>
      <c r="G368" s="41"/>
      <c r="H368" s="41"/>
      <c r="I368" s="41"/>
      <c r="J368" s="41"/>
      <c r="K368" s="41"/>
      <c r="L368" s="41"/>
      <c r="M368" s="41"/>
      <c r="N368" s="41"/>
      <c r="O368" s="41"/>
    </row>
    <row r="369" spans="1:19" s="43" customFormat="1" ht="15.75" x14ac:dyDescent="0.2">
      <c r="A369" s="60"/>
      <c r="E369" s="61"/>
      <c r="G369" s="41"/>
      <c r="H369" s="41"/>
      <c r="I369" s="41"/>
      <c r="J369" s="41"/>
      <c r="K369" s="41"/>
      <c r="L369" s="41"/>
      <c r="M369" s="41"/>
      <c r="N369" s="41"/>
      <c r="O369" s="41"/>
    </row>
    <row r="370" spans="1:19" ht="15.75" x14ac:dyDescent="0.25">
      <c r="A370" s="225"/>
      <c r="B370" s="39"/>
      <c r="C370" s="39"/>
      <c r="D370" s="41"/>
      <c r="E370" s="354"/>
      <c r="F370" s="27"/>
    </row>
    <row r="371" spans="1:19" s="65" customFormat="1" ht="18.75" x14ac:dyDescent="0.2">
      <c r="A371" s="1" t="s">
        <v>480</v>
      </c>
      <c r="B371" s="63"/>
      <c r="C371" s="63"/>
      <c r="D371" s="63"/>
      <c r="E371" s="341"/>
      <c r="F371" s="63"/>
      <c r="H371" s="63"/>
      <c r="I371" s="63"/>
      <c r="J371" s="63"/>
      <c r="K371" s="63"/>
    </row>
    <row r="372" spans="1:19" s="75" customFormat="1" ht="36.4" customHeight="1" x14ac:dyDescent="0.2">
      <c r="B372" s="1316" t="s">
        <v>1095</v>
      </c>
      <c r="C372" s="1316"/>
      <c r="D372" s="1316"/>
      <c r="E372" s="1316"/>
      <c r="F372" s="1316"/>
    </row>
    <row r="373" spans="1:19" s="75" customFormat="1" ht="18.75" x14ac:dyDescent="0.2">
      <c r="B373" s="1317" t="s">
        <v>739</v>
      </c>
      <c r="C373" s="1317"/>
      <c r="D373" s="1317"/>
      <c r="E373" s="1317"/>
      <c r="F373" s="1317"/>
    </row>
    <row r="374" spans="1:19" s="589" customFormat="1" x14ac:dyDescent="0.2">
      <c r="A374" s="229"/>
      <c r="B374" s="229"/>
      <c r="C374" s="229"/>
      <c r="D374" s="229"/>
      <c r="E374" s="229"/>
      <c r="F374" s="229"/>
    </row>
    <row r="375" spans="1:19" s="16" customFormat="1" ht="39.75" x14ac:dyDescent="0.3">
      <c r="A375" s="774" t="s">
        <v>849</v>
      </c>
      <c r="C375" s="395" t="s">
        <v>737</v>
      </c>
      <c r="D375" s="395" t="s">
        <v>738</v>
      </c>
      <c r="E375" s="775" t="s">
        <v>749</v>
      </c>
      <c r="F375" s="775" t="s">
        <v>880</v>
      </c>
      <c r="G375" s="388" t="s">
        <v>913</v>
      </c>
      <c r="H375" s="633" t="s">
        <v>903</v>
      </c>
      <c r="I375" s="388" t="s">
        <v>608</v>
      </c>
      <c r="N375" s="17"/>
      <c r="O375" s="17"/>
      <c r="P375" s="17"/>
      <c r="Q375" s="17"/>
      <c r="R375" s="18"/>
      <c r="S375" s="18"/>
    </row>
    <row r="376" spans="1:19" s="16" customFormat="1" ht="18.75" x14ac:dyDescent="0.3">
      <c r="A376" s="993" t="b">
        <v>1</v>
      </c>
      <c r="B376" s="675" t="s">
        <v>971</v>
      </c>
      <c r="C376" s="679" t="s">
        <v>977</v>
      </c>
      <c r="D376" s="676"/>
      <c r="E376" s="677"/>
      <c r="F376" s="677"/>
      <c r="G376" s="677"/>
      <c r="H376" s="678"/>
      <c r="I376" s="677"/>
      <c r="N376" s="17"/>
      <c r="O376" s="17"/>
      <c r="P376" s="17"/>
      <c r="Q376" s="17"/>
      <c r="R376" s="18"/>
      <c r="S376" s="18"/>
    </row>
    <row r="377" spans="1:19" s="16" customFormat="1" ht="18.75" x14ac:dyDescent="0.3">
      <c r="A377" s="395"/>
      <c r="B377" s="611" t="s">
        <v>925</v>
      </c>
      <c r="C377" s="395"/>
      <c r="D377" s="395"/>
      <c r="E377" s="388"/>
      <c r="F377" s="388"/>
      <c r="G377" s="388"/>
      <c r="H377" s="633"/>
      <c r="I377" s="388"/>
      <c r="N377" s="17"/>
      <c r="O377" s="17"/>
      <c r="P377" s="17"/>
      <c r="Q377" s="17"/>
      <c r="R377" s="18"/>
      <c r="S377" s="18"/>
    </row>
    <row r="378" spans="1:19" s="18" customFormat="1" ht="15.75" x14ac:dyDescent="0.25">
      <c r="A378" s="994" t="b">
        <v>1</v>
      </c>
      <c r="B378" s="585" t="s">
        <v>370</v>
      </c>
      <c r="C378" s="396">
        <f>IFERROR(IF(A378=TRUE,E327,""),"")</f>
        <v>0</v>
      </c>
      <c r="D378" s="396">
        <f>IFERROR(IF(A378=TRUE,E328,""),"")</f>
        <v>0</v>
      </c>
      <c r="E378" s="997" t="b">
        <v>1</v>
      </c>
      <c r="F378" s="1002"/>
      <c r="G378" s="586">
        <f t="shared" ref="G378:G380" si="2">IFERROR(IF(E378=TRUE,(C378+D378)/2, F378),0)</f>
        <v>0</v>
      </c>
      <c r="H378" s="396">
        <f>G378*'ARHIGRAM 6'!$I$16</f>
        <v>0</v>
      </c>
      <c r="I378" s="396">
        <f>STAVBE!H175</f>
        <v>0</v>
      </c>
    </row>
    <row r="379" spans="1:19" s="18" customFormat="1" ht="15.75" x14ac:dyDescent="0.25">
      <c r="A379" s="995" t="b">
        <v>1</v>
      </c>
      <c r="B379" s="587" t="s">
        <v>2</v>
      </c>
      <c r="C379" s="674">
        <f>IFERROR(IF(A379=TRUE,E338,""),"")</f>
        <v>0</v>
      </c>
      <c r="D379" s="674">
        <f>IFERROR(IF(A379=TRUE,E339,""),"")</f>
        <v>0</v>
      </c>
      <c r="E379" s="998" t="b">
        <v>1</v>
      </c>
      <c r="F379" s="1003"/>
      <c r="G379" s="588">
        <f t="shared" si="2"/>
        <v>0</v>
      </c>
      <c r="H379" s="397">
        <f>G379*'ARHIGRAM 6'!$I$16</f>
        <v>0</v>
      </c>
      <c r="I379" s="397"/>
    </row>
    <row r="380" spans="1:19" s="18" customFormat="1" ht="15.75" x14ac:dyDescent="0.25">
      <c r="A380" s="995" t="b">
        <v>1</v>
      </c>
      <c r="B380" s="587" t="s">
        <v>218</v>
      </c>
      <c r="C380" s="674">
        <f>IFERROR(IF(A380=TRUE,E345,""),"")</f>
        <v>0</v>
      </c>
      <c r="D380" s="674">
        <f>IFERROR(IF(A380=TRUE,E346,""),"")</f>
        <v>0</v>
      </c>
      <c r="E380" s="998" t="b">
        <v>1</v>
      </c>
      <c r="F380" s="1003"/>
      <c r="G380" s="588">
        <f t="shared" si="2"/>
        <v>0</v>
      </c>
      <c r="H380" s="397">
        <f>G380*'ARHIGRAM 6'!$I$16</f>
        <v>0</v>
      </c>
      <c r="I380" s="397">
        <f>'ODPRTI PROSTOR'!H175</f>
        <v>0</v>
      </c>
    </row>
    <row r="381" spans="1:19" s="18" customFormat="1" ht="15.75" x14ac:dyDescent="0.25">
      <c r="A381" s="21"/>
      <c r="B381" s="612" t="s">
        <v>926</v>
      </c>
      <c r="C381" s="590"/>
      <c r="D381" s="590"/>
      <c r="E381" s="400"/>
      <c r="F381" s="400"/>
      <c r="G381" s="399"/>
      <c r="H381" s="399"/>
      <c r="I381" s="399"/>
    </row>
    <row r="382" spans="1:19" s="18" customFormat="1" ht="15.75" x14ac:dyDescent="0.25">
      <c r="A382" s="994" t="b">
        <v>1</v>
      </c>
      <c r="B382" s="680" t="s">
        <v>372</v>
      </c>
      <c r="C382" s="681">
        <f>IFERROR(IF(A382=TRUE,('GRADBENE KONSTRUKCIJE'!C27+'GRADBENE KONSTRUKCIJE'!C49+'GRADBENE KONSTRUKCIJE'!C71+'GRADBENE KONSTRUKCIJE'!C93+'GRADBENE KONSTRUKCIJE'!C115),""),"")</f>
        <v>0</v>
      </c>
      <c r="D382" s="681">
        <f>IFERROR(IF(A382=TRUE,('GRADBENE KONSTRUKCIJE'!C28+'GRADBENE KONSTRUKCIJE'!C50+'GRADBENE KONSTRUKCIJE'!C72+'GRADBENE KONSTRUKCIJE'!C94+'GRADBENE KONSTRUKCIJE'!C116),""),"")</f>
        <v>0</v>
      </c>
      <c r="E382" s="999" t="b">
        <v>1</v>
      </c>
      <c r="F382" s="1004"/>
      <c r="G382" s="682">
        <f>IFERROR(IF(E382=TRUE,(C382+D382)/2, F382),0)</f>
        <v>0</v>
      </c>
      <c r="H382" s="683">
        <f>G382*'ARHIGRAM 6'!$I$16</f>
        <v>0</v>
      </c>
      <c r="I382" s="684">
        <f>'GRADBENE KONSTRUKCIJE'!H161</f>
        <v>0</v>
      </c>
    </row>
    <row r="383" spans="1:19" s="18" customFormat="1" ht="15.75" x14ac:dyDescent="0.25">
      <c r="A383" s="995" t="b">
        <v>1</v>
      </c>
      <c r="B383" s="685" t="s">
        <v>373</v>
      </c>
      <c r="C383" s="686">
        <f>IFERROR(IF(A383=TRUE,('TEHNIČNA OPREMA'!C27+'TEHNIČNA OPREMA'!C49+'TEHNIČNA OPREMA'!C71+'TEHNIČNA OPREMA'!C93+'TEHNIČNA OPREMA'!C115),""),"")</f>
        <v>0</v>
      </c>
      <c r="D383" s="686" cm="1">
        <f t="array" ref="D383">IFERROR(IF(A383=TRUE,('TEHNIČNA OPREMA'!C28+'TEHNIČNA OPREMA'!C50+'TEHNIČNA OPREMA'!C72+'TEHNIČNA OPREMA'!C94+'TEHNIČNA OPREMA'!C116:C116),""),"")</f>
        <v>0</v>
      </c>
      <c r="E383" s="1000" t="b">
        <v>1</v>
      </c>
      <c r="F383" s="1005"/>
      <c r="G383" s="687">
        <f>IFERROR(IF(E383=TRUE,(C383+D383)/2, F383),0)</f>
        <v>0</v>
      </c>
      <c r="H383" s="688">
        <f>G383*'ARHIGRAM 6'!$I$16</f>
        <v>0</v>
      </c>
      <c r="I383" s="688">
        <f>'TEHNIČNA OPREMA'!H168</f>
        <v>0</v>
      </c>
    </row>
    <row r="384" spans="1:19" s="18" customFormat="1" ht="15.75" x14ac:dyDescent="0.25">
      <c r="A384" s="995" t="b">
        <v>1</v>
      </c>
      <c r="B384" s="685" t="s">
        <v>374</v>
      </c>
      <c r="C384" s="686">
        <f>IFERROR(IF(A384=TRUE,('TEHNIČNA OPREMA'!G27+'TEHNIČNA OPREMA'!G49+'TEHNIČNA OPREMA'!G71+'TEHNIČNA OPREMA'!G93+'TEHNIČNA OPREMA'!G115),""),"")</f>
        <v>0</v>
      </c>
      <c r="D384" s="686">
        <f>IFERROR(IF(A384=TRUE,('TEHNIČNA OPREMA'!G28+'TEHNIČNA OPREMA'!G50+'TEHNIČNA OPREMA'!G72+'TEHNIČNA OPREMA'!G94+'TEHNIČNA OPREMA'!G116),""),"")</f>
        <v>0</v>
      </c>
      <c r="E384" s="1000" t="b">
        <v>1</v>
      </c>
      <c r="F384" s="1005"/>
      <c r="G384" s="687">
        <f t="shared" ref="G384:G389" si="3">IFERROR(IF(E384=TRUE,(C384+D384)/2, F384),0)</f>
        <v>0</v>
      </c>
      <c r="H384" s="688">
        <f>G384*'ARHIGRAM 6'!$I$16</f>
        <v>0</v>
      </c>
      <c r="I384" s="688">
        <f>'TEHNIČNA OPREMA'!H221</f>
        <v>0</v>
      </c>
    </row>
    <row r="385" spans="1:23" s="18" customFormat="1" ht="15.75" x14ac:dyDescent="0.25">
      <c r="A385" s="995" t="b">
        <v>1</v>
      </c>
      <c r="B385" s="685" t="s">
        <v>365</v>
      </c>
      <c r="C385" s="686">
        <f>IFERROR(IF(A385=TRUE,('TEHNIČNA OPREMA'!K27+'TEHNIČNA OPREMA'!K49+'TEHNIČNA OPREMA'!K71+'TEHNIČNA OPREMA'!K93+'TEHNIČNA OPREMA'!K115),""),"")</f>
        <v>0</v>
      </c>
      <c r="D385" s="686">
        <f>IFERROR(IF(A385=TRUE,('TEHNIČNA OPREMA'!K28+'TEHNIČNA OPREMA'!K50+'TEHNIČNA OPREMA'!K72+'TEHNIČNA OPREMA'!K94+'TEHNIČNA OPREMA'!K116),""),"")</f>
        <v>0</v>
      </c>
      <c r="E385" s="1000" t="b">
        <v>1</v>
      </c>
      <c r="F385" s="1005"/>
      <c r="G385" s="687">
        <f t="shared" si="3"/>
        <v>0</v>
      </c>
      <c r="H385" s="688">
        <f>G385*'ARHIGRAM 6'!$I$16</f>
        <v>0</v>
      </c>
      <c r="I385" s="688">
        <f>'TEHNIČNA OPREMA'!H271</f>
        <v>0</v>
      </c>
    </row>
    <row r="386" spans="1:23" s="18" customFormat="1" ht="15.75" x14ac:dyDescent="0.25">
      <c r="A386" s="995" t="b">
        <v>1</v>
      </c>
      <c r="B386" s="685" t="s">
        <v>377</v>
      </c>
      <c r="C386" s="686">
        <f>IFERROR(IF(A386=TRUE,('POŽARNA VARNOST'!C27+'POŽARNA VARNOST'!C49+'POŽARNA VARNOST'!C71+'POŽARNA VARNOST'!C93+'POŽARNA VARNOST'!C115),""),"")</f>
        <v>0</v>
      </c>
      <c r="D386" s="686">
        <f>IFERROR(IF(A386=TRUE,('POŽARNA VARNOST'!C28+'POŽARNA VARNOST'!C50+'POŽARNA VARNOST'!C72+'POŽARNA VARNOST'!C94+'POŽARNA VARNOST'!C116),""),"")</f>
        <v>0</v>
      </c>
      <c r="E386" s="1000" t="b">
        <v>1</v>
      </c>
      <c r="F386" s="1005"/>
      <c r="G386" s="687">
        <f t="shared" si="3"/>
        <v>0</v>
      </c>
      <c r="H386" s="688">
        <f>G386*'ARHIGRAM 6'!$I$16</f>
        <v>0</v>
      </c>
      <c r="I386" s="688">
        <f>'POŽARNA VARNOST'!H176</f>
        <v>0</v>
      </c>
    </row>
    <row r="387" spans="1:23" s="18" customFormat="1" ht="15.75" x14ac:dyDescent="0.25">
      <c r="A387" s="995" t="b">
        <v>1</v>
      </c>
      <c r="B387" s="689" t="s">
        <v>375</v>
      </c>
      <c r="C387" s="690">
        <f>IFERROR(IF(A387=TRUE,('GRADBENA FIZIKA'!C28+'GRADBENA FIZIKA'!C50+'GRADBENA FIZIKA'!C72+'GRADBENA FIZIKA'!C94+'GRADBENA FIZIKA'!C116),""),"")</f>
        <v>0</v>
      </c>
      <c r="D387" s="690">
        <f>IFERROR(IF(A387=TRUE,('GRADBENA FIZIKA'!C29+'GRADBENA FIZIKA'!C51+'GRADBENA FIZIKA'!C73+'GRADBENA FIZIKA'!C95+'GRADBENA FIZIKA'!C117),""),"")</f>
        <v>0</v>
      </c>
      <c r="E387" s="1000" t="b">
        <v>1</v>
      </c>
      <c r="F387" s="1005"/>
      <c r="G387" s="687">
        <f t="shared" si="3"/>
        <v>0</v>
      </c>
      <c r="H387" s="688">
        <f>G387*'ARHIGRAM 6'!$I$16</f>
        <v>0</v>
      </c>
      <c r="I387" s="688">
        <f>'GRADBENA FIZIKA'!H166</f>
        <v>0</v>
      </c>
    </row>
    <row r="388" spans="1:23" s="18" customFormat="1" ht="15.75" x14ac:dyDescent="0.25">
      <c r="A388" s="995" t="b">
        <v>1</v>
      </c>
      <c r="B388" s="691" t="s">
        <v>69</v>
      </c>
      <c r="C388" s="692">
        <f>IFERROR(IF(A388=TRUE,('GRADBENA FIZIKA'!G28+'GRADBENA FIZIKA'!G50+'GRADBENA FIZIKA'!G72+'GRADBENA FIZIKA'!G94+'GRADBENA FIZIKA'!G116),""),"")</f>
        <v>0</v>
      </c>
      <c r="D388" s="692">
        <f>IFERROR(IF(A388=TRUE,('GRADBENA FIZIKA'!G29+'GRADBENA FIZIKA'!G51+'GRADBENA FIZIKA'!G73+'GRADBENA FIZIKA'!G95+'GRADBENA FIZIKA'!G117),""),"")</f>
        <v>0</v>
      </c>
      <c r="E388" s="1000" t="b">
        <v>1</v>
      </c>
      <c r="F388" s="1005"/>
      <c r="G388" s="687">
        <f t="shared" si="3"/>
        <v>0</v>
      </c>
      <c r="H388" s="688">
        <f>G388*'ARHIGRAM 6'!$I$16</f>
        <v>0</v>
      </c>
      <c r="I388" s="688">
        <f>'GRADBENA FIZIKA'!H211</f>
        <v>0</v>
      </c>
    </row>
    <row r="389" spans="1:23" s="18" customFormat="1" ht="15.75" x14ac:dyDescent="0.25">
      <c r="A389" s="996" t="b">
        <v>1</v>
      </c>
      <c r="B389" s="693" t="s">
        <v>376</v>
      </c>
      <c r="C389" s="694">
        <f>IFERROR(IF(A389=TRUE,IF(E326&gt;50000,"NI DOLOČENO",('GRADBENA FIZIKA'!K28+'GRADBENA FIZIKA'!K50+'GRADBENA FIZIKA'!K72+'GRADBENA FIZIKA'!K94+'GRADBENA FIZIKA'!K116)),""),"")</f>
        <v>0</v>
      </c>
      <c r="D389" s="694">
        <f>IFERROR(IF(A389=TRUE,IF(E326&gt;50000,"NI DOLOČENO",('GRADBENA FIZIKA'!K29+'GRADBENA FIZIKA'!K51+'GRADBENA FIZIKA'!K73+'GRADBENA FIZIKA'!K95+'GRADBENA FIZIKA'!K117)),""),"")</f>
        <v>0</v>
      </c>
      <c r="E389" s="1001" t="b">
        <v>1</v>
      </c>
      <c r="F389" s="1006"/>
      <c r="G389" s="695">
        <f t="shared" si="3"/>
        <v>0</v>
      </c>
      <c r="H389" s="688">
        <f>G389*'ARHIGRAM 6'!$I$16</f>
        <v>0</v>
      </c>
      <c r="I389" s="696">
        <f>'GRADBENA FIZIKA'!H256</f>
        <v>0</v>
      </c>
    </row>
    <row r="390" spans="1:23" s="18" customFormat="1" ht="15.75" x14ac:dyDescent="0.25">
      <c r="A390" s="21"/>
      <c r="B390" s="22"/>
      <c r="C390" s="22"/>
      <c r="D390" s="23"/>
      <c r="E390" s="23"/>
      <c r="F390" s="23"/>
      <c r="G390" s="23"/>
      <c r="H390" s="295">
        <f>SUM(H378:H389)</f>
        <v>0</v>
      </c>
      <c r="I390" s="295">
        <f>SUM(I378:I389)</f>
        <v>0</v>
      </c>
      <c r="J390" s="24"/>
      <c r="K390" s="24"/>
    </row>
    <row r="391" spans="1:23" s="18" customFormat="1" ht="18.75" x14ac:dyDescent="0.25">
      <c r="A391" s="1" t="s">
        <v>927</v>
      </c>
      <c r="B391" s="63"/>
      <c r="C391" s="63"/>
      <c r="D391" s="63"/>
      <c r="E391" s="341"/>
      <c r="F391" s="63"/>
      <c r="L391" s="296"/>
      <c r="M391" s="296"/>
    </row>
    <row r="392" spans="1:23" s="18" customFormat="1" ht="15.75" customHeight="1" x14ac:dyDescent="0.25">
      <c r="B392" s="34" t="s">
        <v>1093</v>
      </c>
      <c r="C392" s="34"/>
      <c r="D392" s="229"/>
      <c r="E392" s="229"/>
      <c r="F392" s="229"/>
    </row>
    <row r="393" spans="1:23" ht="15.75" x14ac:dyDescent="0.25">
      <c r="A393" s="18"/>
      <c r="B393" s="386"/>
      <c r="C393" s="386"/>
      <c r="D393" s="387"/>
      <c r="E393" s="388"/>
      <c r="F393" s="386"/>
      <c r="G393" s="386" t="s">
        <v>742</v>
      </c>
      <c r="H393" s="386"/>
      <c r="I393" s="386"/>
      <c r="J393" s="386"/>
      <c r="K393" s="386"/>
      <c r="L393" s="386"/>
    </row>
    <row r="394" spans="1:23" s="34" customFormat="1" ht="15.75" x14ac:dyDescent="0.25">
      <c r="A394" s="18"/>
      <c r="B394" s="389" t="s">
        <v>488</v>
      </c>
      <c r="C394" s="389"/>
      <c r="D394" s="390"/>
      <c r="E394" s="391" t="s">
        <v>482</v>
      </c>
      <c r="F394" s="1007">
        <v>0</v>
      </c>
      <c r="G394" s="787" t="s">
        <v>1130</v>
      </c>
      <c r="H394" s="787"/>
      <c r="I394" s="787"/>
      <c r="J394" s="787"/>
      <c r="K394" s="787"/>
      <c r="L394" s="787"/>
      <c r="W394" s="37"/>
    </row>
    <row r="395" spans="1:23" ht="15.75" x14ac:dyDescent="0.25">
      <c r="A395" s="18"/>
      <c r="B395" s="665" t="s">
        <v>1129</v>
      </c>
      <c r="C395" s="665"/>
      <c r="D395" s="394"/>
      <c r="E395" s="834" t="s">
        <v>483</v>
      </c>
      <c r="F395" s="1008">
        <v>0</v>
      </c>
      <c r="G395" s="835" t="s">
        <v>1131</v>
      </c>
      <c r="H395" s="788"/>
      <c r="I395" s="788"/>
      <c r="J395" s="788"/>
      <c r="K395" s="788"/>
      <c r="L395" s="788"/>
    </row>
    <row r="396" spans="1:23" s="34" customFormat="1" ht="30.75" customHeight="1" x14ac:dyDescent="0.25">
      <c r="A396" s="18"/>
      <c r="B396" s="392" t="s">
        <v>740</v>
      </c>
      <c r="C396" s="392"/>
      <c r="D396" s="393"/>
      <c r="E396" s="833" t="s">
        <v>741</v>
      </c>
      <c r="F396" s="1009">
        <v>1</v>
      </c>
      <c r="G396" s="1315" t="s">
        <v>982</v>
      </c>
      <c r="H396" s="1314"/>
      <c r="I396" s="1314"/>
      <c r="J396" s="1314"/>
      <c r="K396" s="1314"/>
      <c r="L396" s="1314"/>
      <c r="W396" s="37"/>
    </row>
    <row r="397" spans="1:23" ht="15.75" x14ac:dyDescent="0.25">
      <c r="A397" s="18"/>
      <c r="B397" s="665" t="s">
        <v>1053</v>
      </c>
      <c r="C397" s="665"/>
      <c r="D397" s="394"/>
      <c r="E397" s="666" t="b">
        <v>1</v>
      </c>
      <c r="F397" s="1010" t="b">
        <v>0</v>
      </c>
      <c r="G397" s="1314" t="s">
        <v>1054</v>
      </c>
      <c r="H397" s="1314"/>
      <c r="I397" s="1314"/>
      <c r="J397" s="1314"/>
      <c r="K397" s="1314"/>
      <c r="L397" s="1314"/>
    </row>
    <row r="398" spans="1:23" ht="15.75" x14ac:dyDescent="0.25">
      <c r="A398" s="18"/>
      <c r="B398" s="665" t="s">
        <v>965</v>
      </c>
      <c r="C398" s="665"/>
      <c r="D398" s="394"/>
      <c r="E398" s="666" t="b">
        <v>1</v>
      </c>
      <c r="F398" s="1011" t="b">
        <v>0</v>
      </c>
      <c r="G398" s="1314" t="s">
        <v>966</v>
      </c>
      <c r="H398" s="1314"/>
      <c r="I398" s="1314"/>
      <c r="J398" s="1314"/>
      <c r="K398" s="1314"/>
      <c r="L398" s="1314"/>
    </row>
    <row r="399" spans="1:23" ht="15.75" x14ac:dyDescent="0.25">
      <c r="A399" s="18"/>
      <c r="B399" s="665" t="s">
        <v>1056</v>
      </c>
      <c r="C399" s="665"/>
      <c r="D399" s="394"/>
      <c r="E399" s="666" t="b">
        <v>1</v>
      </c>
      <c r="F399" s="1011" t="b">
        <v>0</v>
      </c>
      <c r="G399" s="1314" t="s">
        <v>967</v>
      </c>
      <c r="H399" s="1314"/>
      <c r="I399" s="1314"/>
      <c r="J399" s="1314"/>
      <c r="K399" s="1314"/>
      <c r="L399" s="1314"/>
    </row>
    <row r="400" spans="1:23" ht="15.75" x14ac:dyDescent="0.25">
      <c r="A400" s="18"/>
      <c r="B400" s="665" t="s">
        <v>964</v>
      </c>
      <c r="C400" s="665"/>
      <c r="D400" s="394"/>
      <c r="E400" s="666" t="b">
        <v>1</v>
      </c>
      <c r="F400" s="1011" t="b">
        <v>0</v>
      </c>
      <c r="G400" s="1314" t="s">
        <v>967</v>
      </c>
      <c r="H400" s="1314"/>
      <c r="I400" s="1314"/>
      <c r="J400" s="1314"/>
      <c r="K400" s="1314"/>
      <c r="L400" s="1314"/>
    </row>
    <row r="401" spans="1:23" ht="15.75" x14ac:dyDescent="0.25">
      <c r="A401" s="18"/>
      <c r="B401" s="392" t="s">
        <v>505</v>
      </c>
      <c r="C401" s="392"/>
      <c r="D401" s="393"/>
      <c r="E401" s="1305" t="b">
        <v>1</v>
      </c>
      <c r="F401" s="1010" t="b">
        <v>0</v>
      </c>
      <c r="G401" s="1314" t="s">
        <v>1055</v>
      </c>
      <c r="H401" s="1314"/>
      <c r="I401" s="1314"/>
      <c r="J401" s="1314"/>
      <c r="K401" s="1314"/>
      <c r="L401" s="1314"/>
    </row>
    <row r="402" spans="1:23" ht="15.75" x14ac:dyDescent="0.25">
      <c r="A402" s="18"/>
      <c r="B402" s="404"/>
      <c r="C402" s="404"/>
      <c r="D402" s="405"/>
      <c r="E402" s="406"/>
      <c r="F402" s="734"/>
      <c r="G402" s="407"/>
      <c r="H402" s="407"/>
      <c r="I402" s="407"/>
      <c r="J402" s="407"/>
      <c r="K402" s="407"/>
      <c r="L402" s="407"/>
    </row>
    <row r="403" spans="1:23" ht="25.5" x14ac:dyDescent="0.25">
      <c r="A403" s="18"/>
      <c r="B403" s="402" t="s">
        <v>485</v>
      </c>
      <c r="C403" s="402"/>
      <c r="D403" s="403"/>
      <c r="E403" s="403"/>
      <c r="F403" s="1309" t="b">
        <v>1</v>
      </c>
      <c r="G403" s="870" t="s">
        <v>1153</v>
      </c>
      <c r="H403" s="401"/>
      <c r="I403" s="401"/>
      <c r="J403" s="401"/>
      <c r="K403" s="401"/>
      <c r="L403" s="401"/>
    </row>
    <row r="404" spans="1:23" s="34" customFormat="1" ht="15.75" x14ac:dyDescent="0.25">
      <c r="A404" s="18"/>
      <c r="B404" s="385" t="s">
        <v>486</v>
      </c>
      <c r="C404" s="385"/>
      <c r="D404" s="384"/>
      <c r="E404" s="384"/>
      <c r="F404" s="1310" t="b">
        <v>1</v>
      </c>
      <c r="G404" s="385" t="s">
        <v>1154</v>
      </c>
      <c r="H404" s="290"/>
      <c r="W404" s="37"/>
    </row>
    <row r="405" spans="1:23" s="34" customFormat="1" ht="25.5" x14ac:dyDescent="0.25">
      <c r="A405" s="18"/>
      <c r="B405" s="1306" t="s">
        <v>487</v>
      </c>
      <c r="C405" s="1306"/>
      <c r="D405" s="1307"/>
      <c r="E405" s="1307"/>
      <c r="F405" s="1311" t="b">
        <v>1</v>
      </c>
      <c r="G405" s="385" t="s">
        <v>1154</v>
      </c>
      <c r="H405" s="1308"/>
      <c r="I405" s="1308"/>
      <c r="J405" s="1308"/>
      <c r="K405" s="1308"/>
      <c r="L405" s="1308"/>
      <c r="W405" s="37"/>
    </row>
    <row r="406" spans="1:23" ht="15.75" x14ac:dyDescent="0.25">
      <c r="A406" s="18"/>
      <c r="B406" s="39"/>
      <c r="C406" s="39"/>
      <c r="D406" s="41"/>
      <c r="E406" s="354"/>
      <c r="F406" s="27"/>
    </row>
    <row r="407" spans="1:23" ht="15.75" x14ac:dyDescent="0.25">
      <c r="A407" s="225"/>
      <c r="B407" s="39"/>
      <c r="C407" s="39"/>
      <c r="D407" s="41"/>
      <c r="E407" s="354"/>
      <c r="F407" s="27"/>
    </row>
    <row r="408" spans="1:23" x14ac:dyDescent="0.2">
      <c r="A408" s="34"/>
      <c r="B408" s="34"/>
      <c r="C408" s="34"/>
      <c r="D408" s="51"/>
      <c r="E408" s="346"/>
    </row>
    <row r="409" spans="1:23" ht="15.75" x14ac:dyDescent="0.25">
      <c r="A409" s="31"/>
      <c r="B409" s="222" t="s">
        <v>914</v>
      </c>
      <c r="C409" s="222"/>
      <c r="D409" s="223"/>
      <c r="E409" s="355"/>
      <c r="F409" s="224"/>
      <c r="G409" s="224"/>
      <c r="H409" s="224"/>
      <c r="I409" s="224"/>
      <c r="J409" s="224"/>
      <c r="K409" s="224"/>
      <c r="L409" s="224"/>
    </row>
  </sheetData>
  <sheetProtection algorithmName="SHA-512" hashValue="jFO6SXT2nEmChi1bUuusdK5P/0vFOVHYP72Aq9Ujz2jZdw3FhqQn5plxOljW6CQ7iqrjtHaZLN6ihpnvWfks+Q==" saltValue="0jP1oE11Uyb9Boz18jZd5w==" spinCount="100000" sheet="1" objects="1" scenarios="1" formatCells="0" formatColumns="0" formatRows="0"/>
  <dataConsolidate/>
  <mergeCells count="31">
    <mergeCell ref="E186:F186"/>
    <mergeCell ref="E197:F197"/>
    <mergeCell ref="B232:D232"/>
    <mergeCell ref="B231:D231"/>
    <mergeCell ref="E14:F14"/>
    <mergeCell ref="E46:F46"/>
    <mergeCell ref="E45:F45"/>
    <mergeCell ref="E76:F76"/>
    <mergeCell ref="E77:F77"/>
    <mergeCell ref="B372:F372"/>
    <mergeCell ref="B373:F373"/>
    <mergeCell ref="E15:F15"/>
    <mergeCell ref="E107:F107"/>
    <mergeCell ref="E108:F108"/>
    <mergeCell ref="E139:F139"/>
    <mergeCell ref="E138:F138"/>
    <mergeCell ref="E174:F174"/>
    <mergeCell ref="E185:F185"/>
    <mergeCell ref="E196:F196"/>
    <mergeCell ref="E207:F207"/>
    <mergeCell ref="B171:D171"/>
    <mergeCell ref="E208:F208"/>
    <mergeCell ref="E219:F219"/>
    <mergeCell ref="E218:F218"/>
    <mergeCell ref="E175:F175"/>
    <mergeCell ref="G398:L398"/>
    <mergeCell ref="G400:L400"/>
    <mergeCell ref="G397:L397"/>
    <mergeCell ref="G396:L396"/>
    <mergeCell ref="G401:L401"/>
    <mergeCell ref="G399:L399"/>
  </mergeCells>
  <phoneticPr fontId="66" type="noConversion"/>
  <pageMargins left="0.7" right="0.7" top="0.75" bottom="0.75" header="0.3" footer="0.3"/>
  <pageSetup paperSize="8" scale="7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755" r:id="rId4" name="Check Box 11">
              <controlPr defaultSize="0" autoFill="0" autoLine="0" autoPict="0">
                <anchor moveWithCells="1">
                  <from>
                    <xdr:col>5</xdr:col>
                    <xdr:colOff>38100</xdr:colOff>
                    <xdr:row>397</xdr:row>
                    <xdr:rowOff>9525</xdr:rowOff>
                  </from>
                  <to>
                    <xdr:col>5</xdr:col>
                    <xdr:colOff>304800</xdr:colOff>
                    <xdr:row>397</xdr:row>
                    <xdr:rowOff>180975</xdr:rowOff>
                  </to>
                </anchor>
              </controlPr>
            </control>
          </mc:Choice>
        </mc:AlternateContent>
        <mc:AlternateContent xmlns:mc="http://schemas.openxmlformats.org/markup-compatibility/2006">
          <mc:Choice Requires="x14">
            <control shapeId="31757" r:id="rId5" name="Check Box 13">
              <controlPr defaultSize="0" autoFill="0" autoLine="0" autoPict="0">
                <anchor moveWithCells="1">
                  <from>
                    <xdr:col>5</xdr:col>
                    <xdr:colOff>38100</xdr:colOff>
                    <xdr:row>404</xdr:row>
                    <xdr:rowOff>47625</xdr:rowOff>
                  </from>
                  <to>
                    <xdr:col>5</xdr:col>
                    <xdr:colOff>342900</xdr:colOff>
                    <xdr:row>405</xdr:row>
                    <xdr:rowOff>0</xdr:rowOff>
                  </to>
                </anchor>
              </controlPr>
            </control>
          </mc:Choice>
        </mc:AlternateContent>
        <mc:AlternateContent xmlns:mc="http://schemas.openxmlformats.org/markup-compatibility/2006">
          <mc:Choice Requires="x14">
            <control shapeId="31761" r:id="rId6" name="Check Box 17">
              <controlPr defaultSize="0" autoFill="0" autoLine="0" autoPict="0">
                <anchor moveWithCells="1">
                  <from>
                    <xdr:col>5</xdr:col>
                    <xdr:colOff>38100</xdr:colOff>
                    <xdr:row>402</xdr:row>
                    <xdr:rowOff>304800</xdr:rowOff>
                  </from>
                  <to>
                    <xdr:col>5</xdr:col>
                    <xdr:colOff>342900</xdr:colOff>
                    <xdr:row>404</xdr:row>
                    <xdr:rowOff>0</xdr:rowOff>
                  </to>
                </anchor>
              </controlPr>
            </control>
          </mc:Choice>
        </mc:AlternateContent>
        <mc:AlternateContent xmlns:mc="http://schemas.openxmlformats.org/markup-compatibility/2006">
          <mc:Choice Requires="x14">
            <control shapeId="31762" r:id="rId7" name="Check Box 18">
              <controlPr defaultSize="0" autoFill="0" autoLine="0" autoPict="0">
                <anchor moveWithCells="1">
                  <from>
                    <xdr:col>5</xdr:col>
                    <xdr:colOff>38100</xdr:colOff>
                    <xdr:row>402</xdr:row>
                    <xdr:rowOff>9525</xdr:rowOff>
                  </from>
                  <to>
                    <xdr:col>5</xdr:col>
                    <xdr:colOff>342900</xdr:colOff>
                    <xdr:row>403</xdr:row>
                    <xdr:rowOff>0</xdr:rowOff>
                  </to>
                </anchor>
              </controlPr>
            </control>
          </mc:Choice>
        </mc:AlternateContent>
        <mc:AlternateContent xmlns:mc="http://schemas.openxmlformats.org/markup-compatibility/2006">
          <mc:Choice Requires="x14">
            <control shapeId="31788" r:id="rId8" name="Check Box 44">
              <controlPr defaultSize="0" autoFill="0" autoLine="0" autoPict="0">
                <anchor moveWithCells="1">
                  <from>
                    <xdr:col>4</xdr:col>
                    <xdr:colOff>76200</xdr:colOff>
                    <xdr:row>377</xdr:row>
                    <xdr:rowOff>19050</xdr:rowOff>
                  </from>
                  <to>
                    <xdr:col>4</xdr:col>
                    <xdr:colOff>323850</xdr:colOff>
                    <xdr:row>377</xdr:row>
                    <xdr:rowOff>180975</xdr:rowOff>
                  </to>
                </anchor>
              </controlPr>
            </control>
          </mc:Choice>
        </mc:AlternateContent>
        <mc:AlternateContent xmlns:mc="http://schemas.openxmlformats.org/markup-compatibility/2006">
          <mc:Choice Requires="x14">
            <control shapeId="31789" r:id="rId9" name="Check Box 45">
              <controlPr defaultSize="0" autoFill="0" autoLine="0" autoPict="0">
                <anchor moveWithCells="1">
                  <from>
                    <xdr:col>4</xdr:col>
                    <xdr:colOff>76200</xdr:colOff>
                    <xdr:row>378</xdr:row>
                    <xdr:rowOff>19050</xdr:rowOff>
                  </from>
                  <to>
                    <xdr:col>4</xdr:col>
                    <xdr:colOff>323850</xdr:colOff>
                    <xdr:row>378</xdr:row>
                    <xdr:rowOff>180975</xdr:rowOff>
                  </to>
                </anchor>
              </controlPr>
            </control>
          </mc:Choice>
        </mc:AlternateContent>
        <mc:AlternateContent xmlns:mc="http://schemas.openxmlformats.org/markup-compatibility/2006">
          <mc:Choice Requires="x14">
            <control shapeId="31790" r:id="rId10" name="Check Box 46">
              <controlPr defaultSize="0" autoFill="0" autoLine="0" autoPict="0">
                <anchor moveWithCells="1">
                  <from>
                    <xdr:col>4</xdr:col>
                    <xdr:colOff>76200</xdr:colOff>
                    <xdr:row>379</xdr:row>
                    <xdr:rowOff>19050</xdr:rowOff>
                  </from>
                  <to>
                    <xdr:col>4</xdr:col>
                    <xdr:colOff>323850</xdr:colOff>
                    <xdr:row>379</xdr:row>
                    <xdr:rowOff>180975</xdr:rowOff>
                  </to>
                </anchor>
              </controlPr>
            </control>
          </mc:Choice>
        </mc:AlternateContent>
        <mc:AlternateContent xmlns:mc="http://schemas.openxmlformats.org/markup-compatibility/2006">
          <mc:Choice Requires="x14">
            <control shapeId="31791" r:id="rId11" name="Check Box 47">
              <controlPr defaultSize="0" autoFill="0" autoLine="0" autoPict="0">
                <anchor moveWithCells="1">
                  <from>
                    <xdr:col>4</xdr:col>
                    <xdr:colOff>76200</xdr:colOff>
                    <xdr:row>381</xdr:row>
                    <xdr:rowOff>19050</xdr:rowOff>
                  </from>
                  <to>
                    <xdr:col>4</xdr:col>
                    <xdr:colOff>323850</xdr:colOff>
                    <xdr:row>381</xdr:row>
                    <xdr:rowOff>180975</xdr:rowOff>
                  </to>
                </anchor>
              </controlPr>
            </control>
          </mc:Choice>
        </mc:AlternateContent>
        <mc:AlternateContent xmlns:mc="http://schemas.openxmlformats.org/markup-compatibility/2006">
          <mc:Choice Requires="x14">
            <control shapeId="31792" r:id="rId12" name="Check Box 48">
              <controlPr defaultSize="0" autoFill="0" autoLine="0" autoPict="0">
                <anchor moveWithCells="1">
                  <from>
                    <xdr:col>4</xdr:col>
                    <xdr:colOff>76200</xdr:colOff>
                    <xdr:row>382</xdr:row>
                    <xdr:rowOff>19050</xdr:rowOff>
                  </from>
                  <to>
                    <xdr:col>4</xdr:col>
                    <xdr:colOff>323850</xdr:colOff>
                    <xdr:row>382</xdr:row>
                    <xdr:rowOff>180975</xdr:rowOff>
                  </to>
                </anchor>
              </controlPr>
            </control>
          </mc:Choice>
        </mc:AlternateContent>
        <mc:AlternateContent xmlns:mc="http://schemas.openxmlformats.org/markup-compatibility/2006">
          <mc:Choice Requires="x14">
            <control shapeId="31793" r:id="rId13" name="Check Box 49">
              <controlPr defaultSize="0" autoFill="0" autoLine="0" autoPict="0">
                <anchor moveWithCells="1">
                  <from>
                    <xdr:col>4</xdr:col>
                    <xdr:colOff>76200</xdr:colOff>
                    <xdr:row>383</xdr:row>
                    <xdr:rowOff>19050</xdr:rowOff>
                  </from>
                  <to>
                    <xdr:col>4</xdr:col>
                    <xdr:colOff>323850</xdr:colOff>
                    <xdr:row>383</xdr:row>
                    <xdr:rowOff>180975</xdr:rowOff>
                  </to>
                </anchor>
              </controlPr>
            </control>
          </mc:Choice>
        </mc:AlternateContent>
        <mc:AlternateContent xmlns:mc="http://schemas.openxmlformats.org/markup-compatibility/2006">
          <mc:Choice Requires="x14">
            <control shapeId="31794" r:id="rId14" name="Check Box 50">
              <controlPr defaultSize="0" autoFill="0" autoLine="0" autoPict="0">
                <anchor moveWithCells="1">
                  <from>
                    <xdr:col>4</xdr:col>
                    <xdr:colOff>76200</xdr:colOff>
                    <xdr:row>384</xdr:row>
                    <xdr:rowOff>19050</xdr:rowOff>
                  </from>
                  <to>
                    <xdr:col>4</xdr:col>
                    <xdr:colOff>323850</xdr:colOff>
                    <xdr:row>384</xdr:row>
                    <xdr:rowOff>180975</xdr:rowOff>
                  </to>
                </anchor>
              </controlPr>
            </control>
          </mc:Choice>
        </mc:AlternateContent>
        <mc:AlternateContent xmlns:mc="http://schemas.openxmlformats.org/markup-compatibility/2006">
          <mc:Choice Requires="x14">
            <control shapeId="31795" r:id="rId15" name="Check Box 51">
              <controlPr defaultSize="0" autoFill="0" autoLine="0" autoPict="0">
                <anchor moveWithCells="1">
                  <from>
                    <xdr:col>4</xdr:col>
                    <xdr:colOff>76200</xdr:colOff>
                    <xdr:row>385</xdr:row>
                    <xdr:rowOff>19050</xdr:rowOff>
                  </from>
                  <to>
                    <xdr:col>4</xdr:col>
                    <xdr:colOff>323850</xdr:colOff>
                    <xdr:row>385</xdr:row>
                    <xdr:rowOff>180975</xdr:rowOff>
                  </to>
                </anchor>
              </controlPr>
            </control>
          </mc:Choice>
        </mc:AlternateContent>
        <mc:AlternateContent xmlns:mc="http://schemas.openxmlformats.org/markup-compatibility/2006">
          <mc:Choice Requires="x14">
            <control shapeId="31798" r:id="rId16" name="Check Box 54">
              <controlPr defaultSize="0" autoFill="0" autoLine="0" autoPict="0">
                <anchor moveWithCells="1">
                  <from>
                    <xdr:col>4</xdr:col>
                    <xdr:colOff>76200</xdr:colOff>
                    <xdr:row>386</xdr:row>
                    <xdr:rowOff>19050</xdr:rowOff>
                  </from>
                  <to>
                    <xdr:col>4</xdr:col>
                    <xdr:colOff>323850</xdr:colOff>
                    <xdr:row>386</xdr:row>
                    <xdr:rowOff>180975</xdr:rowOff>
                  </to>
                </anchor>
              </controlPr>
            </control>
          </mc:Choice>
        </mc:AlternateContent>
        <mc:AlternateContent xmlns:mc="http://schemas.openxmlformats.org/markup-compatibility/2006">
          <mc:Choice Requires="x14">
            <control shapeId="31799" r:id="rId17" name="Check Box 55">
              <controlPr defaultSize="0" autoFill="0" autoLine="0" autoPict="0">
                <anchor moveWithCells="1">
                  <from>
                    <xdr:col>4</xdr:col>
                    <xdr:colOff>76200</xdr:colOff>
                    <xdr:row>387</xdr:row>
                    <xdr:rowOff>19050</xdr:rowOff>
                  </from>
                  <to>
                    <xdr:col>4</xdr:col>
                    <xdr:colOff>323850</xdr:colOff>
                    <xdr:row>387</xdr:row>
                    <xdr:rowOff>180975</xdr:rowOff>
                  </to>
                </anchor>
              </controlPr>
            </control>
          </mc:Choice>
        </mc:AlternateContent>
        <mc:AlternateContent xmlns:mc="http://schemas.openxmlformats.org/markup-compatibility/2006">
          <mc:Choice Requires="x14">
            <control shapeId="31800" r:id="rId18" name="Check Box 56">
              <controlPr defaultSize="0" autoFill="0" autoLine="0" autoPict="0">
                <anchor moveWithCells="1">
                  <from>
                    <xdr:col>4</xdr:col>
                    <xdr:colOff>76200</xdr:colOff>
                    <xdr:row>388</xdr:row>
                    <xdr:rowOff>19050</xdr:rowOff>
                  </from>
                  <to>
                    <xdr:col>4</xdr:col>
                    <xdr:colOff>323850</xdr:colOff>
                    <xdr:row>388</xdr:row>
                    <xdr:rowOff>180975</xdr:rowOff>
                  </to>
                </anchor>
              </controlPr>
            </control>
          </mc:Choice>
        </mc:AlternateContent>
        <mc:AlternateContent xmlns:mc="http://schemas.openxmlformats.org/markup-compatibility/2006">
          <mc:Choice Requires="x14">
            <control shapeId="31805" r:id="rId19" name="Option Button 61">
              <controlPr defaultSize="0" autoFill="0" autoLine="0" autoPict="0">
                <anchor moveWithCells="1">
                  <from>
                    <xdr:col>4</xdr:col>
                    <xdr:colOff>1638300</xdr:colOff>
                    <xdr:row>10</xdr:row>
                    <xdr:rowOff>28575</xdr:rowOff>
                  </from>
                  <to>
                    <xdr:col>4</xdr:col>
                    <xdr:colOff>2171700</xdr:colOff>
                    <xdr:row>10</xdr:row>
                    <xdr:rowOff>171450</xdr:rowOff>
                  </to>
                </anchor>
              </controlPr>
            </control>
          </mc:Choice>
        </mc:AlternateContent>
        <mc:AlternateContent xmlns:mc="http://schemas.openxmlformats.org/markup-compatibility/2006">
          <mc:Choice Requires="x14">
            <control shapeId="31806" r:id="rId20" name="Option Button 62">
              <controlPr defaultSize="0" autoFill="0" autoLine="0" autoPict="0">
                <anchor moveWithCells="1">
                  <from>
                    <xdr:col>4</xdr:col>
                    <xdr:colOff>1638300</xdr:colOff>
                    <xdr:row>11</xdr:row>
                    <xdr:rowOff>28575</xdr:rowOff>
                  </from>
                  <to>
                    <xdr:col>4</xdr:col>
                    <xdr:colOff>2171700</xdr:colOff>
                    <xdr:row>11</xdr:row>
                    <xdr:rowOff>171450</xdr:rowOff>
                  </to>
                </anchor>
              </controlPr>
            </control>
          </mc:Choice>
        </mc:AlternateContent>
        <mc:AlternateContent xmlns:mc="http://schemas.openxmlformats.org/markup-compatibility/2006">
          <mc:Choice Requires="x14">
            <control shapeId="31816" r:id="rId21" name="Group Box 72">
              <controlPr defaultSize="0" autoFill="0" autoPict="0">
                <anchor moveWithCells="1">
                  <from>
                    <xdr:col>4</xdr:col>
                    <xdr:colOff>866775</xdr:colOff>
                    <xdr:row>9</xdr:row>
                    <xdr:rowOff>76200</xdr:rowOff>
                  </from>
                  <to>
                    <xdr:col>4</xdr:col>
                    <xdr:colOff>2181225</xdr:colOff>
                    <xdr:row>12</xdr:row>
                    <xdr:rowOff>85725</xdr:rowOff>
                  </to>
                </anchor>
              </controlPr>
            </control>
          </mc:Choice>
        </mc:AlternateContent>
        <mc:AlternateContent xmlns:mc="http://schemas.openxmlformats.org/markup-compatibility/2006">
          <mc:Choice Requires="x14">
            <control shapeId="31824" r:id="rId22" name="Check Box 80">
              <controlPr defaultSize="0" autoFill="0" autoLine="0" autoPict="0">
                <anchor moveWithCells="1">
                  <from>
                    <xdr:col>5</xdr:col>
                    <xdr:colOff>38100</xdr:colOff>
                    <xdr:row>397</xdr:row>
                    <xdr:rowOff>304800</xdr:rowOff>
                  </from>
                  <to>
                    <xdr:col>5</xdr:col>
                    <xdr:colOff>342900</xdr:colOff>
                    <xdr:row>399</xdr:row>
                    <xdr:rowOff>19050</xdr:rowOff>
                  </to>
                </anchor>
              </controlPr>
            </control>
          </mc:Choice>
        </mc:AlternateContent>
        <mc:AlternateContent xmlns:mc="http://schemas.openxmlformats.org/markup-compatibility/2006">
          <mc:Choice Requires="x14">
            <control shapeId="31825" r:id="rId23" name="Check Box 81">
              <controlPr defaultSize="0" autoFill="0" autoLine="0" autoPict="0">
                <anchor moveWithCells="1">
                  <from>
                    <xdr:col>5</xdr:col>
                    <xdr:colOff>28575</xdr:colOff>
                    <xdr:row>399</xdr:row>
                    <xdr:rowOff>180975</xdr:rowOff>
                  </from>
                  <to>
                    <xdr:col>5</xdr:col>
                    <xdr:colOff>333375</xdr:colOff>
                    <xdr:row>400</xdr:row>
                    <xdr:rowOff>190500</xdr:rowOff>
                  </to>
                </anchor>
              </controlPr>
            </control>
          </mc:Choice>
        </mc:AlternateContent>
        <mc:AlternateContent xmlns:mc="http://schemas.openxmlformats.org/markup-compatibility/2006">
          <mc:Choice Requires="x14">
            <control shapeId="31828" r:id="rId24" name="Check Box 84">
              <controlPr defaultSize="0" autoFill="0" autoLine="0" autoPict="0">
                <anchor moveWithCells="1">
                  <from>
                    <xdr:col>0</xdr:col>
                    <xdr:colOff>76200</xdr:colOff>
                    <xdr:row>377</xdr:row>
                    <xdr:rowOff>19050</xdr:rowOff>
                  </from>
                  <to>
                    <xdr:col>0</xdr:col>
                    <xdr:colOff>323850</xdr:colOff>
                    <xdr:row>377</xdr:row>
                    <xdr:rowOff>180975</xdr:rowOff>
                  </to>
                </anchor>
              </controlPr>
            </control>
          </mc:Choice>
        </mc:AlternateContent>
        <mc:AlternateContent xmlns:mc="http://schemas.openxmlformats.org/markup-compatibility/2006">
          <mc:Choice Requires="x14">
            <control shapeId="31829" r:id="rId25" name="Check Box 85">
              <controlPr defaultSize="0" autoFill="0" autoLine="0" autoPict="0">
                <anchor moveWithCells="1">
                  <from>
                    <xdr:col>0</xdr:col>
                    <xdr:colOff>76200</xdr:colOff>
                    <xdr:row>378</xdr:row>
                    <xdr:rowOff>19050</xdr:rowOff>
                  </from>
                  <to>
                    <xdr:col>0</xdr:col>
                    <xdr:colOff>323850</xdr:colOff>
                    <xdr:row>378</xdr:row>
                    <xdr:rowOff>180975</xdr:rowOff>
                  </to>
                </anchor>
              </controlPr>
            </control>
          </mc:Choice>
        </mc:AlternateContent>
        <mc:AlternateContent xmlns:mc="http://schemas.openxmlformats.org/markup-compatibility/2006">
          <mc:Choice Requires="x14">
            <control shapeId="31830" r:id="rId26" name="Check Box 86">
              <controlPr defaultSize="0" autoFill="0" autoLine="0" autoPict="0">
                <anchor moveWithCells="1">
                  <from>
                    <xdr:col>0</xdr:col>
                    <xdr:colOff>76200</xdr:colOff>
                    <xdr:row>379</xdr:row>
                    <xdr:rowOff>19050</xdr:rowOff>
                  </from>
                  <to>
                    <xdr:col>0</xdr:col>
                    <xdr:colOff>323850</xdr:colOff>
                    <xdr:row>379</xdr:row>
                    <xdr:rowOff>180975</xdr:rowOff>
                  </to>
                </anchor>
              </controlPr>
            </control>
          </mc:Choice>
        </mc:AlternateContent>
        <mc:AlternateContent xmlns:mc="http://schemas.openxmlformats.org/markup-compatibility/2006">
          <mc:Choice Requires="x14">
            <control shapeId="31833" r:id="rId27" name="Check Box 89">
              <controlPr defaultSize="0" autoFill="0" autoLine="0" autoPict="0">
                <anchor moveWithCells="1">
                  <from>
                    <xdr:col>0</xdr:col>
                    <xdr:colOff>76200</xdr:colOff>
                    <xdr:row>381</xdr:row>
                    <xdr:rowOff>19050</xdr:rowOff>
                  </from>
                  <to>
                    <xdr:col>0</xdr:col>
                    <xdr:colOff>323850</xdr:colOff>
                    <xdr:row>381</xdr:row>
                    <xdr:rowOff>180975</xdr:rowOff>
                  </to>
                </anchor>
              </controlPr>
            </control>
          </mc:Choice>
        </mc:AlternateContent>
        <mc:AlternateContent xmlns:mc="http://schemas.openxmlformats.org/markup-compatibility/2006">
          <mc:Choice Requires="x14">
            <control shapeId="31834" r:id="rId28" name="Check Box 90">
              <controlPr defaultSize="0" autoFill="0" autoLine="0" autoPict="0">
                <anchor moveWithCells="1">
                  <from>
                    <xdr:col>0</xdr:col>
                    <xdr:colOff>76200</xdr:colOff>
                    <xdr:row>382</xdr:row>
                    <xdr:rowOff>19050</xdr:rowOff>
                  </from>
                  <to>
                    <xdr:col>0</xdr:col>
                    <xdr:colOff>323850</xdr:colOff>
                    <xdr:row>382</xdr:row>
                    <xdr:rowOff>180975</xdr:rowOff>
                  </to>
                </anchor>
              </controlPr>
            </control>
          </mc:Choice>
        </mc:AlternateContent>
        <mc:AlternateContent xmlns:mc="http://schemas.openxmlformats.org/markup-compatibility/2006">
          <mc:Choice Requires="x14">
            <control shapeId="31835" r:id="rId29" name="Check Box 91">
              <controlPr defaultSize="0" autoFill="0" autoLine="0" autoPict="0">
                <anchor moveWithCells="1">
                  <from>
                    <xdr:col>0</xdr:col>
                    <xdr:colOff>76200</xdr:colOff>
                    <xdr:row>383</xdr:row>
                    <xdr:rowOff>19050</xdr:rowOff>
                  </from>
                  <to>
                    <xdr:col>0</xdr:col>
                    <xdr:colOff>323850</xdr:colOff>
                    <xdr:row>383</xdr:row>
                    <xdr:rowOff>180975</xdr:rowOff>
                  </to>
                </anchor>
              </controlPr>
            </control>
          </mc:Choice>
        </mc:AlternateContent>
        <mc:AlternateContent xmlns:mc="http://schemas.openxmlformats.org/markup-compatibility/2006">
          <mc:Choice Requires="x14">
            <control shapeId="31836" r:id="rId30" name="Check Box 92">
              <controlPr defaultSize="0" autoFill="0" autoLine="0" autoPict="0">
                <anchor moveWithCells="1">
                  <from>
                    <xdr:col>0</xdr:col>
                    <xdr:colOff>76200</xdr:colOff>
                    <xdr:row>384</xdr:row>
                    <xdr:rowOff>19050</xdr:rowOff>
                  </from>
                  <to>
                    <xdr:col>0</xdr:col>
                    <xdr:colOff>323850</xdr:colOff>
                    <xdr:row>384</xdr:row>
                    <xdr:rowOff>180975</xdr:rowOff>
                  </to>
                </anchor>
              </controlPr>
            </control>
          </mc:Choice>
        </mc:AlternateContent>
        <mc:AlternateContent xmlns:mc="http://schemas.openxmlformats.org/markup-compatibility/2006">
          <mc:Choice Requires="x14">
            <control shapeId="31837" r:id="rId31" name="Check Box 93">
              <controlPr defaultSize="0" autoFill="0" autoLine="0" autoPict="0">
                <anchor moveWithCells="1">
                  <from>
                    <xdr:col>0</xdr:col>
                    <xdr:colOff>76200</xdr:colOff>
                    <xdr:row>385</xdr:row>
                    <xdr:rowOff>19050</xdr:rowOff>
                  </from>
                  <to>
                    <xdr:col>0</xdr:col>
                    <xdr:colOff>323850</xdr:colOff>
                    <xdr:row>385</xdr:row>
                    <xdr:rowOff>180975</xdr:rowOff>
                  </to>
                </anchor>
              </controlPr>
            </control>
          </mc:Choice>
        </mc:AlternateContent>
        <mc:AlternateContent xmlns:mc="http://schemas.openxmlformats.org/markup-compatibility/2006">
          <mc:Choice Requires="x14">
            <control shapeId="31838" r:id="rId32" name="Check Box 94">
              <controlPr defaultSize="0" autoFill="0" autoLine="0" autoPict="0">
                <anchor moveWithCells="1">
                  <from>
                    <xdr:col>0</xdr:col>
                    <xdr:colOff>76200</xdr:colOff>
                    <xdr:row>386</xdr:row>
                    <xdr:rowOff>19050</xdr:rowOff>
                  </from>
                  <to>
                    <xdr:col>0</xdr:col>
                    <xdr:colOff>323850</xdr:colOff>
                    <xdr:row>386</xdr:row>
                    <xdr:rowOff>180975</xdr:rowOff>
                  </to>
                </anchor>
              </controlPr>
            </control>
          </mc:Choice>
        </mc:AlternateContent>
        <mc:AlternateContent xmlns:mc="http://schemas.openxmlformats.org/markup-compatibility/2006">
          <mc:Choice Requires="x14">
            <control shapeId="31839" r:id="rId33" name="Check Box 95">
              <controlPr defaultSize="0" autoFill="0" autoLine="0" autoPict="0">
                <anchor moveWithCells="1">
                  <from>
                    <xdr:col>0</xdr:col>
                    <xdr:colOff>76200</xdr:colOff>
                    <xdr:row>387</xdr:row>
                    <xdr:rowOff>19050</xdr:rowOff>
                  </from>
                  <to>
                    <xdr:col>0</xdr:col>
                    <xdr:colOff>323850</xdr:colOff>
                    <xdr:row>387</xdr:row>
                    <xdr:rowOff>180975</xdr:rowOff>
                  </to>
                </anchor>
              </controlPr>
            </control>
          </mc:Choice>
        </mc:AlternateContent>
        <mc:AlternateContent xmlns:mc="http://schemas.openxmlformats.org/markup-compatibility/2006">
          <mc:Choice Requires="x14">
            <control shapeId="31840" r:id="rId34" name="Check Box 96">
              <controlPr defaultSize="0" autoFill="0" autoLine="0" autoPict="0">
                <anchor moveWithCells="1">
                  <from>
                    <xdr:col>0</xdr:col>
                    <xdr:colOff>76200</xdr:colOff>
                    <xdr:row>388</xdr:row>
                    <xdr:rowOff>19050</xdr:rowOff>
                  </from>
                  <to>
                    <xdr:col>0</xdr:col>
                    <xdr:colOff>323850</xdr:colOff>
                    <xdr:row>388</xdr:row>
                    <xdr:rowOff>180975</xdr:rowOff>
                  </to>
                </anchor>
              </controlPr>
            </control>
          </mc:Choice>
        </mc:AlternateContent>
        <mc:AlternateContent xmlns:mc="http://schemas.openxmlformats.org/markup-compatibility/2006">
          <mc:Choice Requires="x14">
            <control shapeId="31841" r:id="rId35" name="Check Box 97">
              <controlPr defaultSize="0" autoFill="0" autoLine="0" autoPict="0">
                <anchor moveWithCells="1">
                  <from>
                    <xdr:col>0</xdr:col>
                    <xdr:colOff>76200</xdr:colOff>
                    <xdr:row>375</xdr:row>
                    <xdr:rowOff>19050</xdr:rowOff>
                  </from>
                  <to>
                    <xdr:col>0</xdr:col>
                    <xdr:colOff>323850</xdr:colOff>
                    <xdr:row>375</xdr:row>
                    <xdr:rowOff>180975</xdr:rowOff>
                  </to>
                </anchor>
              </controlPr>
            </control>
          </mc:Choice>
        </mc:AlternateContent>
        <mc:AlternateContent xmlns:mc="http://schemas.openxmlformats.org/markup-compatibility/2006">
          <mc:Choice Requires="x14">
            <control shapeId="31842" r:id="rId36" name="Check Box 98">
              <controlPr defaultSize="0" autoFill="0" autoLine="0" autoPict="0">
                <anchor moveWithCells="1">
                  <from>
                    <xdr:col>5</xdr:col>
                    <xdr:colOff>28575</xdr:colOff>
                    <xdr:row>396</xdr:row>
                    <xdr:rowOff>0</xdr:rowOff>
                  </from>
                  <to>
                    <xdr:col>5</xdr:col>
                    <xdr:colOff>333375</xdr:colOff>
                    <xdr:row>397</xdr:row>
                    <xdr:rowOff>9525</xdr:rowOff>
                  </to>
                </anchor>
              </controlPr>
            </control>
          </mc:Choice>
        </mc:AlternateContent>
        <mc:AlternateContent xmlns:mc="http://schemas.openxmlformats.org/markup-compatibility/2006">
          <mc:Choice Requires="x14">
            <control shapeId="31844" r:id="rId37" name="Check Box 100">
              <controlPr defaultSize="0" autoFill="0" autoLine="0" autoPict="0">
                <anchor moveWithCells="1">
                  <from>
                    <xdr:col>5</xdr:col>
                    <xdr:colOff>28575</xdr:colOff>
                    <xdr:row>398</xdr:row>
                    <xdr:rowOff>180975</xdr:rowOff>
                  </from>
                  <to>
                    <xdr:col>5</xdr:col>
                    <xdr:colOff>333375</xdr:colOff>
                    <xdr:row>399</xdr:row>
                    <xdr:rowOff>190500</xdr:rowOff>
                  </to>
                </anchor>
              </controlPr>
            </control>
          </mc:Choice>
        </mc:AlternateContent>
        <mc:AlternateContent xmlns:mc="http://schemas.openxmlformats.org/markup-compatibility/2006">
          <mc:Choice Requires="x14">
            <control shapeId="31852" r:id="rId38" name="Option Button 108">
              <controlPr defaultSize="0" autoFill="0" autoLine="0" autoPict="0">
                <anchor moveWithCells="1">
                  <from>
                    <xdr:col>4</xdr:col>
                    <xdr:colOff>1647825</xdr:colOff>
                    <xdr:row>170</xdr:row>
                    <xdr:rowOff>104775</xdr:rowOff>
                  </from>
                  <to>
                    <xdr:col>4</xdr:col>
                    <xdr:colOff>1952625</xdr:colOff>
                    <xdr:row>170</xdr:row>
                    <xdr:rowOff>323850</xdr:rowOff>
                  </to>
                </anchor>
              </controlPr>
            </control>
          </mc:Choice>
        </mc:AlternateContent>
        <mc:AlternateContent xmlns:mc="http://schemas.openxmlformats.org/markup-compatibility/2006">
          <mc:Choice Requires="x14">
            <control shapeId="31853" r:id="rId39" name="Option Button 109">
              <controlPr defaultSize="0" autoFill="0" autoLine="0" autoPict="0">
                <anchor moveWithCells="1">
                  <from>
                    <xdr:col>4</xdr:col>
                    <xdr:colOff>1647825</xdr:colOff>
                    <xdr:row>170</xdr:row>
                    <xdr:rowOff>381000</xdr:rowOff>
                  </from>
                  <to>
                    <xdr:col>4</xdr:col>
                    <xdr:colOff>1952625</xdr:colOff>
                    <xdr:row>171</xdr:row>
                    <xdr:rowOff>190500</xdr:rowOff>
                  </to>
                </anchor>
              </controlPr>
            </control>
          </mc:Choice>
        </mc:AlternateContent>
        <mc:AlternateContent xmlns:mc="http://schemas.openxmlformats.org/markup-compatibility/2006">
          <mc:Choice Requires="x14">
            <control shapeId="31871" r:id="rId40" name="Option Button 127">
              <controlPr defaultSize="0" autoFill="0" autoLine="0" autoPict="0">
                <anchor moveWithCells="1">
                  <from>
                    <xdr:col>4</xdr:col>
                    <xdr:colOff>1666875</xdr:colOff>
                    <xdr:row>230</xdr:row>
                    <xdr:rowOff>114300</xdr:rowOff>
                  </from>
                  <to>
                    <xdr:col>4</xdr:col>
                    <xdr:colOff>1971675</xdr:colOff>
                    <xdr:row>230</xdr:row>
                    <xdr:rowOff>409575</xdr:rowOff>
                  </to>
                </anchor>
              </controlPr>
            </control>
          </mc:Choice>
        </mc:AlternateContent>
        <mc:AlternateContent xmlns:mc="http://schemas.openxmlformats.org/markup-compatibility/2006">
          <mc:Choice Requires="x14">
            <control shapeId="31872" r:id="rId41" name="Option Button 128">
              <controlPr defaultSize="0" autoFill="0" autoLine="0" autoPict="0">
                <anchor moveWithCells="1">
                  <from>
                    <xdr:col>4</xdr:col>
                    <xdr:colOff>1666875</xdr:colOff>
                    <xdr:row>231</xdr:row>
                    <xdr:rowOff>66675</xdr:rowOff>
                  </from>
                  <to>
                    <xdr:col>4</xdr:col>
                    <xdr:colOff>2019300</xdr:colOff>
                    <xdr:row>231</xdr:row>
                    <xdr:rowOff>352425</xdr:rowOff>
                  </to>
                </anchor>
              </controlPr>
            </control>
          </mc:Choice>
        </mc:AlternateContent>
        <mc:AlternateContent xmlns:mc="http://schemas.openxmlformats.org/markup-compatibility/2006">
          <mc:Choice Requires="x14">
            <control shapeId="31874" r:id="rId42" name="Group Box 130">
              <controlPr defaultSize="0" autoFill="0" autoPict="0">
                <anchor moveWithCells="1">
                  <from>
                    <xdr:col>4</xdr:col>
                    <xdr:colOff>895350</xdr:colOff>
                    <xdr:row>170</xdr:row>
                    <xdr:rowOff>38100</xdr:rowOff>
                  </from>
                  <to>
                    <xdr:col>4</xdr:col>
                    <xdr:colOff>2219325</xdr:colOff>
                    <xdr:row>172</xdr:row>
                    <xdr:rowOff>38100</xdr:rowOff>
                  </to>
                </anchor>
              </controlPr>
            </control>
          </mc:Choice>
        </mc:AlternateContent>
        <mc:AlternateContent xmlns:mc="http://schemas.openxmlformats.org/markup-compatibility/2006">
          <mc:Choice Requires="x14">
            <control shapeId="31875" r:id="rId43" name="Group Box 131">
              <controlPr defaultSize="0" autoFill="0" autoPict="0">
                <anchor moveWithCells="1">
                  <from>
                    <xdr:col>4</xdr:col>
                    <xdr:colOff>1000125</xdr:colOff>
                    <xdr:row>230</xdr:row>
                    <xdr:rowOff>28575</xdr:rowOff>
                  </from>
                  <to>
                    <xdr:col>4</xdr:col>
                    <xdr:colOff>2257425</xdr:colOff>
                    <xdr:row>232</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15EF01EB-C237-4964-94F3-B5CCC6919BFA}">
          <x14:formula1>
            <xm:f>'CENOVNI RAZREDI'!$B$7:$B$93</xm:f>
          </x14:formula1>
          <xm:sqref>E77 E108 E15 E46 E139 E175 E186 E197 E208 E219</xm:sqref>
        </x14:dataValidation>
        <x14:dataValidation type="list" allowBlank="1" showInputMessage="1" showErrorMessage="1" xr:uid="{037F4E00-D1C2-46E5-961E-54AFA38638B1}">
          <x14:formula1>
            <xm:f>'CENOVNI RAZREDI'!$I$96:$I$100</xm:f>
          </x14:formula1>
          <xm:sqref>E118:E119 E149:E150 E48:E49 E87:E88 E17:E18 E221 E309 E25:E26 E56:E57 E79:E80 E273 E291 E237 E255 E110:E111 E177 E188 E199 E210 E141:E142</xm:sqref>
        </x14:dataValidation>
        <x14:dataValidation type="list" allowBlank="1" showInputMessage="1" showErrorMessage="1" xr:uid="{D5C7D1B1-BF81-42D6-A4FD-445C82D55735}">
          <x14:formula1>
            <xm:f>'CENOVNI RAZREDI'!$B$184:$B$243</xm:f>
          </x14:formula1>
          <xm:sqref>E271 E235 E253 E289 E307</xm:sqref>
        </x14:dataValidation>
        <x14:dataValidation type="list" allowBlank="1" showInputMessage="1" showErrorMessage="1" xr:uid="{4EBBAD55-7988-45F6-84BB-1A5D3B838CAC}">
          <x14:formula1>
            <xm:f>'CENOVNI RAZREDI'!$I$96:$I$98</xm:f>
          </x14:formula1>
          <xm:sqref>E19:E22 E24 E50:E53 E55 E112:E115 E117 E81:E84 E86 E143:E146 E148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E266D-EBC6-4DEF-86EF-0F4169E51259}">
  <sheetPr codeName="Sheet5">
    <tabColor rgb="FF00B0F0"/>
    <outlinePr summaryBelow="0"/>
  </sheetPr>
  <dimension ref="A1:Z673"/>
  <sheetViews>
    <sheetView showGridLines="0" workbookViewId="0">
      <selection activeCell="G98" sqref="G98"/>
    </sheetView>
    <sheetView workbookViewId="1"/>
  </sheetViews>
  <sheetFormatPr defaultRowHeight="12.75" outlineLevelRow="1" x14ac:dyDescent="0.2"/>
  <cols>
    <col min="2" max="2" width="72" customWidth="1"/>
    <col min="3" max="7" width="9.140625" style="255"/>
    <col min="8" max="8" width="3.7109375" customWidth="1"/>
    <col min="9" max="9" width="15.5703125" customWidth="1"/>
    <col min="10" max="10" width="15.28515625" customWidth="1"/>
    <col min="11" max="14" width="10" customWidth="1"/>
    <col min="16" max="16" width="3.5703125" customWidth="1"/>
    <col min="17" max="18" width="13.28515625" customWidth="1"/>
    <col min="19" max="19" width="14.28515625" customWidth="1"/>
  </cols>
  <sheetData>
    <row r="1" spans="2:22" ht="26.25" x14ac:dyDescent="0.4">
      <c r="B1" s="3" t="s">
        <v>410</v>
      </c>
      <c r="Q1" s="237"/>
      <c r="R1" s="237"/>
      <c r="S1" s="383">
        <f>0.84*R2</f>
        <v>0.84</v>
      </c>
    </row>
    <row r="2" spans="2:22" ht="47.25" x14ac:dyDescent="0.2">
      <c r="B2" s="264"/>
      <c r="C2" s="299" t="s">
        <v>223</v>
      </c>
      <c r="D2" s="299" t="s">
        <v>224</v>
      </c>
      <c r="E2" s="299" t="s">
        <v>225</v>
      </c>
      <c r="F2" s="299" t="s">
        <v>226</v>
      </c>
      <c r="G2" s="299" t="s">
        <v>227</v>
      </c>
      <c r="I2" s="264" t="s">
        <v>857</v>
      </c>
      <c r="J2" s="264" t="s">
        <v>858</v>
      </c>
      <c r="K2" s="299" t="s">
        <v>871</v>
      </c>
      <c r="L2" s="299" t="s">
        <v>868</v>
      </c>
      <c r="M2" s="299" t="s">
        <v>869</v>
      </c>
      <c r="N2" s="299" t="s">
        <v>870</v>
      </c>
      <c r="O2" s="299"/>
      <c r="P2" s="614"/>
      <c r="Q2" s="237" t="s">
        <v>723</v>
      </c>
      <c r="R2" s="382">
        <v>1</v>
      </c>
    </row>
    <row r="3" spans="2:22" x14ac:dyDescent="0.2">
      <c r="B3" s="238"/>
      <c r="C3" s="257"/>
      <c r="D3" s="257"/>
      <c r="E3" s="257"/>
      <c r="F3" s="257"/>
      <c r="G3" s="257"/>
    </row>
    <row r="4" spans="2:22" ht="54" customHeight="1" x14ac:dyDescent="0.2">
      <c r="B4" s="1324" t="s">
        <v>983</v>
      </c>
      <c r="C4" s="1324"/>
      <c r="D4" s="1324"/>
      <c r="E4" s="1324"/>
      <c r="F4" s="1324"/>
      <c r="G4" s="1324"/>
      <c r="Q4" s="237"/>
      <c r="R4" s="237"/>
      <c r="S4" s="383"/>
    </row>
    <row r="5" spans="2:22" x14ac:dyDescent="0.2">
      <c r="Q5">
        <v>1000</v>
      </c>
    </row>
    <row r="6" spans="2:22" ht="51" x14ac:dyDescent="0.2">
      <c r="B6" s="232" t="s">
        <v>370</v>
      </c>
      <c r="C6" s="298" t="s">
        <v>223</v>
      </c>
      <c r="D6" s="298" t="s">
        <v>224</v>
      </c>
      <c r="E6" s="298" t="s">
        <v>225</v>
      </c>
      <c r="F6" s="298" t="s">
        <v>226</v>
      </c>
      <c r="G6" s="298" t="s">
        <v>227</v>
      </c>
      <c r="H6" s="244"/>
      <c r="I6" s="369" t="s">
        <v>859</v>
      </c>
      <c r="J6" s="369" t="s">
        <v>860</v>
      </c>
      <c r="K6" s="299" t="s">
        <v>871</v>
      </c>
      <c r="L6" s="299" t="s">
        <v>868</v>
      </c>
      <c r="M6" s="299" t="s">
        <v>869</v>
      </c>
      <c r="N6" s="299" t="s">
        <v>870</v>
      </c>
      <c r="O6" s="298"/>
      <c r="P6" s="244"/>
      <c r="Q6" s="369" t="s">
        <v>872</v>
      </c>
      <c r="R6" s="369" t="s">
        <v>923</v>
      </c>
      <c r="S6" s="369" t="s">
        <v>918</v>
      </c>
      <c r="T6" s="369" t="s">
        <v>919</v>
      </c>
      <c r="U6" s="369" t="s">
        <v>920</v>
      </c>
      <c r="V6" s="634" t="s">
        <v>954</v>
      </c>
    </row>
    <row r="7" spans="2:22" ht="15.75" x14ac:dyDescent="0.2">
      <c r="B7" s="262" t="s">
        <v>784</v>
      </c>
      <c r="C7" s="263"/>
      <c r="D7" s="263"/>
      <c r="E7" s="263"/>
      <c r="F7" s="263"/>
      <c r="G7" s="263"/>
      <c r="H7" s="245"/>
      <c r="I7" s="379">
        <f t="shared" ref="I7:N7" si="0">AVERAGE(I8:I20)</f>
        <v>896.99076923076927</v>
      </c>
      <c r="J7" s="379">
        <f t="shared" si="0"/>
        <v>1267.4953846153844</v>
      </c>
      <c r="K7" s="380">
        <f t="shared" si="0"/>
        <v>0.80046153846153834</v>
      </c>
      <c r="L7" s="380">
        <f t="shared" si="0"/>
        <v>0.137907</v>
      </c>
      <c r="M7" s="380">
        <f t="shared" si="0"/>
        <v>4.9840415384615394E-2</v>
      </c>
      <c r="N7" s="380">
        <f t="shared" si="0"/>
        <v>1.1825307692307692E-2</v>
      </c>
      <c r="O7" s="381"/>
      <c r="P7" s="245"/>
      <c r="Q7" s="643">
        <f t="shared" ref="Q7:V7" si="1">AVERAGE(Q8:Q20)</f>
        <v>82.243076923076899</v>
      </c>
      <c r="R7" s="635">
        <f t="shared" si="1"/>
        <v>0.99067022086824053</v>
      </c>
      <c r="S7" s="635">
        <f t="shared" si="1"/>
        <v>1.2238383443967202</v>
      </c>
      <c r="T7" s="635">
        <f t="shared" si="1"/>
        <v>0.44118275103669458</v>
      </c>
      <c r="U7" s="635">
        <f t="shared" si="1"/>
        <v>0.29931425767712089</v>
      </c>
      <c r="V7" s="635">
        <f t="shared" si="1"/>
        <v>0.99264896376495715</v>
      </c>
    </row>
    <row r="8" spans="2:22" outlineLevel="1" x14ac:dyDescent="0.2">
      <c r="B8" s="258" t="s">
        <v>779</v>
      </c>
      <c r="C8" s="259" t="s">
        <v>228</v>
      </c>
      <c r="D8" s="259"/>
      <c r="E8" s="259"/>
      <c r="F8" s="259"/>
      <c r="G8" s="259"/>
      <c r="I8" s="356">
        <f>820*$S$1*0.6</f>
        <v>413.28</v>
      </c>
      <c r="J8" s="356">
        <f>1110*$S$1*0.6</f>
        <v>559.43999999999994</v>
      </c>
      <c r="K8" s="376">
        <v>0.81</v>
      </c>
      <c r="L8" s="376">
        <f>(37.6+32+4.8)/100*19.1/100</f>
        <v>0.14210399999999998</v>
      </c>
      <c r="M8" s="376">
        <f>(21.7+3.3)/100*19.1/100</f>
        <v>4.7750000000000001E-2</v>
      </c>
      <c r="N8" s="376">
        <v>0</v>
      </c>
      <c r="O8" s="377">
        <f t="shared" ref="O8" si="2">SUM(K8:N8)</f>
        <v>0.99985400000000002</v>
      </c>
      <c r="Q8" s="642">
        <f>AVERAGE(I8,J8)-$Q$5</f>
        <v>-513.6400000000001</v>
      </c>
      <c r="R8" s="636">
        <f>+K8/$K$13</f>
        <v>1.0024752475247525</v>
      </c>
      <c r="S8" s="636">
        <f>+L8/$L$24</f>
        <v>1.2610840935714032</v>
      </c>
      <c r="T8" s="636">
        <f>+M8/$M$24</f>
        <v>0.42267858723554924</v>
      </c>
      <c r="U8" s="636">
        <f>+N8/$N$25</f>
        <v>0</v>
      </c>
      <c r="V8" s="636">
        <f>(K8*0.55+(M8+L8+N8)*0.1)/($K$13*0.55+($M$13+$L$13+$N$13)*0.1)</f>
        <v>1.0018683436751541</v>
      </c>
    </row>
    <row r="9" spans="2:22" outlineLevel="1" x14ac:dyDescent="0.2">
      <c r="B9" s="258" t="s">
        <v>743</v>
      </c>
      <c r="C9" s="259"/>
      <c r="D9" s="259" t="s">
        <v>228</v>
      </c>
      <c r="E9" s="259"/>
      <c r="F9" s="259"/>
      <c r="G9" s="259"/>
      <c r="I9" s="356">
        <f>900*$S$1</f>
        <v>756</v>
      </c>
      <c r="J9" s="356">
        <f>1060*$S$1</f>
        <v>890.4</v>
      </c>
      <c r="K9" s="376">
        <v>0.86</v>
      </c>
      <c r="L9" s="376">
        <f>(36+40.7+0.1)/100*14.1/100</f>
        <v>0.108288</v>
      </c>
      <c r="M9" s="376">
        <f>(19.2+3.6)/100*14.1/100</f>
        <v>3.2147999999999996E-2</v>
      </c>
      <c r="N9" s="376">
        <v>0</v>
      </c>
      <c r="O9" s="377">
        <f t="shared" ref="O9:O19" si="3">SUM(K9:N9)</f>
        <v>1.0004360000000001</v>
      </c>
      <c r="Q9" s="642">
        <f t="shared" ref="Q9:Q72" si="4">AVERAGE(I9,J9)-$Q$5</f>
        <v>-176.79999999999995</v>
      </c>
      <c r="R9" s="636">
        <f t="shared" ref="R9:R72" si="5">+K9/$K$13</f>
        <v>1.0643564356435642</v>
      </c>
      <c r="S9" s="636">
        <f t="shared" ref="S9:S20" si="6">+L9/$L$24</f>
        <v>0.96098825032835189</v>
      </c>
      <c r="T9" s="636">
        <f t="shared" ref="T9:T20" si="7">+M9/$M$24</f>
        <v>0.28457112507745413</v>
      </c>
      <c r="U9" s="636">
        <f t="shared" ref="U9:U72" si="8">+N9/$N$25</f>
        <v>0</v>
      </c>
      <c r="V9" s="636">
        <f t="shared" ref="V9:V72" si="9">(K9*0.55+(M9+L9+N9)*0.1)/($K$13*0.55+($M$13+$L$13+$N$13)*0.1)</f>
        <v>1.0505250861051483</v>
      </c>
    </row>
    <row r="10" spans="2:22" outlineLevel="1" x14ac:dyDescent="0.2">
      <c r="B10" s="258" t="s">
        <v>727</v>
      </c>
      <c r="C10" s="259"/>
      <c r="D10" s="259"/>
      <c r="E10" s="259" t="s">
        <v>228</v>
      </c>
      <c r="F10" s="259"/>
      <c r="G10" s="259"/>
      <c r="I10" s="356">
        <f>1120*$S$1</f>
        <v>940.8</v>
      </c>
      <c r="J10" s="356">
        <f>1540*$S$1</f>
        <v>1293.5999999999999</v>
      </c>
      <c r="K10" s="376">
        <v>0.82</v>
      </c>
      <c r="L10" s="376">
        <f>(29.1+41.5+4.6)/100*18/100</f>
        <v>0.13535999999999998</v>
      </c>
      <c r="M10" s="376">
        <f>(20.6+3.5)/100*18/100</f>
        <v>4.3380000000000002E-2</v>
      </c>
      <c r="N10" s="376">
        <f>(0.5)/100*18/100</f>
        <v>8.9999999999999998E-4</v>
      </c>
      <c r="O10" s="377">
        <f t="shared" si="3"/>
        <v>0.99963999999999997</v>
      </c>
      <c r="Q10" s="642">
        <f t="shared" si="4"/>
        <v>117.19999999999982</v>
      </c>
      <c r="R10" s="636">
        <f t="shared" si="5"/>
        <v>1.0148514851485146</v>
      </c>
      <c r="S10" s="636">
        <f t="shared" si="6"/>
        <v>1.2012353129104396</v>
      </c>
      <c r="T10" s="636">
        <f t="shared" si="7"/>
        <v>0.38399575108435868</v>
      </c>
      <c r="U10" s="636">
        <f t="shared" si="8"/>
        <v>2.2780196415915759E-2</v>
      </c>
      <c r="V10" s="636">
        <f t="shared" si="9"/>
        <v>1.0115284267778382</v>
      </c>
    </row>
    <row r="11" spans="2:22" outlineLevel="1" x14ac:dyDescent="0.2">
      <c r="B11" s="258" t="s">
        <v>728</v>
      </c>
      <c r="C11" s="259"/>
      <c r="D11" s="259"/>
      <c r="E11" s="259"/>
      <c r="F11" s="259" t="s">
        <v>228</v>
      </c>
      <c r="G11" s="259"/>
      <c r="I11" s="356">
        <f>1360*$S$1</f>
        <v>1142.3999999999999</v>
      </c>
      <c r="J11" s="356">
        <f>1940*$S$1</f>
        <v>1629.6</v>
      </c>
      <c r="K11" s="376">
        <v>0.80900000000000005</v>
      </c>
      <c r="L11" s="376">
        <f>(24.4+43+5.7)/100*19.1/100</f>
        <v>0.13962100000000002</v>
      </c>
      <c r="M11" s="376">
        <f>(19.1+5.1)/100*19.1/100</f>
        <v>4.6222000000000006E-2</v>
      </c>
      <c r="N11" s="376">
        <f>(2.7)/100*19.1/100</f>
        <v>5.1570000000000001E-3</v>
      </c>
      <c r="O11" s="377">
        <f t="shared" si="3"/>
        <v>1</v>
      </c>
      <c r="Q11" s="642">
        <f t="shared" si="4"/>
        <v>386</v>
      </c>
      <c r="R11" s="636">
        <f t="shared" si="5"/>
        <v>1.0012376237623761</v>
      </c>
      <c r="S11" s="636">
        <f t="shared" si="6"/>
        <v>1.2390490220439463</v>
      </c>
      <c r="T11" s="636">
        <f t="shared" si="7"/>
        <v>0.40915287244401172</v>
      </c>
      <c r="U11" s="636">
        <f t="shared" si="8"/>
        <v>0.13053052546319729</v>
      </c>
      <c r="V11" s="636">
        <f t="shared" si="9"/>
        <v>1.0009292108696102</v>
      </c>
    </row>
    <row r="12" spans="2:22" outlineLevel="1" x14ac:dyDescent="0.2">
      <c r="B12" s="258" t="s">
        <v>729</v>
      </c>
      <c r="C12" s="259"/>
      <c r="D12" s="259" t="s">
        <v>228</v>
      </c>
      <c r="E12" s="259"/>
      <c r="F12" s="259"/>
      <c r="G12" s="259"/>
      <c r="I12" s="356">
        <f>910*$S$1</f>
        <v>764.4</v>
      </c>
      <c r="J12" s="356">
        <f>1220*$S$1</f>
        <v>1024.8</v>
      </c>
      <c r="K12" s="376">
        <v>0.81699999999999995</v>
      </c>
      <c r="L12" s="376">
        <f>(32.4+42.6+6)/100*18.3/100</f>
        <v>0.14823000000000003</v>
      </c>
      <c r="M12" s="376">
        <f>(15.6+3.2)/100*18.38/100</f>
        <v>3.4554399999999999E-2</v>
      </c>
      <c r="N12" s="376">
        <v>0</v>
      </c>
      <c r="O12" s="377">
        <f t="shared" si="3"/>
        <v>0.99978440000000002</v>
      </c>
      <c r="Q12" s="642">
        <f t="shared" si="4"/>
        <v>-105.40000000000009</v>
      </c>
      <c r="R12" s="636">
        <f t="shared" si="5"/>
        <v>1.011138613861386</v>
      </c>
      <c r="S12" s="636">
        <f t="shared" si="6"/>
        <v>1.3154485108799834</v>
      </c>
      <c r="T12" s="636">
        <f t="shared" si="7"/>
        <v>0.30587235549260866</v>
      </c>
      <c r="U12" s="636">
        <f t="shared" si="8"/>
        <v>0</v>
      </c>
      <c r="V12" s="636">
        <f t="shared" si="9"/>
        <v>1.008647700526639</v>
      </c>
    </row>
    <row r="13" spans="2:22" outlineLevel="1" x14ac:dyDescent="0.2">
      <c r="B13" s="258" t="s">
        <v>730</v>
      </c>
      <c r="C13" s="259"/>
      <c r="D13" s="259"/>
      <c r="E13" s="259" t="s">
        <v>228</v>
      </c>
      <c r="F13" s="259"/>
      <c r="G13" s="259"/>
      <c r="I13" s="356">
        <f>1200*$S$1</f>
        <v>1008</v>
      </c>
      <c r="J13" s="356">
        <f>1730*$S$1</f>
        <v>1453.2</v>
      </c>
      <c r="K13" s="376">
        <v>0.80800000000000005</v>
      </c>
      <c r="L13" s="376">
        <f>(32+40.1+4.8)/100*19.2/100</f>
        <v>0.14764799999999997</v>
      </c>
      <c r="M13" s="376">
        <f>(18.6+4.6)/100*19.2/100</f>
        <v>4.4544000000000007E-2</v>
      </c>
      <c r="N13" s="376">
        <v>0</v>
      </c>
      <c r="O13" s="377">
        <f t="shared" si="3"/>
        <v>1.000192</v>
      </c>
      <c r="Q13" s="642">
        <f t="shared" si="4"/>
        <v>230.59999999999991</v>
      </c>
      <c r="R13" s="641">
        <f t="shared" si="5"/>
        <v>1</v>
      </c>
      <c r="S13" s="636">
        <f t="shared" si="6"/>
        <v>1.310283625004437</v>
      </c>
      <c r="T13" s="636">
        <f t="shared" si="7"/>
        <v>0.39429937151456146</v>
      </c>
      <c r="U13" s="636">
        <f t="shared" si="8"/>
        <v>0</v>
      </c>
      <c r="V13" s="641">
        <f t="shared" si="9"/>
        <v>1</v>
      </c>
    </row>
    <row r="14" spans="2:22" outlineLevel="1" x14ac:dyDescent="0.2">
      <c r="B14" s="258" t="s">
        <v>731</v>
      </c>
      <c r="C14" s="259"/>
      <c r="D14" s="259"/>
      <c r="E14" s="259"/>
      <c r="F14" s="259" t="s">
        <v>228</v>
      </c>
      <c r="G14" s="259"/>
      <c r="I14" s="356">
        <f>1470*$S$1</f>
        <v>1234.8</v>
      </c>
      <c r="J14" s="356">
        <f>2100*$S$1</f>
        <v>1764</v>
      </c>
      <c r="K14" s="376">
        <v>0.80900000000000005</v>
      </c>
      <c r="L14" s="376">
        <f>(24.4+43+5.7)/100*19.1/100</f>
        <v>0.13962100000000002</v>
      </c>
      <c r="M14" s="376">
        <f>(19.1+5.1)/100*19.1/100</f>
        <v>4.6222000000000006E-2</v>
      </c>
      <c r="N14" s="376">
        <f>(2.7)/100*19.1/100</f>
        <v>5.1570000000000001E-3</v>
      </c>
      <c r="O14" s="377">
        <f t="shared" si="3"/>
        <v>1</v>
      </c>
      <c r="Q14" s="642">
        <f t="shared" si="4"/>
        <v>499.40000000000009</v>
      </c>
      <c r="R14" s="636">
        <f t="shared" si="5"/>
        <v>1.0012376237623761</v>
      </c>
      <c r="S14" s="636">
        <f t="shared" si="6"/>
        <v>1.2390490220439463</v>
      </c>
      <c r="T14" s="636">
        <f t="shared" si="7"/>
        <v>0.40915287244401172</v>
      </c>
      <c r="U14" s="636">
        <f t="shared" si="8"/>
        <v>0.13053052546319729</v>
      </c>
      <c r="V14" s="636">
        <f t="shared" si="9"/>
        <v>1.0009292108696102</v>
      </c>
    </row>
    <row r="15" spans="2:22" ht="25.5" outlineLevel="1" x14ac:dyDescent="0.2">
      <c r="B15" s="258" t="s">
        <v>724</v>
      </c>
      <c r="C15" s="259"/>
      <c r="D15" s="259" t="s">
        <v>228</v>
      </c>
      <c r="E15" s="259"/>
      <c r="F15" s="259"/>
      <c r="G15" s="259"/>
      <c r="I15" s="356">
        <f>820*$S$1</f>
        <v>688.8</v>
      </c>
      <c r="J15" s="356">
        <f>1110*$S$1</f>
        <v>932.4</v>
      </c>
      <c r="K15" s="376">
        <v>0.81</v>
      </c>
      <c r="L15" s="376">
        <f>(37.6+32+4.8)/100*19.1/100</f>
        <v>0.14210399999999998</v>
      </c>
      <c r="M15" s="376">
        <f>(21.7+3.3)/100*19.1/100</f>
        <v>4.7750000000000001E-2</v>
      </c>
      <c r="N15" s="378">
        <f>(0.2)/100*19.1/100</f>
        <v>3.8200000000000007E-4</v>
      </c>
      <c r="O15" s="377">
        <f t="shared" si="3"/>
        <v>1.0002360000000001</v>
      </c>
      <c r="Q15" s="642">
        <f t="shared" si="4"/>
        <v>-189.40000000000009</v>
      </c>
      <c r="R15" s="636">
        <f t="shared" si="5"/>
        <v>1.0024752475247525</v>
      </c>
      <c r="S15" s="636">
        <f t="shared" si="6"/>
        <v>1.2610840935714032</v>
      </c>
      <c r="T15" s="636">
        <f t="shared" si="7"/>
        <v>0.42267858723554924</v>
      </c>
      <c r="U15" s="636">
        <f t="shared" si="8"/>
        <v>9.6689278120886905E-3</v>
      </c>
      <c r="V15" s="636">
        <f t="shared" si="9"/>
        <v>1.0019507388822551</v>
      </c>
    </row>
    <row r="16" spans="2:22" ht="25.5" outlineLevel="1" x14ac:dyDescent="0.2">
      <c r="B16" s="258" t="s">
        <v>725</v>
      </c>
      <c r="C16" s="259"/>
      <c r="D16" s="259"/>
      <c r="E16" s="259" t="s">
        <v>228</v>
      </c>
      <c r="F16" s="259"/>
      <c r="G16" s="259"/>
      <c r="I16" s="356">
        <f>960*$S$1</f>
        <v>806.4</v>
      </c>
      <c r="J16" s="356">
        <f>1390*$S$1</f>
        <v>1167.5999999999999</v>
      </c>
      <c r="K16" s="376">
        <v>0.79500000000000004</v>
      </c>
      <c r="L16" s="376">
        <f>(32.9+29.2+4.1)/100*20.5/100</f>
        <v>0.13570999999999997</v>
      </c>
      <c r="M16" s="376">
        <f>(23.8+3)/100*20.5/100</f>
        <v>5.494000000000001E-2</v>
      </c>
      <c r="N16" s="376">
        <f>(6.9)/100*20.5/100</f>
        <v>1.4145000000000001E-2</v>
      </c>
      <c r="O16" s="377">
        <f t="shared" si="3"/>
        <v>0.99979499999999999</v>
      </c>
      <c r="Q16" s="642">
        <f t="shared" si="4"/>
        <v>-13</v>
      </c>
      <c r="R16" s="636">
        <f t="shared" si="5"/>
        <v>0.9839108910891089</v>
      </c>
      <c r="S16" s="636">
        <f t="shared" si="6"/>
        <v>1.2043413439352524</v>
      </c>
      <c r="T16" s="636">
        <f t="shared" si="7"/>
        <v>0.48632380277949905</v>
      </c>
      <c r="U16" s="636">
        <f t="shared" si="8"/>
        <v>0.3580287536701427</v>
      </c>
      <c r="V16" s="636">
        <f t="shared" si="9"/>
        <v>0.98729625520254549</v>
      </c>
    </row>
    <row r="17" spans="2:23" ht="25.5" outlineLevel="1" x14ac:dyDescent="0.2">
      <c r="B17" s="258" t="s">
        <v>726</v>
      </c>
      <c r="C17" s="259"/>
      <c r="D17" s="259"/>
      <c r="E17" s="259"/>
      <c r="F17" s="259" t="s">
        <v>228</v>
      </c>
      <c r="G17" s="259"/>
      <c r="I17" s="356">
        <f>1130*$S$1</f>
        <v>949.19999999999993</v>
      </c>
      <c r="J17" s="356">
        <f>1580*$S$1</f>
        <v>1327.2</v>
      </c>
      <c r="K17" s="376">
        <v>0.79700000000000004</v>
      </c>
      <c r="L17" s="376">
        <f>(33+24.5+5)/100*20.3/100</f>
        <v>0.12687499999999999</v>
      </c>
      <c r="M17" s="376">
        <f>(15.8+4.5)/100*20.3/100</f>
        <v>4.120900000000001E-2</v>
      </c>
      <c r="N17" s="376">
        <f>(17.2)/100*20.3/100</f>
        <v>3.4916000000000003E-2</v>
      </c>
      <c r="O17" s="377">
        <f t="shared" si="3"/>
        <v>1</v>
      </c>
      <c r="Q17" s="642">
        <f t="shared" si="4"/>
        <v>138.20000000000005</v>
      </c>
      <c r="R17" s="636">
        <f t="shared" si="5"/>
        <v>0.98638613861386137</v>
      </c>
      <c r="S17" s="636">
        <f t="shared" si="6"/>
        <v>1.1259362464946221</v>
      </c>
      <c r="T17" s="636">
        <f t="shared" si="7"/>
        <v>0.36477825971496863</v>
      </c>
      <c r="U17" s="636">
        <f t="shared" si="8"/>
        <v>0.8837703756201275</v>
      </c>
      <c r="V17" s="636">
        <f t="shared" si="9"/>
        <v>0.98928172086056831</v>
      </c>
    </row>
    <row r="18" spans="2:23" outlineLevel="1" x14ac:dyDescent="0.2">
      <c r="B18" s="258" t="s">
        <v>732</v>
      </c>
      <c r="C18" s="259"/>
      <c r="D18" s="259"/>
      <c r="E18" s="259" t="s">
        <v>228</v>
      </c>
      <c r="F18" s="259"/>
      <c r="G18" s="259"/>
      <c r="I18" s="356">
        <f>1030*$S$1</f>
        <v>865.19999999999993</v>
      </c>
      <c r="J18" s="356">
        <f>1510*$S$1</f>
        <v>1268.3999999999999</v>
      </c>
      <c r="K18" s="376">
        <v>0.753</v>
      </c>
      <c r="L18" s="376">
        <f>(30.9+20.6+3.9)/100*24.8/100</f>
        <v>0.13739199999999999</v>
      </c>
      <c r="M18" s="376">
        <f>(22.8+6)/100*24.8/100</f>
        <v>7.1424000000000015E-2</v>
      </c>
      <c r="N18" s="376">
        <f>(14.9+0.6)/100*24.8/100</f>
        <v>3.8440000000000002E-2</v>
      </c>
      <c r="O18" s="377">
        <f t="shared" si="3"/>
        <v>1.000256</v>
      </c>
      <c r="Q18" s="642">
        <f t="shared" si="4"/>
        <v>66.799999999999955</v>
      </c>
      <c r="R18" s="636">
        <f t="shared" si="5"/>
        <v>0.93193069306930687</v>
      </c>
      <c r="S18" s="636">
        <f t="shared" si="6"/>
        <v>1.219268041603067</v>
      </c>
      <c r="T18" s="636">
        <f t="shared" si="7"/>
        <v>0.63223864742852098</v>
      </c>
      <c r="U18" s="636">
        <f t="shared" si="8"/>
        <v>0.97296750025311318</v>
      </c>
      <c r="V18" s="636">
        <f t="shared" si="9"/>
        <v>0.94662947522449448</v>
      </c>
    </row>
    <row r="19" spans="2:23" outlineLevel="1" x14ac:dyDescent="0.2">
      <c r="B19" s="258" t="s">
        <v>733</v>
      </c>
      <c r="C19" s="259"/>
      <c r="D19" s="259"/>
      <c r="E19" s="259"/>
      <c r="F19" s="259" t="s">
        <v>228</v>
      </c>
      <c r="G19" s="259"/>
      <c r="I19" s="356">
        <f>1100*$S$1</f>
        <v>924</v>
      </c>
      <c r="J19" s="356">
        <f>1770*$S$1</f>
        <v>1486.8</v>
      </c>
      <c r="K19" s="376">
        <v>0.748</v>
      </c>
      <c r="L19" s="376">
        <f>(27.1+35.3+0.5)/100*25.2/100</f>
        <v>0.15850799999999998</v>
      </c>
      <c r="M19" s="376">
        <f>(19.6+4.5)/100*25.2/100</f>
        <v>6.0732000000000001E-2</v>
      </c>
      <c r="N19" s="376">
        <f>(12.9+0.2)/100*25.2/100</f>
        <v>3.3012E-2</v>
      </c>
      <c r="O19" s="377">
        <f t="shared" si="3"/>
        <v>1.0002519999999999</v>
      </c>
      <c r="Q19" s="642">
        <f t="shared" si="4"/>
        <v>205.40000000000009</v>
      </c>
      <c r="R19" s="636">
        <f t="shared" si="5"/>
        <v>0.92574257425742568</v>
      </c>
      <c r="S19" s="636">
        <f t="shared" si="6"/>
        <v>1.4066593305171984</v>
      </c>
      <c r="T19" s="636">
        <f t="shared" si="7"/>
        <v>0.53759405151810213</v>
      </c>
      <c r="U19" s="636">
        <f t="shared" si="8"/>
        <v>0.83557760453579</v>
      </c>
      <c r="V19" s="636">
        <f t="shared" si="9"/>
        <v>0.94177549161035601</v>
      </c>
    </row>
    <row r="20" spans="2:23" outlineLevel="1" x14ac:dyDescent="0.2">
      <c r="B20" s="258" t="s">
        <v>734</v>
      </c>
      <c r="C20" s="259"/>
      <c r="D20" s="259"/>
      <c r="E20" s="259" t="s">
        <v>228</v>
      </c>
      <c r="F20" s="259" t="s">
        <v>228</v>
      </c>
      <c r="G20" s="259"/>
      <c r="I20" s="356">
        <f>1390*$S$1</f>
        <v>1167.5999999999999</v>
      </c>
      <c r="J20" s="356">
        <f>2000*$S$1</f>
        <v>1680</v>
      </c>
      <c r="K20" s="376">
        <v>0.77</v>
      </c>
      <c r="L20" s="376">
        <f>(24.4+25.8+6.9)/100*23/100</f>
        <v>0.13133</v>
      </c>
      <c r="M20" s="376">
        <f>(27.3+6.2)/100*23/100</f>
        <v>7.7050000000000007E-2</v>
      </c>
      <c r="N20" s="376">
        <f>(4.1+3.3+1.5+0.5)/100*23/100</f>
        <v>2.1619999999999993E-2</v>
      </c>
      <c r="O20" s="377">
        <f>SUM(K20:N20)</f>
        <v>1</v>
      </c>
      <c r="Q20" s="642">
        <f t="shared" si="4"/>
        <v>423.79999999999995</v>
      </c>
      <c r="R20" s="636">
        <f t="shared" si="5"/>
        <v>0.95297029702970293</v>
      </c>
      <c r="S20" s="636">
        <f t="shared" si="6"/>
        <v>1.1654715842533103</v>
      </c>
      <c r="T20" s="636">
        <f t="shared" si="7"/>
        <v>0.68203947950783395</v>
      </c>
      <c r="U20" s="636">
        <f t="shared" si="8"/>
        <v>0.54723094056899835</v>
      </c>
      <c r="V20" s="636">
        <f t="shared" si="9"/>
        <v>0.96307486834022404</v>
      </c>
    </row>
    <row r="21" spans="2:23" ht="15.75" collapsed="1" x14ac:dyDescent="0.2">
      <c r="B21" s="267" t="s">
        <v>790</v>
      </c>
      <c r="C21" s="261"/>
      <c r="D21" s="261"/>
      <c r="E21" s="261"/>
      <c r="F21" s="261"/>
      <c r="G21" s="261"/>
      <c r="H21" s="246"/>
      <c r="I21" s="379">
        <f>AVERAGE(I22:I27)</f>
        <v>1409.8</v>
      </c>
      <c r="J21" s="379">
        <f>AVERAGE(J22:J27)</f>
        <v>2072</v>
      </c>
      <c r="K21" s="380">
        <f>AVERAGE(K22:K27)</f>
        <v>0.73099999999999998</v>
      </c>
      <c r="L21" s="380">
        <f>AVERAGE(L22:L27)</f>
        <v>0.13594933333333334</v>
      </c>
      <c r="M21" s="380">
        <f t="shared" ref="M21:N21" si="10">AVERAGE(M22:M27)</f>
        <v>9.1583166666666674E-2</v>
      </c>
      <c r="N21" s="380">
        <f t="shared" si="10"/>
        <v>4.1590500000000009E-2</v>
      </c>
      <c r="O21" s="377"/>
      <c r="P21" s="246"/>
      <c r="Q21" s="643">
        <f>AVERAGE(Q22:Q27)</f>
        <v>740.9</v>
      </c>
      <c r="R21" s="635">
        <f t="shared" ref="R21:V21" si="11">AVERAGE(R22:R27)</f>
        <v>0.90470297029702962</v>
      </c>
      <c r="S21" s="635">
        <f t="shared" si="11"/>
        <v>1.2064652775312676</v>
      </c>
      <c r="T21" s="635">
        <f t="shared" si="11"/>
        <v>0.81068572777433545</v>
      </c>
      <c r="U21" s="635">
        <f t="shared" si="11"/>
        <v>1.0527108433734937</v>
      </c>
      <c r="V21" s="635">
        <f t="shared" si="11"/>
        <v>0.92524705620474723</v>
      </c>
    </row>
    <row r="22" spans="2:23" hidden="1" outlineLevel="1" x14ac:dyDescent="0.2">
      <c r="B22" s="258" t="s">
        <v>874</v>
      </c>
      <c r="C22" s="259" t="s">
        <v>228</v>
      </c>
      <c r="D22" s="259"/>
      <c r="E22" s="259"/>
      <c r="F22" s="259"/>
      <c r="G22" s="259"/>
      <c r="I22" s="356">
        <f>1500*$S$1</f>
        <v>1260</v>
      </c>
      <c r="J22" s="356">
        <f>2050*$S$1</f>
        <v>1722</v>
      </c>
      <c r="K22" s="376">
        <v>0.76600000000000001</v>
      </c>
      <c r="L22" s="376">
        <f>(26.6+18.5+13.4)/100*23.4/100</f>
        <v>0.13688999999999998</v>
      </c>
      <c r="M22" s="376">
        <f>(36.7+3.2)/100*23.4/100</f>
        <v>9.3366000000000005E-2</v>
      </c>
      <c r="N22" s="376">
        <f>(0.1+1.6)/100*23.4/100</f>
        <v>3.9779999999999998E-3</v>
      </c>
      <c r="O22" s="377">
        <f t="shared" ref="O22" si="12">SUM(K22:N22)</f>
        <v>1.0002340000000001</v>
      </c>
      <c r="Q22" s="642">
        <f t="shared" si="4"/>
        <v>491</v>
      </c>
      <c r="R22" s="636">
        <f t="shared" si="5"/>
        <v>0.94801980198019797</v>
      </c>
      <c r="S22" s="636">
        <f t="shared" ref="S22:S27" si="13">+L22/$L$24</f>
        <v>1.2148131056760498</v>
      </c>
      <c r="T22" s="636">
        <f t="shared" ref="T22:T27" si="14">+M22/$M$24</f>
        <v>0.82646720368239357</v>
      </c>
      <c r="U22" s="636">
        <f t="shared" si="8"/>
        <v>0.10068846815834764</v>
      </c>
      <c r="V22" s="636">
        <f t="shared" si="9"/>
        <v>0.95924284412724925</v>
      </c>
    </row>
    <row r="23" spans="2:23" ht="15.75" hidden="1" outlineLevel="1" x14ac:dyDescent="0.25">
      <c r="B23" s="258" t="s">
        <v>736</v>
      </c>
      <c r="C23" s="259"/>
      <c r="D23" s="259"/>
      <c r="E23" s="259" t="s">
        <v>228</v>
      </c>
      <c r="F23" s="259"/>
      <c r="G23" s="259"/>
      <c r="H23" s="245"/>
      <c r="I23" s="356">
        <f>1480*$S$1</f>
        <v>1243.2</v>
      </c>
      <c r="J23" s="356">
        <f>2180*$S$1</f>
        <v>1831.2</v>
      </c>
      <c r="K23" s="376">
        <v>0.77200000000000002</v>
      </c>
      <c r="L23" s="376">
        <f>(14.8+18.8+11.4)/100*22.8/100</f>
        <v>0.1026</v>
      </c>
      <c r="M23" s="376">
        <f>(34.5+6.8)/100*22.8/100</f>
        <v>9.4163999999999998E-2</v>
      </c>
      <c r="N23" s="376">
        <f>(3+5.6+3.5+1.6)/100*22.8/100</f>
        <v>3.1235999999999996E-2</v>
      </c>
      <c r="O23" s="377">
        <f t="shared" ref="O23" si="15">SUM(K23:N23)</f>
        <v>1</v>
      </c>
      <c r="P23" s="245"/>
      <c r="Q23" s="642">
        <f t="shared" si="4"/>
        <v>537.20000000000005</v>
      </c>
      <c r="R23" s="636">
        <f t="shared" si="5"/>
        <v>0.95544554455445541</v>
      </c>
      <c r="S23" s="636">
        <f t="shared" si="13"/>
        <v>0.91051080898796632</v>
      </c>
      <c r="T23" s="636">
        <f t="shared" si="14"/>
        <v>0.83353102593608919</v>
      </c>
      <c r="U23" s="636">
        <f t="shared" si="8"/>
        <v>0.79062468360838289</v>
      </c>
      <c r="V23" s="636">
        <f t="shared" si="9"/>
        <v>0.96501611667506426</v>
      </c>
      <c r="W23" s="64"/>
    </row>
    <row r="24" spans="2:23" ht="15.75" hidden="1" outlineLevel="1" x14ac:dyDescent="0.25">
      <c r="B24" s="258" t="s">
        <v>735</v>
      </c>
      <c r="C24" s="259"/>
      <c r="D24" s="259"/>
      <c r="E24" s="259" t="s">
        <v>228</v>
      </c>
      <c r="F24" s="259"/>
      <c r="G24" s="259"/>
      <c r="H24" s="245"/>
      <c r="I24" s="356">
        <f>1400*$S$1</f>
        <v>1176</v>
      </c>
      <c r="J24" s="356">
        <f>2290*$S$1</f>
        <v>1923.6</v>
      </c>
      <c r="K24" s="376">
        <v>0.71399999999999997</v>
      </c>
      <c r="L24" s="376">
        <f>(13.1+13.6+12.7)/100*28.6/100</f>
        <v>0.11268399999999999</v>
      </c>
      <c r="M24" s="376">
        <f>(31.4+8.1)/100*28.6/100</f>
        <v>0.11297</v>
      </c>
      <c r="N24" s="376">
        <f>(3.3+12.2+5.6+0.1)/100*28.6/100</f>
        <v>6.0632000000000012E-2</v>
      </c>
      <c r="O24" s="377">
        <f t="shared" ref="O24" si="16">SUM(K24:N24)</f>
        <v>1.000286</v>
      </c>
      <c r="P24" s="245"/>
      <c r="Q24" s="642">
        <f t="shared" si="4"/>
        <v>549.79999999999995</v>
      </c>
      <c r="R24" s="636">
        <f t="shared" si="5"/>
        <v>0.88366336633663356</v>
      </c>
      <c r="S24" s="641">
        <f t="shared" si="13"/>
        <v>1</v>
      </c>
      <c r="T24" s="641">
        <f t="shared" si="14"/>
        <v>1</v>
      </c>
      <c r="U24" s="636">
        <f t="shared" si="8"/>
        <v>1.5346765212108939</v>
      </c>
      <c r="V24" s="636">
        <f t="shared" si="9"/>
        <v>0.90878160352289106</v>
      </c>
      <c r="W24" s="64"/>
    </row>
    <row r="25" spans="2:23" ht="25.5" hidden="1" outlineLevel="1" x14ac:dyDescent="0.25">
      <c r="B25" s="258" t="s">
        <v>830</v>
      </c>
      <c r="C25" s="259"/>
      <c r="D25" s="259"/>
      <c r="E25" s="259"/>
      <c r="F25" s="259" t="s">
        <v>228</v>
      </c>
      <c r="G25" s="259"/>
      <c r="H25" s="245"/>
      <c r="I25" s="356">
        <f>1850*$S$1</f>
        <v>1554</v>
      </c>
      <c r="J25" s="356">
        <f>2400*$S$1</f>
        <v>2016</v>
      </c>
      <c r="K25" s="376">
        <v>0.76200000000000001</v>
      </c>
      <c r="L25" s="376">
        <f>(21.7+16.7+11.5)/100*23.8/100</f>
        <v>0.11876200000000001</v>
      </c>
      <c r="M25" s="376">
        <f>(28.7+4.8)/100*23.8/100</f>
        <v>7.9730000000000009E-2</v>
      </c>
      <c r="N25" s="376">
        <f>(3.9+7.1+5.6+0)/100*23.8/100</f>
        <v>3.9508000000000008E-2</v>
      </c>
      <c r="O25" s="377">
        <f t="shared" ref="O25" si="17">SUM(K25:N25)</f>
        <v>1</v>
      </c>
      <c r="P25" s="245"/>
      <c r="Q25" s="642">
        <f t="shared" si="4"/>
        <v>785</v>
      </c>
      <c r="R25" s="636">
        <f t="shared" si="5"/>
        <v>0.94306930693069302</v>
      </c>
      <c r="S25" s="636">
        <f t="shared" si="13"/>
        <v>1.0539384473394626</v>
      </c>
      <c r="T25" s="636">
        <f t="shared" si="14"/>
        <v>0.70576259183854129</v>
      </c>
      <c r="U25" s="641">
        <f t="shared" si="8"/>
        <v>1</v>
      </c>
      <c r="V25" s="636">
        <f t="shared" si="9"/>
        <v>0.95530987500086273</v>
      </c>
      <c r="W25" s="64"/>
    </row>
    <row r="26" spans="2:23" hidden="1" outlineLevel="1" x14ac:dyDescent="0.2">
      <c r="B26" s="258" t="s">
        <v>381</v>
      </c>
      <c r="C26" s="259"/>
      <c r="D26" s="259"/>
      <c r="E26" s="259"/>
      <c r="F26" s="259" t="s">
        <v>228</v>
      </c>
      <c r="G26" s="259"/>
      <c r="H26" s="245"/>
      <c r="I26" s="356">
        <f>1850*$S$1</f>
        <v>1554</v>
      </c>
      <c r="J26" s="356">
        <f>2400*$S$1</f>
        <v>2016</v>
      </c>
      <c r="K26" s="376">
        <v>0.76200000000000001</v>
      </c>
      <c r="L26" s="376">
        <f>(21.7+16.7+11.5)/100*23.8/100</f>
        <v>0.11876200000000001</v>
      </c>
      <c r="M26" s="376">
        <f>(28.7+4.8)/100*23.8/100</f>
        <v>7.9730000000000009E-2</v>
      </c>
      <c r="N26" s="376">
        <f>(3.9+7.1+5.6+0)/100*23.8/100</f>
        <v>3.9508000000000008E-2</v>
      </c>
      <c r="O26" s="377">
        <f t="shared" ref="O26" si="18">SUM(K26:N26)</f>
        <v>1</v>
      </c>
      <c r="Q26" s="642">
        <f t="shared" si="4"/>
        <v>785</v>
      </c>
      <c r="R26" s="636">
        <f t="shared" si="5"/>
        <v>0.94306930693069302</v>
      </c>
      <c r="S26" s="636">
        <f t="shared" si="13"/>
        <v>1.0539384473394626</v>
      </c>
      <c r="T26" s="636">
        <f t="shared" si="14"/>
        <v>0.70576259183854129</v>
      </c>
      <c r="U26" s="636">
        <f t="shared" si="8"/>
        <v>1</v>
      </c>
      <c r="V26" s="636">
        <f t="shared" si="9"/>
        <v>0.95530987500086273</v>
      </c>
    </row>
    <row r="27" spans="2:23" hidden="1" outlineLevel="1" x14ac:dyDescent="0.2">
      <c r="B27" s="258" t="s">
        <v>382</v>
      </c>
      <c r="C27" s="259"/>
      <c r="D27" s="259"/>
      <c r="E27" s="259"/>
      <c r="F27" s="259" t="s">
        <v>228</v>
      </c>
      <c r="G27" s="259" t="s">
        <v>228</v>
      </c>
      <c r="H27" s="245"/>
      <c r="I27" s="356">
        <f>1990*$S$1</f>
        <v>1671.6</v>
      </c>
      <c r="J27" s="356">
        <f>3480*$S$1</f>
        <v>2923.2</v>
      </c>
      <c r="K27" s="376">
        <v>0.61</v>
      </c>
      <c r="L27" s="376">
        <f>(7.1+11.3+39.4)/100*39.1/100</f>
        <v>0.22599799999999998</v>
      </c>
      <c r="M27" s="376">
        <f>(17.4+5.5)/100*39.1/100</f>
        <v>8.9538999999999994E-2</v>
      </c>
      <c r="N27" s="376">
        <f>(0.5+13.5+4.6+0.5)/100*39.1/100</f>
        <v>7.4681000000000011E-2</v>
      </c>
      <c r="O27" s="377">
        <f t="shared" ref="O27" si="19">SUM(K27:N27)</f>
        <v>1.0002180000000001</v>
      </c>
      <c r="P27" s="245"/>
      <c r="Q27" s="642">
        <f t="shared" si="4"/>
        <v>1297.3999999999996</v>
      </c>
      <c r="R27" s="636">
        <f t="shared" si="5"/>
        <v>0.75495049504950484</v>
      </c>
      <c r="S27" s="636">
        <f t="shared" si="13"/>
        <v>2.0055908558446629</v>
      </c>
      <c r="T27" s="636">
        <f t="shared" si="14"/>
        <v>0.79259095335044694</v>
      </c>
      <c r="U27" s="636">
        <f t="shared" si="8"/>
        <v>1.8902753872633389</v>
      </c>
      <c r="V27" s="636">
        <f t="shared" si="9"/>
        <v>0.80782202290155358</v>
      </c>
    </row>
    <row r="28" spans="2:23" ht="15.75" collapsed="1" x14ac:dyDescent="0.2">
      <c r="B28" s="260" t="s">
        <v>792</v>
      </c>
      <c r="C28" s="261"/>
      <c r="D28" s="261"/>
      <c r="E28" s="261"/>
      <c r="F28" s="261"/>
      <c r="G28" s="261"/>
      <c r="H28" s="245"/>
      <c r="I28" s="379">
        <f t="shared" ref="I28:N28" si="20">AVERAGE(I29:I36)</f>
        <v>1300.9499999999998</v>
      </c>
      <c r="J28" s="379">
        <f t="shared" si="20"/>
        <v>2019.15</v>
      </c>
      <c r="K28" s="380">
        <f t="shared" si="20"/>
        <v>0.74800000000000011</v>
      </c>
      <c r="L28" s="380">
        <f t="shared" si="20"/>
        <v>0.114477</v>
      </c>
      <c r="M28" s="380">
        <f t="shared" si="20"/>
        <v>0.10927265000000001</v>
      </c>
      <c r="N28" s="380">
        <f t="shared" si="20"/>
        <v>2.8224750000000007E-2</v>
      </c>
      <c r="O28" s="377"/>
      <c r="P28" s="245"/>
      <c r="Q28" s="643">
        <f>AVERAGE(Q29:Q36)</f>
        <v>660.05</v>
      </c>
      <c r="R28" s="635">
        <f t="shared" ref="R28:V28" si="21">AVERAGE(R29:R36)</f>
        <v>0.92574257425742579</v>
      </c>
      <c r="S28" s="635">
        <f t="shared" si="21"/>
        <v>1.0159117532213982</v>
      </c>
      <c r="T28" s="635">
        <f t="shared" si="21"/>
        <v>0.96727139948658947</v>
      </c>
      <c r="U28" s="635">
        <f t="shared" si="21"/>
        <v>0.7144059431001315</v>
      </c>
      <c r="V28" s="635">
        <f t="shared" si="21"/>
        <v>0.94171561488393918</v>
      </c>
    </row>
    <row r="29" spans="2:23" hidden="1" outlineLevel="1" x14ac:dyDescent="0.2">
      <c r="B29" s="258" t="s">
        <v>831</v>
      </c>
      <c r="C29" s="259"/>
      <c r="D29" s="259" t="s">
        <v>228</v>
      </c>
      <c r="E29" s="259"/>
      <c r="F29" s="259"/>
      <c r="G29" s="259"/>
      <c r="H29" s="245"/>
      <c r="I29" s="356">
        <f>1020*$S$1</f>
        <v>856.8</v>
      </c>
      <c r="J29" s="356">
        <f>1390*$S$1</f>
        <v>1167.5999999999999</v>
      </c>
      <c r="K29" s="376">
        <v>0.81</v>
      </c>
      <c r="L29" s="376">
        <f>(16.1+24.9+7.2)/100*19/100</f>
        <v>9.1580000000000009E-2</v>
      </c>
      <c r="M29" s="376">
        <f>(36.8+7.4)/100*19/100</f>
        <v>8.3979999999999999E-2</v>
      </c>
      <c r="N29" s="376">
        <f>(5.6+0.4+1.6)/100*19/100</f>
        <v>1.444E-2</v>
      </c>
      <c r="O29" s="377">
        <f t="shared" ref="O29" si="22">SUM(K29:N29)</f>
        <v>1</v>
      </c>
      <c r="P29" s="245"/>
      <c r="Q29" s="642">
        <f t="shared" si="4"/>
        <v>12.199999999999932</v>
      </c>
      <c r="R29" s="636">
        <f t="shared" si="5"/>
        <v>1.0024752475247525</v>
      </c>
      <c r="S29" s="636">
        <f t="shared" ref="S29:S36" si="23">+L29/$L$24</f>
        <v>0.81271520357814786</v>
      </c>
      <c r="T29" s="636">
        <f t="shared" ref="T29:T36" si="24">+M29/$M$24</f>
        <v>0.74338319907940165</v>
      </c>
      <c r="U29" s="636">
        <f t="shared" si="8"/>
        <v>0.36549559582869284</v>
      </c>
      <c r="V29" s="636">
        <f t="shared" si="9"/>
        <v>1.0018998350370305</v>
      </c>
    </row>
    <row r="30" spans="2:23" hidden="1" outlineLevel="1" x14ac:dyDescent="0.2">
      <c r="B30" s="258" t="s">
        <v>832</v>
      </c>
      <c r="C30" s="259"/>
      <c r="D30" s="259"/>
      <c r="E30" s="259" t="s">
        <v>228</v>
      </c>
      <c r="F30" s="259"/>
      <c r="G30" s="259"/>
      <c r="H30" s="245"/>
      <c r="I30" s="356">
        <f>1480*$S$1</f>
        <v>1243.2</v>
      </c>
      <c r="J30" s="356">
        <f>2010*$S$1</f>
        <v>1688.3999999999999</v>
      </c>
      <c r="K30" s="376">
        <v>0.76100000000000001</v>
      </c>
      <c r="L30" s="376">
        <f>(13.7+24+8.5)/100*23.9/100</f>
        <v>0.110418</v>
      </c>
      <c r="M30" s="376">
        <f>(32.9+14)/100*23.9/100</f>
        <v>0.112091</v>
      </c>
      <c r="N30" s="376">
        <f>(2.4+1.9+2.6+0)/100*23.9/100</f>
        <v>1.6490999999999999E-2</v>
      </c>
      <c r="O30" s="377">
        <f t="shared" ref="O30" si="25">SUM(K30:N30)</f>
        <v>1</v>
      </c>
      <c r="P30" s="245"/>
      <c r="Q30" s="642">
        <f t="shared" si="4"/>
        <v>465.79999999999995</v>
      </c>
      <c r="R30" s="636">
        <f t="shared" si="5"/>
        <v>0.94183168316831678</v>
      </c>
      <c r="S30" s="636">
        <f t="shared" si="23"/>
        <v>0.97989066770792665</v>
      </c>
      <c r="T30" s="636">
        <f t="shared" si="24"/>
        <v>0.9922191732318314</v>
      </c>
      <c r="U30" s="636">
        <f t="shared" si="8"/>
        <v>0.41740913232762972</v>
      </c>
      <c r="V30" s="636">
        <f t="shared" si="9"/>
        <v>0.95433925083344251</v>
      </c>
    </row>
    <row r="31" spans="2:23" hidden="1" outlineLevel="1" x14ac:dyDescent="0.2">
      <c r="B31" s="258" t="s">
        <v>833</v>
      </c>
      <c r="C31" s="259"/>
      <c r="D31" s="259"/>
      <c r="E31" s="259"/>
      <c r="F31" s="259" t="s">
        <v>228</v>
      </c>
      <c r="G31" s="259"/>
      <c r="H31" s="245"/>
      <c r="I31" s="356">
        <f>1840*$S$1</f>
        <v>1545.6</v>
      </c>
      <c r="J31" s="356">
        <f>2900*$S$1</f>
        <v>2436</v>
      </c>
      <c r="K31" s="376">
        <v>0.73699999999999999</v>
      </c>
      <c r="L31" s="376">
        <f>(10.2+22.1+15)/100*26.3/100</f>
        <v>0.124399</v>
      </c>
      <c r="M31" s="376">
        <f>(31.5+11.2)/100*26.3/100</f>
        <v>0.11230100000000003</v>
      </c>
      <c r="N31" s="376">
        <f>(3.2+0.9+5.8+0.1)/100*26.3/100</f>
        <v>2.6300000000000004E-2</v>
      </c>
      <c r="O31" s="377">
        <f t="shared" ref="O31" si="26">SUM(K31:N31)</f>
        <v>1</v>
      </c>
      <c r="P31" s="245"/>
      <c r="Q31" s="642">
        <f t="shared" si="4"/>
        <v>990.8</v>
      </c>
      <c r="R31" s="636">
        <f t="shared" si="5"/>
        <v>0.91212871287128705</v>
      </c>
      <c r="S31" s="636">
        <f t="shared" si="23"/>
        <v>1.103963295587661</v>
      </c>
      <c r="T31" s="636">
        <f t="shared" si="24"/>
        <v>0.99407807382490954</v>
      </c>
      <c r="U31" s="636">
        <f t="shared" si="8"/>
        <v>0.66568796193176061</v>
      </c>
      <c r="V31" s="636">
        <f t="shared" si="9"/>
        <v>0.93104427081535879</v>
      </c>
    </row>
    <row r="32" spans="2:23" hidden="1" outlineLevel="1" x14ac:dyDescent="0.2">
      <c r="B32" s="258" t="s">
        <v>834</v>
      </c>
      <c r="C32" s="259"/>
      <c r="D32" s="259"/>
      <c r="E32" s="259"/>
      <c r="F32" s="259" t="s">
        <v>228</v>
      </c>
      <c r="G32" s="259"/>
      <c r="H32" s="247"/>
      <c r="I32" s="356">
        <f>1840*$S$1</f>
        <v>1545.6</v>
      </c>
      <c r="J32" s="356">
        <f>2900*$S$1</f>
        <v>2436</v>
      </c>
      <c r="K32" s="376">
        <v>0.73699999999999999</v>
      </c>
      <c r="L32" s="376">
        <f>(10.2+22.1+15)/100*26.3/100</f>
        <v>0.124399</v>
      </c>
      <c r="M32" s="376">
        <f>(31.5+11.2)/100*26.3/100</f>
        <v>0.11230100000000003</v>
      </c>
      <c r="N32" s="376">
        <f>(3.2+0.9+5.8+0.1)/100*26.3/100</f>
        <v>2.6300000000000004E-2</v>
      </c>
      <c r="O32" s="377">
        <f t="shared" ref="O32" si="27">SUM(K32:N32)</f>
        <v>1</v>
      </c>
      <c r="Q32" s="642">
        <f t="shared" si="4"/>
        <v>990.8</v>
      </c>
      <c r="R32" s="636">
        <f t="shared" si="5"/>
        <v>0.91212871287128705</v>
      </c>
      <c r="S32" s="636">
        <f t="shared" si="23"/>
        <v>1.103963295587661</v>
      </c>
      <c r="T32" s="636">
        <f t="shared" si="24"/>
        <v>0.99407807382490954</v>
      </c>
      <c r="U32" s="636">
        <f t="shared" si="8"/>
        <v>0.66568796193176061</v>
      </c>
      <c r="V32" s="636">
        <f t="shared" si="9"/>
        <v>0.93104427081535879</v>
      </c>
    </row>
    <row r="33" spans="2:26" hidden="1" outlineLevel="1" x14ac:dyDescent="0.2">
      <c r="B33" s="258" t="s">
        <v>383</v>
      </c>
      <c r="C33" s="259"/>
      <c r="D33" s="259"/>
      <c r="E33" s="259"/>
      <c r="F33" s="259" t="s">
        <v>228</v>
      </c>
      <c r="G33" s="259" t="s">
        <v>228</v>
      </c>
      <c r="H33" s="247"/>
      <c r="I33" s="356">
        <f>1130*$S$1</f>
        <v>949.19999999999993</v>
      </c>
      <c r="J33" s="356">
        <f>1580*$S$1</f>
        <v>1327.2</v>
      </c>
      <c r="K33" s="376">
        <v>0.70399999999999996</v>
      </c>
      <c r="L33" s="376">
        <f>(14.8+8.4+17)/100*29.6/100</f>
        <v>0.118992</v>
      </c>
      <c r="M33" s="376">
        <f>(33.1+12.5)/100*29.62/100</f>
        <v>0.13506720000000003</v>
      </c>
      <c r="N33" s="376">
        <f>(7.1+2.5+4.2+0.3)/100*29.6/100</f>
        <v>4.1736000000000002E-2</v>
      </c>
      <c r="O33" s="377">
        <f t="shared" ref="O33" si="28">SUM(K33:N33)</f>
        <v>0.9997952</v>
      </c>
      <c r="Q33" s="642">
        <f t="shared" si="4"/>
        <v>138.20000000000005</v>
      </c>
      <c r="R33" s="636">
        <f t="shared" si="5"/>
        <v>0.87128712871287117</v>
      </c>
      <c r="S33" s="636">
        <f t="shared" si="23"/>
        <v>1.0559795534414824</v>
      </c>
      <c r="T33" s="636">
        <f t="shared" si="24"/>
        <v>1.1956023723112332</v>
      </c>
      <c r="U33" s="636">
        <f t="shared" si="8"/>
        <v>1.0563936417940669</v>
      </c>
      <c r="V33" s="636">
        <f t="shared" si="9"/>
        <v>0.89896949910616286</v>
      </c>
    </row>
    <row r="34" spans="2:26" hidden="1" outlineLevel="1" x14ac:dyDescent="0.2">
      <c r="B34" s="258" t="s">
        <v>838</v>
      </c>
      <c r="C34" s="259"/>
      <c r="D34" s="259"/>
      <c r="E34" s="259" t="s">
        <v>228</v>
      </c>
      <c r="F34" s="259" t="s">
        <v>228</v>
      </c>
      <c r="G34" s="259"/>
      <c r="H34" s="247"/>
      <c r="I34" s="356">
        <f>1420*$S$1</f>
        <v>1192.8</v>
      </c>
      <c r="J34" s="356">
        <f>1980*$S$1</f>
        <v>1663.2</v>
      </c>
      <c r="K34" s="376">
        <v>0.753</v>
      </c>
      <c r="L34" s="376">
        <f>(18.4+14.6+11.2)/100*24.7/100</f>
        <v>0.10917400000000001</v>
      </c>
      <c r="M34" s="376">
        <f>(26.8+10.2)/100*24.7/100</f>
        <v>9.1389999999999999E-2</v>
      </c>
      <c r="N34" s="376">
        <f>(1.3+14+2.9+0.6)/100*24.7/100</f>
        <v>4.6436000000000005E-2</v>
      </c>
      <c r="O34" s="377">
        <f t="shared" ref="O34" si="29">SUM(K34:N34)</f>
        <v>1</v>
      </c>
      <c r="P34" s="247"/>
      <c r="Q34" s="642">
        <f t="shared" si="4"/>
        <v>428</v>
      </c>
      <c r="R34" s="636">
        <f t="shared" si="5"/>
        <v>0.93193069306930687</v>
      </c>
      <c r="S34" s="636">
        <f t="shared" si="23"/>
        <v>0.96885094600830657</v>
      </c>
      <c r="T34" s="636">
        <f t="shared" si="24"/>
        <v>0.80897583429228992</v>
      </c>
      <c r="U34" s="636">
        <f t="shared" si="8"/>
        <v>1.1753568897438493</v>
      </c>
      <c r="V34" s="636">
        <f t="shared" si="9"/>
        <v>0.94657425749408131</v>
      </c>
    </row>
    <row r="35" spans="2:26" hidden="1" outlineLevel="1" x14ac:dyDescent="0.2">
      <c r="B35" s="258" t="s">
        <v>835</v>
      </c>
      <c r="C35" s="259"/>
      <c r="D35" s="259"/>
      <c r="E35" s="259" t="s">
        <v>228</v>
      </c>
      <c r="F35" s="259" t="s">
        <v>228</v>
      </c>
      <c r="G35" s="259"/>
      <c r="H35" s="247"/>
      <c r="I35" s="356">
        <f>1840*$S$1</f>
        <v>1545.6</v>
      </c>
      <c r="J35" s="356">
        <f>2900*$S$1</f>
        <v>2436</v>
      </c>
      <c r="K35" s="376">
        <v>0.73699999999999999</v>
      </c>
      <c r="L35" s="376">
        <f>(10.2+22.1+15)/100*26.3/100</f>
        <v>0.124399</v>
      </c>
      <c r="M35" s="376">
        <f>(31.5+11.2)/100*26.3/100</f>
        <v>0.11230100000000003</v>
      </c>
      <c r="N35" s="376">
        <f>(3.2+0.9+5.8+0.1)/100*26.3/100</f>
        <v>2.6300000000000004E-2</v>
      </c>
      <c r="O35" s="377">
        <f t="shared" ref="O35" si="30">SUM(K35:N35)</f>
        <v>1</v>
      </c>
      <c r="P35" s="247"/>
      <c r="Q35" s="642">
        <f t="shared" si="4"/>
        <v>990.8</v>
      </c>
      <c r="R35" s="636">
        <f t="shared" si="5"/>
        <v>0.91212871287128705</v>
      </c>
      <c r="S35" s="636">
        <f t="shared" si="23"/>
        <v>1.103963295587661</v>
      </c>
      <c r="T35" s="636">
        <f t="shared" si="24"/>
        <v>0.99407807382490954</v>
      </c>
      <c r="U35" s="636">
        <f t="shared" si="8"/>
        <v>0.66568796193176061</v>
      </c>
      <c r="V35" s="636">
        <f t="shared" si="9"/>
        <v>0.93104427081535879</v>
      </c>
    </row>
    <row r="36" spans="2:26" ht="15.75" hidden="1" outlineLevel="1" x14ac:dyDescent="0.2">
      <c r="B36" s="258" t="s">
        <v>836</v>
      </c>
      <c r="C36" s="259"/>
      <c r="D36" s="259"/>
      <c r="E36" s="259" t="s">
        <v>228</v>
      </c>
      <c r="F36" s="259" t="s">
        <v>228</v>
      </c>
      <c r="G36" s="259"/>
      <c r="H36" s="247"/>
      <c r="I36" s="356">
        <f>1820*$S$1</f>
        <v>1528.8</v>
      </c>
      <c r="J36" s="356">
        <f>3570*$S$1</f>
        <v>2998.7999999999997</v>
      </c>
      <c r="K36" s="376">
        <v>0.745</v>
      </c>
      <c r="L36" s="376">
        <f>(13.5+19.7+10.9)/100*25.5/100</f>
        <v>0.112455</v>
      </c>
      <c r="M36" s="376">
        <f>(37.2+7.8)/100*25.5/100</f>
        <v>0.11474999999999999</v>
      </c>
      <c r="N36" s="376">
        <f>(1.6+5.2+2.8+1.3)/100*25.5/100</f>
        <v>2.7795000000000004E-2</v>
      </c>
      <c r="O36" s="377">
        <f t="shared" ref="O36" si="31">SUM(K36:N36)</f>
        <v>1</v>
      </c>
      <c r="P36" s="247"/>
      <c r="Q36" s="642">
        <f t="shared" si="4"/>
        <v>1263.7999999999997</v>
      </c>
      <c r="R36" s="636">
        <f t="shared" si="5"/>
        <v>0.92202970297029696</v>
      </c>
      <c r="S36" s="636">
        <f t="shared" si="23"/>
        <v>0.99796776827233691</v>
      </c>
      <c r="T36" s="636">
        <f t="shared" si="24"/>
        <v>1.0157563955032309</v>
      </c>
      <c r="U36" s="636">
        <f t="shared" si="8"/>
        <v>0.70352839931153177</v>
      </c>
      <c r="V36" s="636">
        <f t="shared" si="9"/>
        <v>0.93880926415471999</v>
      </c>
      <c r="W36" s="41"/>
      <c r="X36" s="41"/>
      <c r="Y36" s="41"/>
      <c r="Z36" s="41"/>
    </row>
    <row r="37" spans="2:26" ht="15.75" x14ac:dyDescent="0.25">
      <c r="B37" s="260" t="s">
        <v>837</v>
      </c>
      <c r="C37" s="261"/>
      <c r="D37" s="261"/>
      <c r="E37" s="261"/>
      <c r="F37" s="261"/>
      <c r="G37" s="261"/>
      <c r="H37" s="247"/>
      <c r="I37" s="379">
        <f>AVERAGE(I38:I48)</f>
        <v>1259.2363636363636</v>
      </c>
      <c r="J37" s="379">
        <f>AVERAGE(J38:J48)</f>
        <v>1849.5272727272727</v>
      </c>
      <c r="K37" s="380">
        <f>AVERAGE(K38:K48)</f>
        <v>0.72670000000000001</v>
      </c>
      <c r="L37" s="380">
        <f t="shared" ref="L37:N37" si="32">AVERAGE(L38:L48)</f>
        <v>0.13261972727272725</v>
      </c>
      <c r="M37" s="380">
        <f t="shared" si="32"/>
        <v>0.10934389090909093</v>
      </c>
      <c r="N37" s="380">
        <f t="shared" si="32"/>
        <v>3.1343181818181819E-2</v>
      </c>
      <c r="O37" s="377"/>
      <c r="P37" s="247"/>
      <c r="Q37" s="643">
        <f>AVERAGE(Q38:Q48)</f>
        <v>554.38181818181829</v>
      </c>
      <c r="R37" s="635">
        <f t="shared" ref="R37:V37" si="33">AVERAGE(R38:R48)</f>
        <v>0.89938118811881185</v>
      </c>
      <c r="S37" s="635">
        <f t="shared" si="33"/>
        <v>1.1769171068894186</v>
      </c>
      <c r="T37" s="635">
        <f t="shared" si="33"/>
        <v>0.96790201743021076</v>
      </c>
      <c r="U37" s="635">
        <f t="shared" si="33"/>
        <v>0.79333759790882385</v>
      </c>
      <c r="V37" s="635">
        <f t="shared" si="33"/>
        <v>0.92104830861189546</v>
      </c>
      <c r="W37" s="18"/>
      <c r="X37" s="18"/>
      <c r="Y37" s="18"/>
      <c r="Z37" s="18"/>
    </row>
    <row r="38" spans="2:26" outlineLevel="1" x14ac:dyDescent="0.2">
      <c r="B38" s="258" t="s">
        <v>873</v>
      </c>
      <c r="C38" s="259" t="s">
        <v>228</v>
      </c>
      <c r="D38" s="259"/>
      <c r="E38" s="259"/>
      <c r="F38" s="259"/>
      <c r="G38" s="259"/>
      <c r="H38" s="247"/>
      <c r="I38" s="356">
        <f>1500*$S$1</f>
        <v>1260</v>
      </c>
      <c r="J38" s="356">
        <f>2050*$S$1</f>
        <v>1722</v>
      </c>
      <c r="K38" s="376">
        <v>0.76600000000000001</v>
      </c>
      <c r="L38" s="376">
        <f>(26.6+18.5+13.4)/100*23.4/100</f>
        <v>0.13688999999999998</v>
      </c>
      <c r="M38" s="376">
        <f>(36.7+3.2)/100*23.4/100</f>
        <v>9.3366000000000005E-2</v>
      </c>
      <c r="N38" s="376">
        <f>(0.1+1.6)/100*23.4/100</f>
        <v>3.9779999999999998E-3</v>
      </c>
      <c r="O38" s="377">
        <f t="shared" ref="O38" si="34">SUM(K38:N38)</f>
        <v>1.0002340000000001</v>
      </c>
      <c r="Q38" s="642">
        <f t="shared" si="4"/>
        <v>491</v>
      </c>
      <c r="R38" s="636">
        <f t="shared" si="5"/>
        <v>0.94801980198019797</v>
      </c>
      <c r="S38" s="636">
        <f t="shared" ref="S38:S48" si="35">+L38/$L$24</f>
        <v>1.2148131056760498</v>
      </c>
      <c r="T38" s="636">
        <f t="shared" ref="T38:T48" si="36">+M38/$M$24</f>
        <v>0.82646720368239357</v>
      </c>
      <c r="U38" s="636">
        <f t="shared" si="8"/>
        <v>0.10068846815834764</v>
      </c>
      <c r="V38" s="636">
        <f t="shared" si="9"/>
        <v>0.95924284412724925</v>
      </c>
      <c r="W38" s="78"/>
      <c r="X38" s="78"/>
      <c r="Y38" s="78"/>
      <c r="Z38" s="78"/>
    </row>
    <row r="39" spans="2:26" outlineLevel="1" x14ac:dyDescent="0.2">
      <c r="B39" s="258" t="s">
        <v>750</v>
      </c>
      <c r="C39" s="259"/>
      <c r="D39" s="259"/>
      <c r="E39" s="259" t="s">
        <v>228</v>
      </c>
      <c r="F39" s="259"/>
      <c r="G39" s="259"/>
      <c r="H39" s="247"/>
      <c r="I39" s="356">
        <f>1520*$S$1</f>
        <v>1276.8</v>
      </c>
      <c r="J39" s="356">
        <f>2300*$S$1</f>
        <v>1932</v>
      </c>
      <c r="K39" s="376">
        <v>0.78500000000000003</v>
      </c>
      <c r="L39" s="376">
        <f>(24.4+24.4+8)/100*21.6/100</f>
        <v>0.12268800000000001</v>
      </c>
      <c r="M39" s="376">
        <f>(31.8+5.7)/100*21.6/100</f>
        <v>8.1000000000000016E-2</v>
      </c>
      <c r="N39" s="376">
        <f>(1.2+2.6+0.8+0.7)/100*21.6/100</f>
        <v>1.1448E-2</v>
      </c>
      <c r="O39" s="377">
        <f t="shared" ref="O39" si="37">SUM(K39:N39)</f>
        <v>1.0001359999999999</v>
      </c>
      <c r="P39" s="247"/>
      <c r="Q39" s="642">
        <f t="shared" si="4"/>
        <v>604.40000000000009</v>
      </c>
      <c r="R39" s="636">
        <f t="shared" si="5"/>
        <v>0.97153465346534651</v>
      </c>
      <c r="S39" s="636">
        <f t="shared" si="35"/>
        <v>1.0887792410635051</v>
      </c>
      <c r="T39" s="636">
        <f t="shared" si="36"/>
        <v>0.71700451447286906</v>
      </c>
      <c r="U39" s="636">
        <f t="shared" si="8"/>
        <v>0.28976409841044848</v>
      </c>
      <c r="V39" s="636">
        <f t="shared" si="9"/>
        <v>0.97766356527080855</v>
      </c>
      <c r="W39" s="80"/>
      <c r="X39" s="80"/>
      <c r="Y39" s="80"/>
      <c r="Z39" s="80"/>
    </row>
    <row r="40" spans="2:26" outlineLevel="1" x14ac:dyDescent="0.2">
      <c r="B40" s="258" t="s">
        <v>751</v>
      </c>
      <c r="C40" s="259"/>
      <c r="D40" s="259"/>
      <c r="E40" s="259" t="s">
        <v>228</v>
      </c>
      <c r="F40" s="259"/>
      <c r="G40" s="259"/>
      <c r="H40" s="247"/>
      <c r="I40" s="356">
        <f>1600*$S$1</f>
        <v>1344</v>
      </c>
      <c r="J40" s="356">
        <f>2190*$S$1</f>
        <v>1839.6</v>
      </c>
      <c r="K40" s="376">
        <v>0.79800000000000004</v>
      </c>
      <c r="L40" s="376">
        <f>(24.6+24.3+10.4)/100*20.2/100</f>
        <v>0.11978600000000002</v>
      </c>
      <c r="M40" s="376">
        <f>(32.6+3.8)/100*20.2/100</f>
        <v>7.3527999999999996E-2</v>
      </c>
      <c r="N40" s="376">
        <f>(0.3+3.3+0.7)/100*20.2/100</f>
        <v>8.6859999999999993E-3</v>
      </c>
      <c r="O40" s="377">
        <f t="shared" ref="O40" si="38">SUM(K40:N40)</f>
        <v>1.0000000000000002</v>
      </c>
      <c r="P40" s="247"/>
      <c r="Q40" s="642">
        <f t="shared" si="4"/>
        <v>591.79999999999995</v>
      </c>
      <c r="R40" s="636">
        <f t="shared" si="5"/>
        <v>0.98762376237623761</v>
      </c>
      <c r="S40" s="636">
        <f t="shared" si="35"/>
        <v>1.0630258066806293</v>
      </c>
      <c r="T40" s="636">
        <f t="shared" si="36"/>
        <v>0.65086306098964319</v>
      </c>
      <c r="U40" s="636">
        <f t="shared" si="8"/>
        <v>0.21985420674293807</v>
      </c>
      <c r="V40" s="636">
        <f t="shared" si="9"/>
        <v>0.99025234502798853</v>
      </c>
      <c r="W40" s="80"/>
      <c r="X40" s="80"/>
      <c r="Y40" s="80"/>
      <c r="Z40" s="80"/>
    </row>
    <row r="41" spans="2:26" outlineLevel="1" x14ac:dyDescent="0.2">
      <c r="B41" s="258" t="s">
        <v>855</v>
      </c>
      <c r="C41" s="259"/>
      <c r="D41" s="259"/>
      <c r="E41" s="259" t="s">
        <v>228</v>
      </c>
      <c r="F41" s="259"/>
      <c r="G41" s="259"/>
      <c r="H41" s="247"/>
      <c r="I41" s="356">
        <f>1480*$S$1</f>
        <v>1243.2</v>
      </c>
      <c r="J41" s="356">
        <f>2010*$S$1</f>
        <v>1688.3999999999999</v>
      </c>
      <c r="K41" s="376">
        <v>0.76100000000000001</v>
      </c>
      <c r="L41" s="376">
        <f>(13.7+24+8.5)/100*23.9/100</f>
        <v>0.110418</v>
      </c>
      <c r="M41" s="376">
        <f>(32.9+14)/100*23.9/100</f>
        <v>0.112091</v>
      </c>
      <c r="N41" s="376">
        <f>(2.4+1.9+2.6+0)/100*23.9/100</f>
        <v>1.6490999999999999E-2</v>
      </c>
      <c r="O41" s="377">
        <f t="shared" ref="O41" si="39">SUM(K41:N41)</f>
        <v>1</v>
      </c>
      <c r="Q41" s="642">
        <f t="shared" si="4"/>
        <v>465.79999999999995</v>
      </c>
      <c r="R41" s="636">
        <f t="shared" si="5"/>
        <v>0.94183168316831678</v>
      </c>
      <c r="S41" s="636">
        <f t="shared" si="35"/>
        <v>0.97989066770792665</v>
      </c>
      <c r="T41" s="636">
        <f t="shared" si="36"/>
        <v>0.9922191732318314</v>
      </c>
      <c r="U41" s="636">
        <f t="shared" si="8"/>
        <v>0.41740913232762972</v>
      </c>
      <c r="V41" s="636">
        <f t="shared" si="9"/>
        <v>0.95433925083344251</v>
      </c>
      <c r="W41" s="80"/>
      <c r="X41" s="80"/>
      <c r="Y41" s="80"/>
      <c r="Z41" s="80"/>
    </row>
    <row r="42" spans="2:26" outlineLevel="1" x14ac:dyDescent="0.2">
      <c r="B42" s="258" t="s">
        <v>384</v>
      </c>
      <c r="C42" s="259"/>
      <c r="D42" s="259"/>
      <c r="E42" s="259" t="s">
        <v>228</v>
      </c>
      <c r="F42" s="259"/>
      <c r="G42" s="259"/>
      <c r="H42" s="247"/>
      <c r="I42" s="356">
        <f>1480*$S$1</f>
        <v>1243.2</v>
      </c>
      <c r="J42" s="356">
        <f>2010*$S$1</f>
        <v>1688.3999999999999</v>
      </c>
      <c r="K42" s="376">
        <v>0.76100000000000001</v>
      </c>
      <c r="L42" s="376">
        <f>(13.7+24+8.5)/100*23.9/100</f>
        <v>0.110418</v>
      </c>
      <c r="M42" s="376">
        <f>(32.9+14)/100*23.9/100</f>
        <v>0.112091</v>
      </c>
      <c r="N42" s="376">
        <f>(2.4+1.9+2.6+0)/100*23.9/100</f>
        <v>1.6490999999999999E-2</v>
      </c>
      <c r="O42" s="377">
        <f t="shared" ref="O42" si="40">SUM(K42:N42)</f>
        <v>1</v>
      </c>
      <c r="Q42" s="642">
        <f t="shared" si="4"/>
        <v>465.79999999999995</v>
      </c>
      <c r="R42" s="636">
        <f t="shared" si="5"/>
        <v>0.94183168316831678</v>
      </c>
      <c r="S42" s="636">
        <f t="shared" si="35"/>
        <v>0.97989066770792665</v>
      </c>
      <c r="T42" s="636">
        <f t="shared" si="36"/>
        <v>0.9922191732318314</v>
      </c>
      <c r="U42" s="636">
        <f t="shared" si="8"/>
        <v>0.41740913232762972</v>
      </c>
      <c r="V42" s="636">
        <f t="shared" si="9"/>
        <v>0.95433925083344251</v>
      </c>
      <c r="W42" s="80"/>
      <c r="X42" s="80"/>
      <c r="Y42" s="80"/>
      <c r="Z42" s="80"/>
    </row>
    <row r="43" spans="2:26" ht="25.5" outlineLevel="1" x14ac:dyDescent="0.2">
      <c r="B43" s="258" t="s">
        <v>385</v>
      </c>
      <c r="C43" s="259"/>
      <c r="D43" s="259"/>
      <c r="E43" s="259" t="s">
        <v>228</v>
      </c>
      <c r="F43" s="259" t="s">
        <v>228</v>
      </c>
      <c r="G43" s="259"/>
      <c r="H43" s="247"/>
      <c r="I43" s="356">
        <f>1420*$S$1</f>
        <v>1192.8</v>
      </c>
      <c r="J43" s="356">
        <f>2420*$S$1</f>
        <v>2032.8</v>
      </c>
      <c r="K43" s="376">
        <v>0.69669999999999999</v>
      </c>
      <c r="L43" s="376">
        <f>(28.2+9.1+14.4)/100*30.3/100</f>
        <v>0.15665099999999998</v>
      </c>
      <c r="M43" s="376">
        <f>(21.6+11.7)/100*30.3/100</f>
        <v>0.10089899999999999</v>
      </c>
      <c r="N43" s="376">
        <f>(3.9+10.9+0.3+0.1)/100*30.3/100</f>
        <v>4.6056000000000007E-2</v>
      </c>
      <c r="O43" s="377">
        <f t="shared" ref="O43" si="41">SUM(K43:N43)</f>
        <v>1.0003059999999999</v>
      </c>
      <c r="P43" s="247"/>
      <c r="Q43" s="642">
        <f t="shared" si="4"/>
        <v>612.79999999999995</v>
      </c>
      <c r="R43" s="636">
        <f t="shared" si="5"/>
        <v>0.86225247524752469</v>
      </c>
      <c r="S43" s="636">
        <f t="shared" si="35"/>
        <v>1.3901796173369776</v>
      </c>
      <c r="T43" s="636">
        <f t="shared" si="36"/>
        <v>0.89314862352837021</v>
      </c>
      <c r="U43" s="636">
        <f t="shared" si="8"/>
        <v>1.1657385845904626</v>
      </c>
      <c r="V43" s="636">
        <f t="shared" si="9"/>
        <v>0.89199411931171091</v>
      </c>
      <c r="W43" s="80"/>
      <c r="X43" s="80"/>
      <c r="Y43" s="80"/>
      <c r="Z43" s="80"/>
    </row>
    <row r="44" spans="2:26" outlineLevel="1" x14ac:dyDescent="0.2">
      <c r="B44" s="258" t="s">
        <v>386</v>
      </c>
      <c r="C44" s="259"/>
      <c r="D44" s="259" t="s">
        <v>228</v>
      </c>
      <c r="E44" s="259" t="s">
        <v>228</v>
      </c>
      <c r="F44" s="259"/>
      <c r="G44" s="259"/>
      <c r="H44" s="247"/>
      <c r="I44" s="356">
        <f>1130*$S$1</f>
        <v>949.19999999999993</v>
      </c>
      <c r="J44" s="356">
        <f>1580*$S$1</f>
        <v>1327.2</v>
      </c>
      <c r="K44" s="376">
        <v>0.70399999999999996</v>
      </c>
      <c r="L44" s="376">
        <f>(14.8+8.4+17)/100*29.6/100</f>
        <v>0.118992</v>
      </c>
      <c r="M44" s="376">
        <f>(33.1+12.5)/100*29.62/100</f>
        <v>0.13506720000000003</v>
      </c>
      <c r="N44" s="376">
        <f>(7.1+2.5+4.2+0.3)/100*29.6/100</f>
        <v>4.1736000000000002E-2</v>
      </c>
      <c r="O44" s="377">
        <f t="shared" ref="O44" si="42">SUM(K44:N44)</f>
        <v>0.9997952</v>
      </c>
      <c r="Q44" s="642">
        <f t="shared" si="4"/>
        <v>138.20000000000005</v>
      </c>
      <c r="R44" s="636">
        <f t="shared" si="5"/>
        <v>0.87128712871287117</v>
      </c>
      <c r="S44" s="636">
        <f t="shared" si="35"/>
        <v>1.0559795534414824</v>
      </c>
      <c r="T44" s="636">
        <f t="shared" si="36"/>
        <v>1.1956023723112332</v>
      </c>
      <c r="U44" s="636">
        <f t="shared" si="8"/>
        <v>1.0563936417940669</v>
      </c>
      <c r="V44" s="636">
        <f t="shared" si="9"/>
        <v>0.89896949910616286</v>
      </c>
      <c r="W44" s="80"/>
      <c r="X44" s="80"/>
      <c r="Y44" s="80"/>
      <c r="Z44" s="80"/>
    </row>
    <row r="45" spans="2:26" ht="25.5" outlineLevel="1" x14ac:dyDescent="0.2">
      <c r="B45" s="258" t="s">
        <v>387</v>
      </c>
      <c r="C45" s="259"/>
      <c r="D45" s="259"/>
      <c r="E45" s="259" t="s">
        <v>228</v>
      </c>
      <c r="F45" s="259" t="s">
        <v>228</v>
      </c>
      <c r="G45" s="259"/>
      <c r="H45" s="247"/>
      <c r="I45" s="356">
        <f>1620*$S$1</f>
        <v>1360.8</v>
      </c>
      <c r="J45" s="356">
        <f>2300*$S$1</f>
        <v>1932</v>
      </c>
      <c r="K45" s="376">
        <v>0.70399999999999996</v>
      </c>
      <c r="L45" s="376">
        <f>(14.8+8.4+17)/100*29.6/100</f>
        <v>0.118992</v>
      </c>
      <c r="M45" s="376">
        <f>(33.1+12.5)/100*29.62/100</f>
        <v>0.13506720000000003</v>
      </c>
      <c r="N45" s="376">
        <f>(7.1+2.5+4.2+0.3)/100*29.6/100</f>
        <v>4.1736000000000002E-2</v>
      </c>
      <c r="O45" s="377">
        <f t="shared" ref="O45" si="43">SUM(K45:N45)</f>
        <v>0.9997952</v>
      </c>
      <c r="Q45" s="642">
        <f t="shared" si="4"/>
        <v>646.40000000000009</v>
      </c>
      <c r="R45" s="636">
        <f t="shared" si="5"/>
        <v>0.87128712871287117</v>
      </c>
      <c r="S45" s="636">
        <f t="shared" si="35"/>
        <v>1.0559795534414824</v>
      </c>
      <c r="T45" s="636">
        <f t="shared" si="36"/>
        <v>1.1956023723112332</v>
      </c>
      <c r="U45" s="636">
        <f t="shared" si="8"/>
        <v>1.0563936417940669</v>
      </c>
      <c r="V45" s="636">
        <f t="shared" si="9"/>
        <v>0.89896949910616286</v>
      </c>
    </row>
    <row r="46" spans="2:26" outlineLevel="1" x14ac:dyDescent="0.2">
      <c r="B46" s="258" t="s">
        <v>388</v>
      </c>
      <c r="C46" s="259"/>
      <c r="D46" s="259"/>
      <c r="E46" s="259" t="s">
        <v>228</v>
      </c>
      <c r="F46" s="259"/>
      <c r="G46" s="259"/>
      <c r="H46" s="247"/>
      <c r="I46" s="356">
        <f>1130*$S$1</f>
        <v>949.19999999999993</v>
      </c>
      <c r="J46" s="356">
        <f>1580*$S$1</f>
        <v>1327.2</v>
      </c>
      <c r="K46" s="376">
        <v>0.70399999999999996</v>
      </c>
      <c r="L46" s="376">
        <f>(14.8+8.4+17)/100*29.6/100</f>
        <v>0.118992</v>
      </c>
      <c r="M46" s="376">
        <f>(33.1+12.5)/100*29.62/100</f>
        <v>0.13506720000000003</v>
      </c>
      <c r="N46" s="376">
        <f>(7.1+2.5+4.2+0.3)/100*29.6/100</f>
        <v>4.1736000000000002E-2</v>
      </c>
      <c r="O46" s="377">
        <f t="shared" ref="O46" si="44">SUM(K46:N46)</f>
        <v>0.9997952</v>
      </c>
      <c r="Q46" s="642">
        <f t="shared" si="4"/>
        <v>138.20000000000005</v>
      </c>
      <c r="R46" s="636">
        <f t="shared" si="5"/>
        <v>0.87128712871287117</v>
      </c>
      <c r="S46" s="636">
        <f t="shared" si="35"/>
        <v>1.0559795534414824</v>
      </c>
      <c r="T46" s="636">
        <f t="shared" si="36"/>
        <v>1.1956023723112332</v>
      </c>
      <c r="U46" s="636">
        <f t="shared" si="8"/>
        <v>1.0563936417940669</v>
      </c>
      <c r="V46" s="636">
        <f t="shared" si="9"/>
        <v>0.89896949910616286</v>
      </c>
    </row>
    <row r="47" spans="2:26" outlineLevel="1" x14ac:dyDescent="0.2">
      <c r="B47" s="258" t="s">
        <v>389</v>
      </c>
      <c r="C47" s="259"/>
      <c r="D47" s="259"/>
      <c r="E47" s="259"/>
      <c r="F47" s="259" t="s">
        <v>228</v>
      </c>
      <c r="G47" s="259"/>
      <c r="H47" s="247"/>
      <c r="I47" s="356">
        <f>1620*$S$1</f>
        <v>1360.8</v>
      </c>
      <c r="J47" s="356">
        <f>2300*$S$1</f>
        <v>1932</v>
      </c>
      <c r="K47" s="376">
        <v>0.70399999999999996</v>
      </c>
      <c r="L47" s="376">
        <f>(14.8+8.4+17)/100*29.6/100</f>
        <v>0.118992</v>
      </c>
      <c r="M47" s="376">
        <f>(33.1+12.5)/100*29.62/100</f>
        <v>0.13506720000000003</v>
      </c>
      <c r="N47" s="376">
        <f>(7.1+2.5+4.2+0.3)/100*29.6/100</f>
        <v>4.1736000000000002E-2</v>
      </c>
      <c r="O47" s="377">
        <f t="shared" ref="O47" si="45">SUM(K47:N47)</f>
        <v>0.9997952</v>
      </c>
      <c r="P47" s="247"/>
      <c r="Q47" s="642">
        <f t="shared" si="4"/>
        <v>646.40000000000009</v>
      </c>
      <c r="R47" s="636">
        <f t="shared" si="5"/>
        <v>0.87128712871287117</v>
      </c>
      <c r="S47" s="636">
        <f t="shared" si="35"/>
        <v>1.0559795534414824</v>
      </c>
      <c r="T47" s="636">
        <f t="shared" si="36"/>
        <v>1.1956023723112332</v>
      </c>
      <c r="U47" s="636">
        <f t="shared" si="8"/>
        <v>1.0563936417940669</v>
      </c>
      <c r="V47" s="636">
        <f t="shared" si="9"/>
        <v>0.89896949910616286</v>
      </c>
    </row>
    <row r="48" spans="2:26" outlineLevel="1" x14ac:dyDescent="0.2">
      <c r="B48" s="258" t="s">
        <v>390</v>
      </c>
      <c r="C48" s="259"/>
      <c r="D48" s="259"/>
      <c r="E48" s="259"/>
      <c r="F48" s="259"/>
      <c r="G48" s="259" t="s">
        <v>228</v>
      </c>
      <c r="H48" s="247"/>
      <c r="I48" s="356">
        <f>1990*$S$1</f>
        <v>1671.6</v>
      </c>
      <c r="J48" s="356">
        <f>3480*$S$1</f>
        <v>2923.2</v>
      </c>
      <c r="K48" s="376">
        <v>0.61</v>
      </c>
      <c r="L48" s="376">
        <f>(7.1+11.3+39.4)/100*39.1/100</f>
        <v>0.22599799999999998</v>
      </c>
      <c r="M48" s="376">
        <f>(17.4+5.5)/100*39.1/100</f>
        <v>8.9538999999999994E-2</v>
      </c>
      <c r="N48" s="376">
        <f>(0.5+13.5+4.6+0.5)/100*39.1/100</f>
        <v>7.4681000000000011E-2</v>
      </c>
      <c r="O48" s="377">
        <f t="shared" ref="O48" si="46">SUM(K48:N48)</f>
        <v>1.0002180000000001</v>
      </c>
      <c r="Q48" s="642">
        <f t="shared" si="4"/>
        <v>1297.3999999999996</v>
      </c>
      <c r="R48" s="636">
        <f t="shared" si="5"/>
        <v>0.75495049504950484</v>
      </c>
      <c r="S48" s="636">
        <f t="shared" si="35"/>
        <v>2.0055908558446629</v>
      </c>
      <c r="T48" s="636">
        <f t="shared" si="36"/>
        <v>0.79259095335044694</v>
      </c>
      <c r="U48" s="636">
        <f t="shared" si="8"/>
        <v>1.8902753872633389</v>
      </c>
      <c r="V48" s="636">
        <f t="shared" si="9"/>
        <v>0.80782202290155358</v>
      </c>
    </row>
    <row r="49" spans="2:22" ht="15.75" collapsed="1" x14ac:dyDescent="0.2">
      <c r="B49" s="260" t="s">
        <v>791</v>
      </c>
      <c r="C49" s="261"/>
      <c r="D49" s="261"/>
      <c r="E49" s="261"/>
      <c r="F49" s="261"/>
      <c r="G49" s="261"/>
      <c r="H49" s="247"/>
      <c r="I49" s="379">
        <f>AVERAGE(I50:I58)</f>
        <v>988.58666666666659</v>
      </c>
      <c r="J49" s="379">
        <f>AVERAGE(J50:J58)</f>
        <v>1532.16</v>
      </c>
      <c r="K49" s="380">
        <f>AVERAGE(K50:K58)</f>
        <v>0.76866666666666661</v>
      </c>
      <c r="L49" s="380">
        <f t="shared" ref="L49" si="47">AVERAGE(L50:L58)</f>
        <v>0.12836888888888889</v>
      </c>
      <c r="M49" s="380">
        <f t="shared" ref="M49" si="48">AVERAGE(M50:M58)</f>
        <v>6.9441888888888886E-2</v>
      </c>
      <c r="N49" s="380">
        <f t="shared" ref="N49" si="49">AVERAGE(N50:N58)</f>
        <v>3.3334999999999997E-2</v>
      </c>
      <c r="O49" s="377"/>
      <c r="P49" s="247"/>
      <c r="Q49" s="643">
        <f>AVERAGE(Q50:Q58)</f>
        <v>260.37333333333328</v>
      </c>
      <c r="R49" s="635">
        <f t="shared" ref="R49:V49" si="50">AVERAGE(R50:R58)</f>
        <v>0.9513201320132012</v>
      </c>
      <c r="S49" s="635">
        <f t="shared" si="50"/>
        <v>1.1391935757417988</v>
      </c>
      <c r="T49" s="635">
        <f t="shared" si="50"/>
        <v>0.61469318304761356</v>
      </c>
      <c r="U49" s="635">
        <f t="shared" si="50"/>
        <v>0.84375316391616861</v>
      </c>
      <c r="V49" s="635">
        <f t="shared" si="50"/>
        <v>0.96174024812700709</v>
      </c>
    </row>
    <row r="50" spans="2:22" hidden="1" outlineLevel="1" x14ac:dyDescent="0.2">
      <c r="B50" s="258" t="s">
        <v>391</v>
      </c>
      <c r="C50" s="259"/>
      <c r="D50" s="259" t="s">
        <v>228</v>
      </c>
      <c r="E50" s="259"/>
      <c r="F50" s="259"/>
      <c r="G50" s="259"/>
      <c r="H50" s="247"/>
      <c r="I50" s="356">
        <f>460*$S$1</f>
        <v>386.4</v>
      </c>
      <c r="J50" s="356">
        <f>1180*$S$1</f>
        <v>991.19999999999993</v>
      </c>
      <c r="K50" s="376">
        <v>0.85799999999999998</v>
      </c>
      <c r="L50" s="376">
        <f>(21.8+17.8+2.5)/100*14.2/100</f>
        <v>5.9782000000000002E-2</v>
      </c>
      <c r="M50" s="376">
        <f>(49.4+4.8)/100*14.2/100</f>
        <v>7.6963999999999991E-2</v>
      </c>
      <c r="N50" s="376">
        <f>(0.1+2.5+0.8)/100*14.2/100</f>
        <v>4.8279999999999998E-3</v>
      </c>
      <c r="O50" s="377">
        <f t="shared" ref="O50" si="51">SUM(K50:N50)</f>
        <v>0.99957400000000007</v>
      </c>
      <c r="Q50" s="642">
        <f t="shared" si="4"/>
        <v>-311.20000000000005</v>
      </c>
      <c r="R50" s="636">
        <f t="shared" si="5"/>
        <v>1.0618811881188117</v>
      </c>
      <c r="S50" s="636">
        <f t="shared" ref="S50:S58" si="52">+L50/$L$24</f>
        <v>0.53052784778673112</v>
      </c>
      <c r="T50" s="636">
        <f t="shared" ref="T50:T58" si="53">+M50/$M$24</f>
        <v>0.68127821545543055</v>
      </c>
      <c r="U50" s="636">
        <f t="shared" si="8"/>
        <v>0.12220309810671254</v>
      </c>
      <c r="V50" s="636">
        <f t="shared" si="9"/>
        <v>1.0483979093186822</v>
      </c>
    </row>
    <row r="51" spans="2:22" hidden="1" outlineLevel="1" x14ac:dyDescent="0.2">
      <c r="B51" s="258" t="s">
        <v>759</v>
      </c>
      <c r="C51" s="259"/>
      <c r="D51" s="259"/>
      <c r="E51" s="259" t="s">
        <v>228</v>
      </c>
      <c r="F51" s="259"/>
      <c r="G51" s="259"/>
      <c r="H51" s="247"/>
      <c r="I51" s="356">
        <f>950*$S$1</f>
        <v>798</v>
      </c>
      <c r="J51" s="356">
        <f>1420*$S$1</f>
        <v>1192.8</v>
      </c>
      <c r="K51" s="376">
        <v>0.78300000000000003</v>
      </c>
      <c r="L51" s="376">
        <f>(14.6+22.6+17.9)/100*21.7/100</f>
        <v>0.11956700000000002</v>
      </c>
      <c r="M51" s="376">
        <f>(30.8+2)/100*21.7/100</f>
        <v>7.1175999999999989E-2</v>
      </c>
      <c r="N51" s="376">
        <f>(12.1)/100*21.7/100</f>
        <v>2.6256999999999996E-2</v>
      </c>
      <c r="O51" s="377">
        <f t="shared" ref="O51" si="54">SUM(K51:N51)</f>
        <v>1</v>
      </c>
      <c r="P51" s="247"/>
      <c r="Q51" s="642">
        <f t="shared" si="4"/>
        <v>-4.6000000000000227</v>
      </c>
      <c r="R51" s="636">
        <f t="shared" si="5"/>
        <v>0.96905940594059403</v>
      </c>
      <c r="S51" s="636">
        <f t="shared" si="52"/>
        <v>1.0610823186965321</v>
      </c>
      <c r="T51" s="636">
        <f t="shared" si="53"/>
        <v>0.63004337434717173</v>
      </c>
      <c r="U51" s="636">
        <f t="shared" si="8"/>
        <v>0.66459957476966669</v>
      </c>
      <c r="V51" s="636">
        <f t="shared" si="9"/>
        <v>0.97569298251668601</v>
      </c>
    </row>
    <row r="52" spans="2:22" hidden="1" outlineLevel="1" x14ac:dyDescent="0.2">
      <c r="B52" s="258" t="s">
        <v>760</v>
      </c>
      <c r="C52" s="259"/>
      <c r="D52" s="259"/>
      <c r="E52" s="259"/>
      <c r="F52" s="259" t="s">
        <v>228</v>
      </c>
      <c r="G52" s="259"/>
      <c r="H52" s="247"/>
      <c r="I52" s="356">
        <f>1220*$S$1</f>
        <v>1024.8</v>
      </c>
      <c r="J52" s="356">
        <f>2200*$S$1</f>
        <v>1848</v>
      </c>
      <c r="K52" s="376">
        <v>0.78800000000000003</v>
      </c>
      <c r="L52" s="376">
        <f>(26.4+32.5+1.4)/100*21.2/100</f>
        <v>0.12783600000000001</v>
      </c>
      <c r="M52" s="376">
        <f>(22.2+4.2)/100*21.2/100</f>
        <v>5.5967999999999997E-2</v>
      </c>
      <c r="N52" s="376">
        <f>(13.3)/100*21.2/100</f>
        <v>2.8195999999999999E-2</v>
      </c>
      <c r="O52" s="377">
        <f t="shared" ref="O52" si="55">SUM(K52:N52)</f>
        <v>1</v>
      </c>
      <c r="P52" s="247"/>
      <c r="Q52" s="642">
        <f t="shared" si="4"/>
        <v>436.40000000000009</v>
      </c>
      <c r="R52" s="636">
        <f t="shared" si="5"/>
        <v>0.97524752475247523</v>
      </c>
      <c r="S52" s="636">
        <f t="shared" si="52"/>
        <v>1.1344645202513224</v>
      </c>
      <c r="T52" s="636">
        <f t="shared" si="53"/>
        <v>0.49542356377799412</v>
      </c>
      <c r="U52" s="636">
        <f t="shared" si="8"/>
        <v>0.71367824238128963</v>
      </c>
      <c r="V52" s="636">
        <f t="shared" si="9"/>
        <v>0.98054610335378689</v>
      </c>
    </row>
    <row r="53" spans="2:22" hidden="1" outlineLevel="1" x14ac:dyDescent="0.2">
      <c r="B53" s="258" t="s">
        <v>758</v>
      </c>
      <c r="C53" s="259"/>
      <c r="D53" s="259"/>
      <c r="E53" s="259" t="s">
        <v>228</v>
      </c>
      <c r="F53" s="259" t="s">
        <v>228</v>
      </c>
      <c r="G53" s="259"/>
      <c r="H53" s="247"/>
      <c r="I53" s="356">
        <f>1950*$S$1</f>
        <v>1638</v>
      </c>
      <c r="J53" s="356">
        <f>2980*$S$1</f>
        <v>2503.1999999999998</v>
      </c>
      <c r="K53" s="376">
        <v>0.72199999999999998</v>
      </c>
      <c r="L53" s="376">
        <f>(14.9+17.4+24.7)/100*27.9/100</f>
        <v>0.15902999999999998</v>
      </c>
      <c r="M53" s="376">
        <f>(24.2+2.5)/100*27.92/100</f>
        <v>7.4546400000000013E-2</v>
      </c>
      <c r="N53" s="376">
        <f>(2.2+12.8+0.8)/100*27.9/100</f>
        <v>4.4081999999999996E-2</v>
      </c>
      <c r="O53" s="377">
        <f t="shared" ref="O53" si="56">SUM(K53:N53)</f>
        <v>0.99965839999999995</v>
      </c>
      <c r="P53" s="247"/>
      <c r="Q53" s="642">
        <f t="shared" si="4"/>
        <v>1070.5999999999999</v>
      </c>
      <c r="R53" s="636">
        <f t="shared" si="5"/>
        <v>0.89356435643564347</v>
      </c>
      <c r="S53" s="636">
        <f t="shared" si="52"/>
        <v>1.4112917539313476</v>
      </c>
      <c r="T53" s="636">
        <f t="shared" si="53"/>
        <v>0.6598778436753121</v>
      </c>
      <c r="U53" s="636">
        <f t="shared" si="8"/>
        <v>1.1157740204515538</v>
      </c>
      <c r="V53" s="636">
        <f t="shared" si="9"/>
        <v>0.91641122714503609</v>
      </c>
    </row>
    <row r="54" spans="2:22" hidden="1" outlineLevel="1" x14ac:dyDescent="0.2">
      <c r="B54" s="258" t="s">
        <v>392</v>
      </c>
      <c r="C54" s="259"/>
      <c r="D54" s="259"/>
      <c r="E54" s="259"/>
      <c r="F54" s="259" t="s">
        <v>228</v>
      </c>
      <c r="G54" s="259"/>
      <c r="H54" s="247"/>
      <c r="I54" s="356">
        <f>1950*$S$1</f>
        <v>1638</v>
      </c>
      <c r="J54" s="356">
        <f>2980*$S$1</f>
        <v>2503.1999999999998</v>
      </c>
      <c r="K54" s="376">
        <v>0.64600000000000002</v>
      </c>
      <c r="L54" s="376">
        <f>(14.9+17.4+24.7)/100*27.9/100</f>
        <v>0.15902999999999998</v>
      </c>
      <c r="M54" s="376">
        <f>(24.2+2.5)/100*27.92/100</f>
        <v>7.4546400000000013E-2</v>
      </c>
      <c r="N54" s="376">
        <v>0.12</v>
      </c>
      <c r="O54" s="377">
        <f t="shared" ref="O54" si="57">SUM(K54:N54)</f>
        <v>0.99957640000000003</v>
      </c>
      <c r="Q54" s="642">
        <f t="shared" si="4"/>
        <v>1070.5999999999999</v>
      </c>
      <c r="R54" s="636">
        <f t="shared" si="5"/>
        <v>0.79950495049504944</v>
      </c>
      <c r="S54" s="636">
        <f t="shared" si="52"/>
        <v>1.4112917539313476</v>
      </c>
      <c r="T54" s="636">
        <f t="shared" si="53"/>
        <v>0.6598778436753121</v>
      </c>
      <c r="U54" s="636">
        <f t="shared" si="8"/>
        <v>3.037359522122101</v>
      </c>
      <c r="V54" s="636">
        <f t="shared" si="9"/>
        <v>0.84262610349183131</v>
      </c>
    </row>
    <row r="55" spans="2:22" ht="25.5" hidden="1" outlineLevel="1" x14ac:dyDescent="0.2">
      <c r="B55" s="258" t="s">
        <v>828</v>
      </c>
      <c r="C55" s="259" t="s">
        <v>228</v>
      </c>
      <c r="D55" s="259"/>
      <c r="E55" s="259"/>
      <c r="F55" s="259"/>
      <c r="G55" s="259"/>
      <c r="I55" s="356">
        <f>820*$S$1*0.6</f>
        <v>413.28</v>
      </c>
      <c r="J55" s="356">
        <f>1110*$S$1*0.6</f>
        <v>559.43999999999994</v>
      </c>
      <c r="K55" s="376">
        <v>0.81</v>
      </c>
      <c r="L55" s="376">
        <f>(37.6+32+4.8)/100*19.1/100</f>
        <v>0.14210399999999998</v>
      </c>
      <c r="M55" s="376">
        <f>(21.7+3.3)/100*19.1/100</f>
        <v>4.7750000000000001E-2</v>
      </c>
      <c r="N55" s="376">
        <v>0</v>
      </c>
      <c r="O55" s="377">
        <f t="shared" ref="O55" si="58">SUM(K55:N55)</f>
        <v>0.99985400000000002</v>
      </c>
      <c r="Q55" s="642">
        <f t="shared" si="4"/>
        <v>-513.6400000000001</v>
      </c>
      <c r="R55" s="636">
        <f t="shared" si="5"/>
        <v>1.0024752475247525</v>
      </c>
      <c r="S55" s="636">
        <f t="shared" si="52"/>
        <v>1.2610840935714032</v>
      </c>
      <c r="T55" s="636">
        <f t="shared" si="53"/>
        <v>0.42267858723554924</v>
      </c>
      <c r="U55" s="636">
        <f t="shared" si="8"/>
        <v>0</v>
      </c>
      <c r="V55" s="636">
        <f t="shared" si="9"/>
        <v>1.0018683436751541</v>
      </c>
    </row>
    <row r="56" spans="2:22" hidden="1" outlineLevel="1" x14ac:dyDescent="0.2">
      <c r="B56" s="258" t="s">
        <v>782</v>
      </c>
      <c r="C56" s="259"/>
      <c r="D56" s="259" t="s">
        <v>228</v>
      </c>
      <c r="E56" s="259"/>
      <c r="F56" s="259"/>
      <c r="G56" s="259"/>
      <c r="H56" s="247"/>
      <c r="I56" s="356">
        <f>820*$S$1</f>
        <v>688.8</v>
      </c>
      <c r="J56" s="356">
        <f>1110*$S$1</f>
        <v>932.4</v>
      </c>
      <c r="K56" s="376">
        <v>0.81</v>
      </c>
      <c r="L56" s="376">
        <f>(37.6+32+4.8)/100*19.1/100</f>
        <v>0.14210399999999998</v>
      </c>
      <c r="M56" s="376">
        <f>(21.7+3.3)/100*19.1/100</f>
        <v>4.7750000000000001E-2</v>
      </c>
      <c r="N56" s="376">
        <v>0</v>
      </c>
      <c r="O56" s="377">
        <f t="shared" ref="O56" si="59">SUM(K56:N56)</f>
        <v>0.99985400000000002</v>
      </c>
      <c r="Q56" s="642">
        <f t="shared" si="4"/>
        <v>-189.40000000000009</v>
      </c>
      <c r="R56" s="636">
        <f t="shared" si="5"/>
        <v>1.0024752475247525</v>
      </c>
      <c r="S56" s="636">
        <f t="shared" si="52"/>
        <v>1.2610840935714032</v>
      </c>
      <c r="T56" s="636">
        <f t="shared" si="53"/>
        <v>0.42267858723554924</v>
      </c>
      <c r="U56" s="636">
        <f t="shared" si="8"/>
        <v>0</v>
      </c>
      <c r="V56" s="636">
        <f t="shared" si="9"/>
        <v>1.0018683436751541</v>
      </c>
    </row>
    <row r="57" spans="2:22" hidden="1" outlineLevel="1" x14ac:dyDescent="0.2">
      <c r="B57" s="258" t="s">
        <v>780</v>
      </c>
      <c r="C57" s="259"/>
      <c r="D57" s="259"/>
      <c r="E57" s="259" t="s">
        <v>228</v>
      </c>
      <c r="F57" s="259"/>
      <c r="G57" s="259"/>
      <c r="H57" s="247"/>
      <c r="I57" s="356">
        <f>1130*$S$1</f>
        <v>949.19999999999993</v>
      </c>
      <c r="J57" s="356">
        <f>1580*$S$1</f>
        <v>1327.2</v>
      </c>
      <c r="K57" s="376">
        <v>0.79700000000000004</v>
      </c>
      <c r="L57" s="376">
        <f>(33+24.5+5)/100*20.3/100</f>
        <v>0.12687499999999999</v>
      </c>
      <c r="M57" s="376">
        <f>(15.8+4.5)/100*20.3/100</f>
        <v>4.120900000000001E-2</v>
      </c>
      <c r="N57" s="376">
        <f>(17.2)/100*20.3/100</f>
        <v>3.4916000000000003E-2</v>
      </c>
      <c r="O57" s="377">
        <f t="shared" ref="O57" si="60">SUM(K57:N57)</f>
        <v>1</v>
      </c>
      <c r="Q57" s="642">
        <f t="shared" si="4"/>
        <v>138.20000000000005</v>
      </c>
      <c r="R57" s="636">
        <f t="shared" si="5"/>
        <v>0.98638613861386137</v>
      </c>
      <c r="S57" s="636">
        <f t="shared" si="52"/>
        <v>1.1259362464946221</v>
      </c>
      <c r="T57" s="636">
        <f t="shared" si="53"/>
        <v>0.36477825971496863</v>
      </c>
      <c r="U57" s="636">
        <f t="shared" si="8"/>
        <v>0.8837703756201275</v>
      </c>
      <c r="V57" s="636">
        <f t="shared" si="9"/>
        <v>0.98928172086056831</v>
      </c>
    </row>
    <row r="58" spans="2:22" hidden="1" outlineLevel="1" x14ac:dyDescent="0.2">
      <c r="B58" s="258" t="s">
        <v>781</v>
      </c>
      <c r="C58" s="259"/>
      <c r="D58" s="259"/>
      <c r="E58" s="259"/>
      <c r="F58" s="259" t="s">
        <v>228</v>
      </c>
      <c r="G58" s="259"/>
      <c r="H58" s="247"/>
      <c r="I58" s="356">
        <f>1620*$S$1</f>
        <v>1360.8</v>
      </c>
      <c r="J58" s="356">
        <f>2300*$S$1</f>
        <v>1932</v>
      </c>
      <c r="K58" s="376">
        <v>0.70399999999999996</v>
      </c>
      <c r="L58" s="376">
        <f>(14.8+8.4+17)/100*29.6/100</f>
        <v>0.118992</v>
      </c>
      <c r="M58" s="376">
        <f>(33.1+12.5)/100*29.62/100</f>
        <v>0.13506720000000003</v>
      </c>
      <c r="N58" s="376">
        <f>(7.1+2.5+4.2+0.3)/100*29.6/100</f>
        <v>4.1736000000000002E-2</v>
      </c>
      <c r="O58" s="377">
        <f t="shared" ref="O58" si="61">SUM(K58:N58)</f>
        <v>0.9997952</v>
      </c>
      <c r="Q58" s="642">
        <f t="shared" si="4"/>
        <v>646.40000000000009</v>
      </c>
      <c r="R58" s="636">
        <f t="shared" si="5"/>
        <v>0.87128712871287117</v>
      </c>
      <c r="S58" s="636">
        <f t="shared" si="52"/>
        <v>1.0559795534414824</v>
      </c>
      <c r="T58" s="636">
        <f t="shared" si="53"/>
        <v>1.1956023723112332</v>
      </c>
      <c r="U58" s="636">
        <f t="shared" si="8"/>
        <v>1.0563936417940669</v>
      </c>
      <c r="V58" s="636">
        <f t="shared" si="9"/>
        <v>0.89896949910616286</v>
      </c>
    </row>
    <row r="59" spans="2:22" ht="15.75" collapsed="1" x14ac:dyDescent="0.2">
      <c r="B59" s="260" t="s">
        <v>795</v>
      </c>
      <c r="C59" s="259"/>
      <c r="D59" s="259"/>
      <c r="E59" s="259"/>
      <c r="F59" s="259"/>
      <c r="G59" s="259"/>
      <c r="H59" s="247"/>
      <c r="I59" s="379">
        <f>AVERAGE(I60:I65)</f>
        <v>1065.4000000000001</v>
      </c>
      <c r="J59" s="379">
        <f>AVERAGE(J60:J65)</f>
        <v>1597.3999999999999</v>
      </c>
      <c r="K59" s="380">
        <f>AVERAGE(K60:K65)</f>
        <v>0.81166666666666654</v>
      </c>
      <c r="L59" s="380">
        <f t="shared" ref="L59:N59" si="62">AVERAGE(L60:L65)</f>
        <v>0.10618283333333334</v>
      </c>
      <c r="M59" s="380">
        <f t="shared" si="62"/>
        <v>6.1093166666666671E-2</v>
      </c>
      <c r="N59" s="380">
        <f t="shared" si="62"/>
        <v>2.1093833333333329E-2</v>
      </c>
      <c r="O59" s="377"/>
      <c r="P59" s="247"/>
      <c r="Q59" s="643">
        <f>AVERAGE(Q60:Q65)</f>
        <v>331.4</v>
      </c>
      <c r="R59" s="635">
        <f t="shared" ref="R59:V59" si="63">AVERAGE(R60:R65)</f>
        <v>1.0045379537953794</v>
      </c>
      <c r="S59" s="635">
        <f t="shared" si="63"/>
        <v>0.94230621324529962</v>
      </c>
      <c r="T59" s="635">
        <f t="shared" si="63"/>
        <v>0.54079106547460976</v>
      </c>
      <c r="U59" s="635">
        <f t="shared" si="63"/>
        <v>0.5339129627754714</v>
      </c>
      <c r="V59" s="635">
        <f t="shared" si="63"/>
        <v>1.0035254148231998</v>
      </c>
    </row>
    <row r="60" spans="2:22" hidden="1" outlineLevel="1" x14ac:dyDescent="0.2">
      <c r="B60" s="258" t="s">
        <v>393</v>
      </c>
      <c r="C60" s="259"/>
      <c r="D60" s="259" t="s">
        <v>228</v>
      </c>
      <c r="E60" s="259"/>
      <c r="F60" s="259"/>
      <c r="G60" s="259"/>
      <c r="H60" s="247"/>
      <c r="I60" s="356">
        <f>410*$S$1</f>
        <v>344.4</v>
      </c>
      <c r="J60" s="356">
        <f>710*$S$1</f>
        <v>596.4</v>
      </c>
      <c r="K60" s="376">
        <v>0.95499999999999996</v>
      </c>
      <c r="L60" s="376">
        <f>(38.7+4.1+0.2)/100*5.1/100</f>
        <v>2.1930000000000002E-2</v>
      </c>
      <c r="M60" s="376">
        <f>(44.8+0.3)/100*5.1/100</f>
        <v>2.3000999999999997E-2</v>
      </c>
      <c r="N60" s="376">
        <v>0</v>
      </c>
      <c r="O60" s="377">
        <f t="shared" ref="O60" si="64">SUM(K60:N60)</f>
        <v>0.99993100000000001</v>
      </c>
      <c r="Q60" s="642">
        <f t="shared" si="4"/>
        <v>-529.6</v>
      </c>
      <c r="R60" s="636">
        <f t="shared" si="5"/>
        <v>1.1819306930693068</v>
      </c>
      <c r="S60" s="636">
        <f t="shared" ref="S60:S65" si="65">+L60/$L$24</f>
        <v>0.19461502964041039</v>
      </c>
      <c r="T60" s="636">
        <f t="shared" ref="T60:T65" si="66">+M60/$M$24</f>
        <v>0.20360272638753649</v>
      </c>
      <c r="U60" s="636">
        <f t="shared" si="8"/>
        <v>0</v>
      </c>
      <c r="V60" s="636">
        <f t="shared" si="9"/>
        <v>1.1426254564090528</v>
      </c>
    </row>
    <row r="61" spans="2:22" hidden="1" outlineLevel="1" x14ac:dyDescent="0.2">
      <c r="B61" s="258" t="s">
        <v>394</v>
      </c>
      <c r="C61" s="259"/>
      <c r="D61" s="259" t="s">
        <v>228</v>
      </c>
      <c r="E61" s="259"/>
      <c r="F61" s="259"/>
      <c r="G61" s="259"/>
      <c r="I61" s="356">
        <f>410*$S$1</f>
        <v>344.4</v>
      </c>
      <c r="J61" s="356">
        <f>710*$S$1</f>
        <v>596.4</v>
      </c>
      <c r="K61" s="376">
        <v>0.95499999999999996</v>
      </c>
      <c r="L61" s="376">
        <f>(38.7+4.1+0.2)/100*5.1/100</f>
        <v>2.1930000000000002E-2</v>
      </c>
      <c r="M61" s="376">
        <f>(44.8+0.3)/100*5.1/100</f>
        <v>2.3000999999999997E-2</v>
      </c>
      <c r="N61" s="376">
        <v>0</v>
      </c>
      <c r="O61" s="377">
        <f t="shared" ref="O61" si="67">SUM(K61:N61)</f>
        <v>0.99993100000000001</v>
      </c>
      <c r="Q61" s="642">
        <f t="shared" si="4"/>
        <v>-529.6</v>
      </c>
      <c r="R61" s="636">
        <f t="shared" si="5"/>
        <v>1.1819306930693068</v>
      </c>
      <c r="S61" s="636">
        <f t="shared" si="65"/>
        <v>0.19461502964041039</v>
      </c>
      <c r="T61" s="636">
        <f t="shared" si="66"/>
        <v>0.20360272638753649</v>
      </c>
      <c r="U61" s="636">
        <f t="shared" si="8"/>
        <v>0</v>
      </c>
      <c r="V61" s="636">
        <f t="shared" si="9"/>
        <v>1.1426254564090528</v>
      </c>
    </row>
    <row r="62" spans="2:22" hidden="1" outlineLevel="1" x14ac:dyDescent="0.2">
      <c r="B62" s="258" t="s">
        <v>395</v>
      </c>
      <c r="C62" s="259"/>
      <c r="D62" s="259"/>
      <c r="E62" s="259" t="s">
        <v>228</v>
      </c>
      <c r="F62" s="259" t="s">
        <v>228</v>
      </c>
      <c r="G62" s="259"/>
      <c r="I62" s="356">
        <f>1650*$S$1</f>
        <v>1386</v>
      </c>
      <c r="J62" s="356">
        <f>2370*$S$1</f>
        <v>1990.8</v>
      </c>
      <c r="K62" s="376">
        <v>0.78</v>
      </c>
      <c r="L62" s="376">
        <f>(22.3+25.8+6.1)/100*22/100</f>
        <v>0.11924000000000001</v>
      </c>
      <c r="M62" s="376">
        <f>(40.2+5.5)/100*22/100</f>
        <v>0.10054</v>
      </c>
      <c r="N62" s="376">
        <f>(0.1)/100*22/100</f>
        <v>2.1999999999999998E-4</v>
      </c>
      <c r="O62" s="377">
        <f t="shared" ref="O62" si="68">SUM(K62:N62)</f>
        <v>1</v>
      </c>
      <c r="Q62" s="642">
        <f t="shared" si="4"/>
        <v>688.40000000000009</v>
      </c>
      <c r="R62" s="636">
        <f t="shared" si="5"/>
        <v>0.96534653465346532</v>
      </c>
      <c r="S62" s="636">
        <f t="shared" si="65"/>
        <v>1.0581803982819213</v>
      </c>
      <c r="T62" s="636">
        <f t="shared" si="66"/>
        <v>0.88997078870496593</v>
      </c>
      <c r="U62" s="636">
        <f t="shared" si="8"/>
        <v>5.5684924572238521E-3</v>
      </c>
      <c r="V62" s="636">
        <f t="shared" si="9"/>
        <v>0.97278111001442569</v>
      </c>
    </row>
    <row r="63" spans="2:22" hidden="1" outlineLevel="1" x14ac:dyDescent="0.2">
      <c r="B63" s="258" t="s">
        <v>752</v>
      </c>
      <c r="C63" s="259"/>
      <c r="D63" s="259"/>
      <c r="E63" s="259"/>
      <c r="F63" s="259" t="s">
        <v>228</v>
      </c>
      <c r="G63" s="259" t="s">
        <v>228</v>
      </c>
      <c r="I63" s="356">
        <f>1500*$S$1</f>
        <v>1260</v>
      </c>
      <c r="J63" s="356">
        <f>2050*$S$1</f>
        <v>1722</v>
      </c>
      <c r="K63" s="376">
        <v>0.76600000000000001</v>
      </c>
      <c r="L63" s="376">
        <f>(26.6+18.5+13.4)/100*23.4/100</f>
        <v>0.13688999999999998</v>
      </c>
      <c r="M63" s="376">
        <f>(36.7+3.2)/100*23.4/100</f>
        <v>9.3366000000000005E-2</v>
      </c>
      <c r="N63" s="376">
        <f>(0.1+1.6)/100*23.4/100</f>
        <v>3.9779999999999998E-3</v>
      </c>
      <c r="O63" s="377">
        <f t="shared" ref="O63" si="69">SUM(K63:N63)</f>
        <v>1.0002340000000001</v>
      </c>
      <c r="Q63" s="642">
        <f t="shared" si="4"/>
        <v>491</v>
      </c>
      <c r="R63" s="636">
        <f t="shared" si="5"/>
        <v>0.94801980198019797</v>
      </c>
      <c r="S63" s="636">
        <f t="shared" si="65"/>
        <v>1.2148131056760498</v>
      </c>
      <c r="T63" s="636">
        <f t="shared" si="66"/>
        <v>0.82646720368239357</v>
      </c>
      <c r="U63" s="636">
        <f t="shared" si="8"/>
        <v>0.10068846815834764</v>
      </c>
      <c r="V63" s="636">
        <f t="shared" si="9"/>
        <v>0.95924284412724925</v>
      </c>
    </row>
    <row r="64" spans="2:22" hidden="1" outlineLevel="1" x14ac:dyDescent="0.2">
      <c r="B64" s="258" t="s">
        <v>753</v>
      </c>
      <c r="C64" s="259"/>
      <c r="D64" s="259"/>
      <c r="E64" s="259"/>
      <c r="F64" s="259" t="s">
        <v>228</v>
      </c>
      <c r="G64" s="259" t="s">
        <v>228</v>
      </c>
      <c r="I64" s="356">
        <f>1320*$S$1</f>
        <v>1108.8</v>
      </c>
      <c r="J64" s="356">
        <f>2180*$S$1</f>
        <v>1831.2</v>
      </c>
      <c r="K64" s="376">
        <v>0.78200000000000003</v>
      </c>
      <c r="L64" s="376">
        <f>(23.4+29.5+17.4)/100*21.9/100</f>
        <v>0.15395699999999998</v>
      </c>
      <c r="M64" s="376">
        <f>(22.2+3.7)/100*21.9/100</f>
        <v>5.6720999999999994E-2</v>
      </c>
      <c r="N64" s="376">
        <f>(1.8+0.4+0.8+0.5)/100*21.9/100</f>
        <v>7.6650000000000008E-3</v>
      </c>
      <c r="O64" s="377">
        <f t="shared" ref="O64" si="70">SUM(K64:N64)</f>
        <v>1.000343</v>
      </c>
      <c r="Q64" s="642">
        <f t="shared" si="4"/>
        <v>470</v>
      </c>
      <c r="R64" s="636">
        <f t="shared" si="5"/>
        <v>0.96782178217821779</v>
      </c>
      <c r="S64" s="636">
        <f t="shared" si="65"/>
        <v>1.3662720528202761</v>
      </c>
      <c r="T64" s="636">
        <f t="shared" si="66"/>
        <v>0.50208905019031591</v>
      </c>
      <c r="U64" s="636">
        <f t="shared" si="8"/>
        <v>0.19401133947554924</v>
      </c>
      <c r="V64" s="636">
        <f t="shared" si="9"/>
        <v>0.97479634148024918</v>
      </c>
    </row>
    <row r="65" spans="2:22" hidden="1" outlineLevel="1" x14ac:dyDescent="0.2">
      <c r="B65" s="258" t="s">
        <v>754</v>
      </c>
      <c r="C65" s="259"/>
      <c r="D65" s="259"/>
      <c r="E65" s="259"/>
      <c r="F65" s="259" t="s">
        <v>228</v>
      </c>
      <c r="G65" s="259" t="s">
        <v>228</v>
      </c>
      <c r="I65" s="356">
        <f>2320*$S$1</f>
        <v>1948.8</v>
      </c>
      <c r="J65" s="356">
        <f>3390*$S$1</f>
        <v>2847.6</v>
      </c>
      <c r="K65" s="376">
        <v>0.63200000000000001</v>
      </c>
      <c r="L65" s="376">
        <f>(14.8+17.1+17.6)/100*37/100</f>
        <v>0.18315000000000001</v>
      </c>
      <c r="M65" s="376">
        <f>(17.2+1.7)/100*37/100</f>
        <v>6.9929999999999992E-2</v>
      </c>
      <c r="N65" s="376">
        <f>(0.4+27.7+2.9)/100*37/100</f>
        <v>0.11469999999999997</v>
      </c>
      <c r="O65" s="377">
        <f t="shared" ref="O65" si="71">SUM(K65:N65)</f>
        <v>0.99978000000000011</v>
      </c>
      <c r="Q65" s="642">
        <f t="shared" si="4"/>
        <v>1398.1999999999998</v>
      </c>
      <c r="R65" s="636">
        <f t="shared" si="5"/>
        <v>0.7821782178217821</v>
      </c>
      <c r="S65" s="636">
        <f t="shared" si="65"/>
        <v>1.6253416634127296</v>
      </c>
      <c r="T65" s="636">
        <f t="shared" si="66"/>
        <v>0.61901389749491009</v>
      </c>
      <c r="U65" s="636">
        <f t="shared" si="8"/>
        <v>2.9032094765617078</v>
      </c>
      <c r="V65" s="636">
        <f t="shared" si="9"/>
        <v>0.82908128049916818</v>
      </c>
    </row>
    <row r="66" spans="2:22" ht="15.75" collapsed="1" x14ac:dyDescent="0.2">
      <c r="B66" s="260" t="s">
        <v>794</v>
      </c>
      <c r="C66" s="261"/>
      <c r="D66" s="261"/>
      <c r="E66" s="261"/>
      <c r="F66" s="261"/>
      <c r="G66" s="261"/>
      <c r="I66" s="379">
        <f>AVERAGE(I67:I75)</f>
        <v>712.13333333333344</v>
      </c>
      <c r="J66" s="379">
        <f>AVERAGE(J67:J75)</f>
        <v>1226.4000000000001</v>
      </c>
      <c r="K66" s="380">
        <f>AVERAGE(K67:K75)</f>
        <v>0.7949222222222222</v>
      </c>
      <c r="L66" s="380">
        <f t="shared" ref="L66:N66" si="72">AVERAGE(L67:L75)</f>
        <v>9.3176444444444451E-2</v>
      </c>
      <c r="M66" s="380">
        <f t="shared" si="72"/>
        <v>6.8431888888888889E-2</v>
      </c>
      <c r="N66" s="380">
        <f t="shared" si="72"/>
        <v>4.3552444444444449E-2</v>
      </c>
      <c r="O66" s="377"/>
      <c r="Q66" s="643">
        <f>AVERAGE(Q67:Q75)</f>
        <v>-30.733333333333324</v>
      </c>
      <c r="R66" s="635">
        <f t="shared" ref="R66:V66" si="73">AVERAGE(R67:R75)</f>
        <v>0.98381463146314607</v>
      </c>
      <c r="S66" s="635">
        <f t="shared" si="73"/>
        <v>0.82688264921767485</v>
      </c>
      <c r="T66" s="635">
        <f t="shared" si="73"/>
        <v>0.60575275638566783</v>
      </c>
      <c r="U66" s="635">
        <f t="shared" si="73"/>
        <v>1.1023702653752261</v>
      </c>
      <c r="V66" s="635">
        <f t="shared" si="73"/>
        <v>0.98728288215846105</v>
      </c>
    </row>
    <row r="67" spans="2:22" hidden="1" outlineLevel="1" x14ac:dyDescent="0.2">
      <c r="B67" s="258" t="s">
        <v>854</v>
      </c>
      <c r="C67" s="259" t="s">
        <v>228</v>
      </c>
      <c r="D67" s="259"/>
      <c r="E67" s="259"/>
      <c r="F67" s="259"/>
      <c r="G67" s="259"/>
      <c r="I67" s="356">
        <f>410*$S$1</f>
        <v>344.4</v>
      </c>
      <c r="J67" s="356">
        <f>710*$S$1</f>
        <v>596.4</v>
      </c>
      <c r="K67" s="376">
        <v>0.95499999999999996</v>
      </c>
      <c r="L67" s="376">
        <f>(38.7+4.1+0.2)/100*5.1/100</f>
        <v>2.1930000000000002E-2</v>
      </c>
      <c r="M67" s="376">
        <f>(44.8+0.3)/100*5.1/100</f>
        <v>2.3000999999999997E-2</v>
      </c>
      <c r="N67" s="376">
        <v>0</v>
      </c>
      <c r="O67" s="377">
        <f t="shared" ref="O67" si="74">SUM(K67:N67)</f>
        <v>0.99993100000000001</v>
      </c>
      <c r="Q67" s="642">
        <f t="shared" si="4"/>
        <v>-529.6</v>
      </c>
      <c r="R67" s="636">
        <f t="shared" si="5"/>
        <v>1.1819306930693068</v>
      </c>
      <c r="S67" s="636">
        <f t="shared" ref="S67:S75" si="75">+L67/$L$24</f>
        <v>0.19461502964041039</v>
      </c>
      <c r="T67" s="636">
        <f t="shared" ref="T67:T75" si="76">+M67/$M$24</f>
        <v>0.20360272638753649</v>
      </c>
      <c r="U67" s="636">
        <f t="shared" si="8"/>
        <v>0</v>
      </c>
      <c r="V67" s="636">
        <f t="shared" si="9"/>
        <v>1.1426254564090528</v>
      </c>
    </row>
    <row r="68" spans="2:22" hidden="1" outlineLevel="1" x14ac:dyDescent="0.2">
      <c r="B68" s="258" t="s">
        <v>396</v>
      </c>
      <c r="C68" s="259"/>
      <c r="D68" s="259" t="s">
        <v>228</v>
      </c>
      <c r="E68" s="259" t="s">
        <v>228</v>
      </c>
      <c r="F68" s="259" t="s">
        <v>228</v>
      </c>
      <c r="G68" s="259"/>
      <c r="I68" s="356">
        <f>800*$S$1</f>
        <v>672</v>
      </c>
      <c r="J68" s="356">
        <f>1230*$S$1</f>
        <v>1033.2</v>
      </c>
      <c r="K68" s="376">
        <v>0.78500000000000003</v>
      </c>
      <c r="L68" s="376">
        <f>(16.8+14.7+18.2)/100*21.6/100</f>
        <v>0.10735200000000003</v>
      </c>
      <c r="M68" s="376">
        <f>(21.9+3.3)/100*21.6/100</f>
        <v>5.4432000000000001E-2</v>
      </c>
      <c r="N68" s="376">
        <f>(17.9+4.1+2.7+0.1)/100*21.6/100</f>
        <v>5.3568000000000005E-2</v>
      </c>
      <c r="O68" s="377">
        <f t="shared" ref="O68" si="77">SUM(K68:N68)</f>
        <v>1.0003520000000001</v>
      </c>
      <c r="Q68" s="642">
        <f t="shared" si="4"/>
        <v>-147.39999999999998</v>
      </c>
      <c r="R68" s="636">
        <f t="shared" si="5"/>
        <v>0.97153465346534651</v>
      </c>
      <c r="S68" s="636">
        <f t="shared" si="75"/>
        <v>0.95268183593056721</v>
      </c>
      <c r="T68" s="636">
        <f t="shared" si="76"/>
        <v>0.48182703372576791</v>
      </c>
      <c r="U68" s="636">
        <f t="shared" si="8"/>
        <v>1.355877290675306</v>
      </c>
      <c r="V68" s="636">
        <f t="shared" si="9"/>
        <v>0.97771015523084459</v>
      </c>
    </row>
    <row r="69" spans="2:22" hidden="1" outlineLevel="1" x14ac:dyDescent="0.2">
      <c r="B69" s="258" t="s">
        <v>397</v>
      </c>
      <c r="C69" s="259"/>
      <c r="D69" s="259" t="s">
        <v>228</v>
      </c>
      <c r="E69" s="259"/>
      <c r="F69" s="259"/>
      <c r="G69" s="259"/>
      <c r="I69" s="356">
        <f>800*$S$1</f>
        <v>672</v>
      </c>
      <c r="J69" s="356">
        <f>1230*$S$1</f>
        <v>1033.2</v>
      </c>
      <c r="K69" s="376">
        <v>0.78500000000000003</v>
      </c>
      <c r="L69" s="376">
        <f>(16.8+14.7+18.2)/100*21.6/100</f>
        <v>0.10735200000000003</v>
      </c>
      <c r="M69" s="376">
        <f>(21.9+3.3)/100*21.6/100</f>
        <v>5.4432000000000001E-2</v>
      </c>
      <c r="N69" s="376">
        <f>(17.9+4.1+2.7+0.1)/100*21.6/100</f>
        <v>5.3568000000000005E-2</v>
      </c>
      <c r="O69" s="377">
        <f t="shared" ref="O69" si="78">SUM(K69:N69)</f>
        <v>1.0003520000000001</v>
      </c>
      <c r="Q69" s="642">
        <f t="shared" si="4"/>
        <v>-147.39999999999998</v>
      </c>
      <c r="R69" s="636">
        <f t="shared" si="5"/>
        <v>0.97153465346534651</v>
      </c>
      <c r="S69" s="636">
        <f t="shared" si="75"/>
        <v>0.95268183593056721</v>
      </c>
      <c r="T69" s="636">
        <f t="shared" si="76"/>
        <v>0.48182703372576791</v>
      </c>
      <c r="U69" s="636">
        <f t="shared" si="8"/>
        <v>1.355877290675306</v>
      </c>
      <c r="V69" s="636">
        <f t="shared" si="9"/>
        <v>0.97771015523084459</v>
      </c>
    </row>
    <row r="70" spans="2:22" hidden="1" outlineLevel="1" x14ac:dyDescent="0.2">
      <c r="B70" s="258" t="s">
        <v>856</v>
      </c>
      <c r="C70" s="259"/>
      <c r="D70" s="259"/>
      <c r="E70" s="259" t="s">
        <v>228</v>
      </c>
      <c r="F70" s="259" t="s">
        <v>228</v>
      </c>
      <c r="G70" s="259"/>
      <c r="H70" s="247"/>
      <c r="I70" s="356">
        <f>1060*$S$1</f>
        <v>890.4</v>
      </c>
      <c r="J70" s="356">
        <f>2050*$S$1</f>
        <v>1722</v>
      </c>
      <c r="K70" s="376">
        <v>0.78300000000000003</v>
      </c>
      <c r="L70" s="376">
        <f>(11.9+18.7+16.4)/100*21.7/100</f>
        <v>0.10199</v>
      </c>
      <c r="M70" s="376">
        <f>(28.1+4.1)/100*21.7/100</f>
        <v>6.9874000000000006E-2</v>
      </c>
      <c r="N70" s="376">
        <f>(16.3+3.3+1.2)/100*21.7/100</f>
        <v>4.5136000000000003E-2</v>
      </c>
      <c r="O70" s="377">
        <f t="shared" ref="O70" si="79">SUM(K70:N70)</f>
        <v>1</v>
      </c>
      <c r="Q70" s="642">
        <f t="shared" si="4"/>
        <v>306.20000000000005</v>
      </c>
      <c r="R70" s="636">
        <f t="shared" si="5"/>
        <v>0.96905940594059403</v>
      </c>
      <c r="S70" s="636">
        <f t="shared" si="75"/>
        <v>0.90509744063043562</v>
      </c>
      <c r="T70" s="636">
        <f t="shared" si="76"/>
        <v>0.6185181906700894</v>
      </c>
      <c r="U70" s="636">
        <f t="shared" si="8"/>
        <v>1.1424521615875265</v>
      </c>
      <c r="V70" s="636">
        <f t="shared" si="9"/>
        <v>0.97569298251668601</v>
      </c>
    </row>
    <row r="71" spans="2:22" hidden="1" outlineLevel="1" x14ac:dyDescent="0.2">
      <c r="B71" s="258" t="s">
        <v>398</v>
      </c>
      <c r="C71" s="259"/>
      <c r="D71" s="259" t="s">
        <v>228</v>
      </c>
      <c r="E71" s="259"/>
      <c r="F71" s="259"/>
      <c r="G71" s="259"/>
      <c r="I71" s="356">
        <f>800*$S$1</f>
        <v>672</v>
      </c>
      <c r="J71" s="356">
        <f>1230*$S$1</f>
        <v>1033.2</v>
      </c>
      <c r="K71" s="376">
        <v>0.78500000000000003</v>
      </c>
      <c r="L71" s="376">
        <f>(16.8+14.7+18.2)/100*21.6/100</f>
        <v>0.10735200000000003</v>
      </c>
      <c r="M71" s="376">
        <f>(21.9+3.3)/100*21.6/100</f>
        <v>5.4432000000000001E-2</v>
      </c>
      <c r="N71" s="376">
        <f>(17.9+4.1+2.7+0.1)/100*21.6/100</f>
        <v>5.3568000000000005E-2</v>
      </c>
      <c r="O71" s="377">
        <f t="shared" ref="O71" si="80">SUM(K71:N71)</f>
        <v>1.0003520000000001</v>
      </c>
      <c r="Q71" s="642">
        <f t="shared" si="4"/>
        <v>-147.39999999999998</v>
      </c>
      <c r="R71" s="636">
        <f t="shared" si="5"/>
        <v>0.97153465346534651</v>
      </c>
      <c r="S71" s="636">
        <f t="shared" si="75"/>
        <v>0.95268183593056721</v>
      </c>
      <c r="T71" s="636">
        <f t="shared" si="76"/>
        <v>0.48182703372576791</v>
      </c>
      <c r="U71" s="636">
        <f t="shared" si="8"/>
        <v>1.355877290675306</v>
      </c>
      <c r="V71" s="636">
        <f t="shared" si="9"/>
        <v>0.97771015523084459</v>
      </c>
    </row>
    <row r="72" spans="2:22" hidden="1" outlineLevel="1" x14ac:dyDescent="0.2">
      <c r="B72" s="258" t="s">
        <v>399</v>
      </c>
      <c r="C72" s="259"/>
      <c r="D72" s="259"/>
      <c r="E72" s="259" t="s">
        <v>228</v>
      </c>
      <c r="F72" s="259"/>
      <c r="G72" s="259"/>
      <c r="I72" s="356">
        <f>460*$S$1</f>
        <v>386.4</v>
      </c>
      <c r="J72" s="356">
        <f>1180*$S$1</f>
        <v>991.19999999999993</v>
      </c>
      <c r="K72" s="376">
        <v>0.85799999999999998</v>
      </c>
      <c r="L72" s="376">
        <f>(21.8+17.8+2.5)/100*14.2/100</f>
        <v>5.9782000000000002E-2</v>
      </c>
      <c r="M72" s="376">
        <f>(49.4+4.8)/100*14.2/100</f>
        <v>7.6963999999999991E-2</v>
      </c>
      <c r="N72" s="376">
        <f>(0.1+2.5+0.8)/100*14.2/100</f>
        <v>4.8279999999999998E-3</v>
      </c>
      <c r="O72" s="377">
        <f t="shared" ref="O72" si="81">SUM(K72:N72)</f>
        <v>0.99957400000000007</v>
      </c>
      <c r="Q72" s="642">
        <f t="shared" si="4"/>
        <v>-311.20000000000005</v>
      </c>
      <c r="R72" s="636">
        <f t="shared" si="5"/>
        <v>1.0618811881188117</v>
      </c>
      <c r="S72" s="636">
        <f t="shared" si="75"/>
        <v>0.53052784778673112</v>
      </c>
      <c r="T72" s="636">
        <f t="shared" si="76"/>
        <v>0.68127821545543055</v>
      </c>
      <c r="U72" s="636">
        <f t="shared" si="8"/>
        <v>0.12220309810671254</v>
      </c>
      <c r="V72" s="636">
        <f t="shared" si="9"/>
        <v>1.0483979093186822</v>
      </c>
    </row>
    <row r="73" spans="2:22" hidden="1" outlineLevel="1" x14ac:dyDescent="0.2">
      <c r="B73" s="258" t="s">
        <v>757</v>
      </c>
      <c r="C73" s="259"/>
      <c r="D73" s="259" t="s">
        <v>228</v>
      </c>
      <c r="E73" s="259" t="s">
        <v>228</v>
      </c>
      <c r="F73" s="259" t="s">
        <v>228</v>
      </c>
      <c r="G73" s="259"/>
      <c r="I73" s="356">
        <f>1060*$S$1</f>
        <v>890.4</v>
      </c>
      <c r="J73" s="356">
        <f>2050*$S$1</f>
        <v>1722</v>
      </c>
      <c r="K73" s="376">
        <v>0.78300000000000003</v>
      </c>
      <c r="L73" s="376">
        <f>(11.9+18.7+16.4)/100*21.7/100</f>
        <v>0.10199</v>
      </c>
      <c r="M73" s="376">
        <f>(28.1+4.1)/100*21.7/100</f>
        <v>6.9874000000000006E-2</v>
      </c>
      <c r="N73" s="376">
        <f>(16.3+3.3+1.2)/100*21.7/100</f>
        <v>4.5136000000000003E-2</v>
      </c>
      <c r="O73" s="377">
        <f t="shared" ref="O73" si="82">SUM(K73:N73)</f>
        <v>1</v>
      </c>
      <c r="Q73" s="642">
        <f t="shared" ref="Q73:Q75" si="83">AVERAGE(I73,J73)-$Q$5</f>
        <v>306.20000000000005</v>
      </c>
      <c r="R73" s="636">
        <f t="shared" ref="R73:R75" si="84">+K73/$K$13</f>
        <v>0.96905940594059403</v>
      </c>
      <c r="S73" s="636">
        <f t="shared" si="75"/>
        <v>0.90509744063043562</v>
      </c>
      <c r="T73" s="636">
        <f t="shared" si="76"/>
        <v>0.6185181906700894</v>
      </c>
      <c r="U73" s="636">
        <f t="shared" ref="U73:U75" si="85">+N73/$N$25</f>
        <v>1.1424521615875265</v>
      </c>
      <c r="V73" s="636">
        <f t="shared" ref="V73:V75" si="86">(K73*0.55+(M73+L73+N73)*0.1)/($K$13*0.55+($M$13+$L$13+$N$13)*0.1)</f>
        <v>0.97569298251668601</v>
      </c>
    </row>
    <row r="74" spans="2:22" hidden="1" outlineLevel="1" x14ac:dyDescent="0.2">
      <c r="B74" s="258" t="s">
        <v>755</v>
      </c>
      <c r="C74" s="259"/>
      <c r="D74" s="259"/>
      <c r="E74" s="259" t="s">
        <v>228</v>
      </c>
      <c r="F74" s="259" t="s">
        <v>228</v>
      </c>
      <c r="G74" s="259" t="s">
        <v>228</v>
      </c>
      <c r="I74" s="356">
        <f>1220*$S$1</f>
        <v>1024.8</v>
      </c>
      <c r="J74" s="356">
        <f>1660*$S$1</f>
        <v>1394.3999999999999</v>
      </c>
      <c r="K74" s="376">
        <v>0.69230000000000003</v>
      </c>
      <c r="L74" s="376">
        <f>(17.8+22.2+5.6)/100*30.7/100</f>
        <v>0.13999200000000001</v>
      </c>
      <c r="M74" s="376">
        <f>(35.2+2.6)/100*30.7/100</f>
        <v>0.11604600000000001</v>
      </c>
      <c r="N74" s="376">
        <f>(1.9+14.9)/100*30.7/100</f>
        <v>5.1576000000000004E-2</v>
      </c>
      <c r="O74" s="377">
        <f t="shared" ref="O74" si="87">SUM(K74:N74)</f>
        <v>0.99991399999999997</v>
      </c>
      <c r="Q74" s="642">
        <f t="shared" si="83"/>
        <v>209.59999999999991</v>
      </c>
      <c r="R74" s="636">
        <f t="shared" si="84"/>
        <v>0.85680693069306924</v>
      </c>
      <c r="S74" s="636">
        <f t="shared" si="75"/>
        <v>1.2423414149302476</v>
      </c>
      <c r="T74" s="636">
        <f t="shared" si="76"/>
        <v>1.0272284677347969</v>
      </c>
      <c r="U74" s="636">
        <f t="shared" si="85"/>
        <v>1.3054571226080791</v>
      </c>
      <c r="V74" s="636">
        <f t="shared" si="86"/>
        <v>0.88763882082536694</v>
      </c>
    </row>
    <row r="75" spans="2:22" hidden="1" outlineLevel="1" x14ac:dyDescent="0.2">
      <c r="B75" s="258" t="s">
        <v>756</v>
      </c>
      <c r="C75" s="259"/>
      <c r="D75" s="259"/>
      <c r="E75" s="259" t="s">
        <v>228</v>
      </c>
      <c r="F75" s="259" t="s">
        <v>228</v>
      </c>
      <c r="G75" s="259" t="s">
        <v>228</v>
      </c>
      <c r="I75" s="356">
        <f>1020*$S$1</f>
        <v>856.8</v>
      </c>
      <c r="J75" s="356">
        <f>1800*$S$1</f>
        <v>1512</v>
      </c>
      <c r="K75" s="376">
        <v>0.72799999999999998</v>
      </c>
      <c r="L75" s="376">
        <f>(7.4+9.4+16.6)/100*27.2/100</f>
        <v>9.0848000000000012E-2</v>
      </c>
      <c r="M75" s="376">
        <f>(31.9+3.7)/100*27.2/100</f>
        <v>9.6832000000000015E-2</v>
      </c>
      <c r="N75" s="376">
        <f>(7.3+19.8+3.5+0.5)/100*27.2/100</f>
        <v>8.4591999999999987E-2</v>
      </c>
      <c r="O75" s="377">
        <f t="shared" ref="O75" si="88">SUM(K75:N75)</f>
        <v>1.000272</v>
      </c>
      <c r="Q75" s="642">
        <f t="shared" si="83"/>
        <v>184.40000000000009</v>
      </c>
      <c r="R75" s="636">
        <f t="shared" si="84"/>
        <v>0.9009900990099009</v>
      </c>
      <c r="S75" s="636">
        <f t="shared" si="75"/>
        <v>0.806219161549111</v>
      </c>
      <c r="T75" s="636">
        <f t="shared" si="76"/>
        <v>0.85714791537576362</v>
      </c>
      <c r="U75" s="636">
        <f t="shared" si="85"/>
        <v>2.1411359724612731</v>
      </c>
      <c r="V75" s="636">
        <f t="shared" si="86"/>
        <v>0.92236732214714146</v>
      </c>
    </row>
    <row r="76" spans="2:22" ht="15.75" collapsed="1" x14ac:dyDescent="0.2">
      <c r="B76" s="260" t="s">
        <v>793</v>
      </c>
      <c r="C76" s="261"/>
      <c r="D76" s="261"/>
      <c r="E76" s="261"/>
      <c r="F76" s="261"/>
      <c r="G76" s="261"/>
      <c r="I76" s="379">
        <f>AVERAGE(I77:I82)</f>
        <v>678.72</v>
      </c>
      <c r="J76" s="379">
        <f>AVERAGE(J77:J82)</f>
        <v>1115.52</v>
      </c>
      <c r="K76" s="380">
        <f>AVERAGE(K77:K82)</f>
        <v>0.86799999999999999</v>
      </c>
      <c r="L76" s="380">
        <f t="shared" ref="L76" si="89">AVERAGE(L77:L82)</f>
        <v>7.9954799999999993E-2</v>
      </c>
      <c r="M76" s="380">
        <f t="shared" ref="M76" si="90">AVERAGE(M77:M82)</f>
        <v>3.6718799999999996E-2</v>
      </c>
      <c r="N76" s="380">
        <f t="shared" ref="N76" si="91">AVERAGE(N77:N82)</f>
        <v>1.5296399999999998E-2</v>
      </c>
      <c r="O76" s="377"/>
      <c r="Q76" s="643">
        <f>AVERAGE(Q77:Q81)</f>
        <v>-102.88000000000002</v>
      </c>
      <c r="R76" s="635">
        <f t="shared" ref="R76:V76" si="92">AVERAGE(R77:R81)</f>
        <v>1.0742574257425743</v>
      </c>
      <c r="S76" s="635">
        <f t="shared" si="92"/>
        <v>0.70954882680771003</v>
      </c>
      <c r="T76" s="635">
        <f t="shared" si="92"/>
        <v>0.32503142427193055</v>
      </c>
      <c r="U76" s="635">
        <f t="shared" si="92"/>
        <v>0.38717221828490422</v>
      </c>
      <c r="V76" s="635">
        <f t="shared" si="92"/>
        <v>1.0581895659196168</v>
      </c>
    </row>
    <row r="77" spans="2:22" hidden="1" outlineLevel="1" x14ac:dyDescent="0.2">
      <c r="B77" s="258" t="s">
        <v>400</v>
      </c>
      <c r="C77" s="259" t="s">
        <v>228</v>
      </c>
      <c r="D77" s="259"/>
      <c r="E77" s="259"/>
      <c r="F77" s="259"/>
      <c r="G77" s="259"/>
      <c r="I77" s="356">
        <f>410*$S$1</f>
        <v>344.4</v>
      </c>
      <c r="J77" s="356">
        <f>710*$S$1</f>
        <v>596.4</v>
      </c>
      <c r="K77" s="376">
        <v>0.95499999999999996</v>
      </c>
      <c r="L77" s="376">
        <f>(38.7+4.1+0.2)/100*5.1/100</f>
        <v>2.1930000000000002E-2</v>
      </c>
      <c r="M77" s="376">
        <f>(44.8+0.3)/100*5.1/100</f>
        <v>2.3000999999999997E-2</v>
      </c>
      <c r="N77" s="376">
        <v>0</v>
      </c>
      <c r="O77" s="377">
        <f t="shared" ref="O77" si="93">SUM(K77:N77)</f>
        <v>0.99993100000000001</v>
      </c>
      <c r="Q77" s="642">
        <f t="shared" ref="Q77:Q81" si="94">AVERAGE(I77,J77)-$Q$5</f>
        <v>-529.6</v>
      </c>
      <c r="R77" s="636">
        <f t="shared" ref="R77:R81" si="95">+K77/$K$13</f>
        <v>1.1819306930693068</v>
      </c>
      <c r="S77" s="636">
        <f t="shared" ref="S77:S81" si="96">+L77/$L$24</f>
        <v>0.19461502964041039</v>
      </c>
      <c r="T77" s="636">
        <f t="shared" ref="T77:T81" si="97">+M77/$M$24</f>
        <v>0.20360272638753649</v>
      </c>
      <c r="U77" s="636">
        <f t="shared" ref="U77:U81" si="98">+N77/$N$25</f>
        <v>0</v>
      </c>
      <c r="V77" s="636">
        <f t="shared" ref="V77:V81" si="99">(K77*0.55+(M77+L77+N77)*0.1)/($K$13*0.55+($M$13+$L$13+$N$13)*0.1)</f>
        <v>1.1426254564090528</v>
      </c>
    </row>
    <row r="78" spans="2:22" hidden="1" outlineLevel="1" x14ac:dyDescent="0.2">
      <c r="B78" s="258" t="s">
        <v>401</v>
      </c>
      <c r="C78" s="259"/>
      <c r="D78" s="259" t="s">
        <v>228</v>
      </c>
      <c r="E78" s="259"/>
      <c r="F78" s="259"/>
      <c r="G78" s="259"/>
      <c r="I78" s="356">
        <f>410*$S$1</f>
        <v>344.4</v>
      </c>
      <c r="J78" s="356">
        <f>710*$S$1</f>
        <v>596.4</v>
      </c>
      <c r="K78" s="376">
        <v>0.94899999999999995</v>
      </c>
      <c r="L78" s="376">
        <f>(38.7+4.1+0.2)/100*5.1/100</f>
        <v>2.1930000000000002E-2</v>
      </c>
      <c r="M78" s="376">
        <f>(44.8+0.3)/100*5.1/100</f>
        <v>2.3000999999999997E-2</v>
      </c>
      <c r="N78" s="376">
        <f>(11.7)/100*5.1/100</f>
        <v>5.9669999999999992E-3</v>
      </c>
      <c r="O78" s="377">
        <f t="shared" ref="O78" si="100">SUM(K78:N78)</f>
        <v>0.99989799999999995</v>
      </c>
      <c r="Q78" s="642">
        <f t="shared" si="94"/>
        <v>-529.6</v>
      </c>
      <c r="R78" s="636">
        <f t="shared" si="95"/>
        <v>1.1745049504950493</v>
      </c>
      <c r="S78" s="636">
        <f t="shared" si="96"/>
        <v>0.19461502964041039</v>
      </c>
      <c r="T78" s="636">
        <f t="shared" si="97"/>
        <v>0.20360272638753649</v>
      </c>
      <c r="U78" s="636">
        <f t="shared" si="98"/>
        <v>0.15103270223752147</v>
      </c>
      <c r="V78" s="636">
        <f t="shared" si="99"/>
        <v>1.1367945934939709</v>
      </c>
    </row>
    <row r="79" spans="2:22" ht="25.5" hidden="1" outlineLevel="1" x14ac:dyDescent="0.2">
      <c r="B79" s="258" t="s">
        <v>402</v>
      </c>
      <c r="C79" s="259"/>
      <c r="D79" s="259" t="s">
        <v>228</v>
      </c>
      <c r="E79" s="259" t="s">
        <v>228</v>
      </c>
      <c r="F79" s="259"/>
      <c r="G79" s="259"/>
      <c r="I79" s="356">
        <f>580*$S$1</f>
        <v>487.2</v>
      </c>
      <c r="J79" s="356">
        <f>860*$S$1</f>
        <v>722.4</v>
      </c>
      <c r="K79" s="376">
        <v>0.92500000000000004</v>
      </c>
      <c r="L79" s="376">
        <f>(44.1+0+19.9)/100*7.5/100</f>
        <v>4.8000000000000001E-2</v>
      </c>
      <c r="M79" s="376">
        <f>(31.6+0.6)/100*7.5/100</f>
        <v>2.4150000000000001E-2</v>
      </c>
      <c r="N79" s="376">
        <f>(3.8)/100*7.5/100</f>
        <v>2.8499999999999997E-3</v>
      </c>
      <c r="O79" s="377">
        <f t="shared" ref="O79" si="101">SUM(K79:N79)</f>
        <v>1</v>
      </c>
      <c r="Q79" s="642">
        <f t="shared" si="94"/>
        <v>-395.20000000000005</v>
      </c>
      <c r="R79" s="636">
        <f t="shared" si="95"/>
        <v>1.1448019801980198</v>
      </c>
      <c r="S79" s="636">
        <f t="shared" si="96"/>
        <v>0.42596996911717727</v>
      </c>
      <c r="T79" s="636">
        <f t="shared" si="97"/>
        <v>0.21377356820394797</v>
      </c>
      <c r="U79" s="636">
        <f t="shared" si="98"/>
        <v>7.2137288650399894E-2</v>
      </c>
      <c r="V79" s="636">
        <f t="shared" si="99"/>
        <v>1.1135216142903483</v>
      </c>
    </row>
    <row r="80" spans="2:22" hidden="1" outlineLevel="1" x14ac:dyDescent="0.2">
      <c r="B80" s="258" t="s">
        <v>403</v>
      </c>
      <c r="C80" s="259"/>
      <c r="D80" s="259"/>
      <c r="E80" s="259"/>
      <c r="F80" s="259" t="s">
        <v>228</v>
      </c>
      <c r="G80" s="259"/>
      <c r="I80" s="356">
        <f>1320*$S$1</f>
        <v>1108.8</v>
      </c>
      <c r="J80" s="356">
        <f>2180*$S$1</f>
        <v>1831.2</v>
      </c>
      <c r="K80" s="376">
        <v>0.78200000000000003</v>
      </c>
      <c r="L80" s="376">
        <f>(23.4+29.5+17.4)/100*21.9/100</f>
        <v>0.15395699999999998</v>
      </c>
      <c r="M80" s="376">
        <f>(22.2+3.7)/100*21.9/100</f>
        <v>5.6720999999999994E-2</v>
      </c>
      <c r="N80" s="376">
        <f>(1.8+0.4+0.8+0.5)/100*21.9/100</f>
        <v>7.6650000000000008E-3</v>
      </c>
      <c r="O80" s="377">
        <f t="shared" ref="O80" si="102">SUM(K80:N80)</f>
        <v>1.000343</v>
      </c>
      <c r="Q80" s="642">
        <f t="shared" si="94"/>
        <v>470</v>
      </c>
      <c r="R80" s="636">
        <f t="shared" si="95"/>
        <v>0.96782178217821779</v>
      </c>
      <c r="S80" s="636">
        <f t="shared" si="96"/>
        <v>1.3662720528202761</v>
      </c>
      <c r="T80" s="636">
        <f t="shared" si="97"/>
        <v>0.50208905019031591</v>
      </c>
      <c r="U80" s="636">
        <f t="shared" si="98"/>
        <v>0.19401133947554924</v>
      </c>
      <c r="V80" s="636">
        <f t="shared" si="99"/>
        <v>0.97479634148024918</v>
      </c>
    </row>
    <row r="81" spans="1:22" hidden="1" outlineLevel="1" x14ac:dyDescent="0.2">
      <c r="B81" s="258" t="s">
        <v>404</v>
      </c>
      <c r="C81" s="259"/>
      <c r="D81" s="259"/>
      <c r="E81" s="259"/>
      <c r="F81" s="259" t="s">
        <v>228</v>
      </c>
      <c r="G81" s="259" t="s">
        <v>228</v>
      </c>
      <c r="I81" s="356">
        <f>1320*$S$1</f>
        <v>1108.8</v>
      </c>
      <c r="J81" s="356">
        <f>2180*$S$1</f>
        <v>1831.2</v>
      </c>
      <c r="K81" s="376">
        <v>0.72899999999999998</v>
      </c>
      <c r="L81" s="376">
        <f>(23.4+29.5+17.4)/100*21.9/100</f>
        <v>0.15395699999999998</v>
      </c>
      <c r="M81" s="376">
        <f>(22.2+3.7)/100*21.9/100</f>
        <v>5.6720999999999994E-2</v>
      </c>
      <c r="N81" s="376">
        <v>0.06</v>
      </c>
      <c r="O81" s="377">
        <f t="shared" ref="O81" si="103">SUM(K81:N81)</f>
        <v>0.99967800000000007</v>
      </c>
      <c r="Q81" s="642">
        <f t="shared" si="94"/>
        <v>470</v>
      </c>
      <c r="R81" s="636">
        <f t="shared" si="95"/>
        <v>0.90222772277227714</v>
      </c>
      <c r="S81" s="636">
        <f t="shared" si="96"/>
        <v>1.3662720528202761</v>
      </c>
      <c r="T81" s="636">
        <f t="shared" si="97"/>
        <v>0.50208905019031591</v>
      </c>
      <c r="U81" s="636">
        <f t="shared" si="98"/>
        <v>1.5186797610610505</v>
      </c>
      <c r="V81" s="636">
        <f t="shared" si="99"/>
        <v>0.92320982392446205</v>
      </c>
    </row>
    <row r="82" spans="1:22" hidden="1" outlineLevel="1" x14ac:dyDescent="0.2">
      <c r="B82" s="258" t="s">
        <v>405</v>
      </c>
      <c r="C82" s="259"/>
      <c r="D82" s="259"/>
      <c r="E82" s="259"/>
      <c r="F82" s="259" t="s">
        <v>228</v>
      </c>
      <c r="G82" s="259" t="s">
        <v>228</v>
      </c>
      <c r="I82" s="356"/>
      <c r="J82" s="356"/>
      <c r="K82" s="376"/>
      <c r="L82" s="376"/>
      <c r="M82" s="376"/>
      <c r="N82" s="376"/>
      <c r="O82" s="377"/>
      <c r="Q82" s="642"/>
      <c r="R82" s="636"/>
      <c r="S82" s="636"/>
      <c r="T82" s="636"/>
      <c r="U82" s="636"/>
      <c r="V82" s="636"/>
    </row>
    <row r="83" spans="1:22" ht="15.75" x14ac:dyDescent="0.2">
      <c r="B83" s="260" t="s">
        <v>796</v>
      </c>
      <c r="C83" s="261"/>
      <c r="D83" s="261"/>
      <c r="E83" s="261"/>
      <c r="F83" s="261"/>
      <c r="G83" s="261"/>
      <c r="I83" s="379">
        <f>AVERAGE(I84:I92)</f>
        <v>1617.4666666666665</v>
      </c>
      <c r="J83" s="379">
        <f>AVERAGE(J84:J92)</f>
        <v>2848.5333333333333</v>
      </c>
      <c r="K83" s="380">
        <f>AVERAGE(K84:K92)</f>
        <v>0.77600000000000002</v>
      </c>
      <c r="L83" s="380">
        <f t="shared" ref="L83:N83" si="104">AVERAGE(L84:L92)</f>
        <v>0.11199066666666664</v>
      </c>
      <c r="M83" s="380">
        <f t="shared" si="104"/>
        <v>8.7076888888888898E-2</v>
      </c>
      <c r="N83" s="380">
        <f t="shared" si="104"/>
        <v>2.5061555555555556E-2</v>
      </c>
      <c r="O83" s="377"/>
      <c r="Q83" s="643">
        <f>AVERAGE(Q84:Q92)</f>
        <v>1232.9999999999998</v>
      </c>
      <c r="R83" s="635">
        <f t="shared" ref="R83:V83" si="105">AVERAGE(R84:R92)</f>
        <v>0.96039603960396036</v>
      </c>
      <c r="S83" s="635">
        <f t="shared" si="105"/>
        <v>0.99384710044608537</v>
      </c>
      <c r="T83" s="635">
        <f t="shared" si="105"/>
        <v>0.77079657332821883</v>
      </c>
      <c r="U83" s="635">
        <f t="shared" si="105"/>
        <v>0.63434128671548917</v>
      </c>
      <c r="V83" s="635">
        <f t="shared" si="105"/>
        <v>0.96892646187023979</v>
      </c>
    </row>
    <row r="84" spans="1:22" outlineLevel="1" x14ac:dyDescent="0.2">
      <c r="B84" s="258" t="s">
        <v>406</v>
      </c>
      <c r="C84" s="259"/>
      <c r="D84" s="259" t="s">
        <v>228</v>
      </c>
      <c r="E84" s="259" t="s">
        <v>228</v>
      </c>
      <c r="F84" s="259"/>
      <c r="G84" s="259"/>
      <c r="I84" s="356">
        <f>1820*$S$1</f>
        <v>1528.8</v>
      </c>
      <c r="J84" s="356">
        <f>3570*$S$1</f>
        <v>2998.7999999999997</v>
      </c>
      <c r="K84" s="376">
        <v>0.745</v>
      </c>
      <c r="L84" s="376">
        <f>(13.5+19.7+10.9)/100*25.5/100</f>
        <v>0.112455</v>
      </c>
      <c r="M84" s="376">
        <f>(37.2+7.8)/100*25.5/100</f>
        <v>0.11474999999999999</v>
      </c>
      <c r="N84" s="376">
        <f>(1.6+5.2+2.8+1.3)/100*25.5/100</f>
        <v>2.7795000000000004E-2</v>
      </c>
      <c r="O84" s="377">
        <f t="shared" ref="O84" si="106">SUM(K84:N84)</f>
        <v>1</v>
      </c>
      <c r="Q84" s="642">
        <f t="shared" ref="Q84:Q92" si="107">AVERAGE(I84,J84)-$Q$5</f>
        <v>1263.7999999999997</v>
      </c>
      <c r="R84" s="636">
        <f t="shared" ref="R84:R92" si="108">+K84/$K$13</f>
        <v>0.92202970297029696</v>
      </c>
      <c r="S84" s="636">
        <f t="shared" ref="S84:S92" si="109">+L84/$L$24</f>
        <v>0.99796776827233691</v>
      </c>
      <c r="T84" s="636">
        <f t="shared" ref="T84:T92" si="110">+M84/$M$24</f>
        <v>1.0157563955032309</v>
      </c>
      <c r="U84" s="636">
        <f t="shared" ref="U84:U92" si="111">+N84/$N$25</f>
        <v>0.70352839931153177</v>
      </c>
      <c r="V84" s="636">
        <f t="shared" ref="V84:V92" si="112">(K84*0.55+(M84+L84+N84)*0.1)/($K$13*0.55+($M$13+$L$13+$N$13)*0.1)</f>
        <v>0.93880926415471999</v>
      </c>
    </row>
    <row r="85" spans="1:22" outlineLevel="1" x14ac:dyDescent="0.2">
      <c r="B85" s="258" t="s">
        <v>761</v>
      </c>
      <c r="C85" s="259"/>
      <c r="D85" s="259"/>
      <c r="E85" s="259"/>
      <c r="F85" s="259" t="s">
        <v>228</v>
      </c>
      <c r="G85" s="259"/>
      <c r="I85" s="356">
        <f>1620*$S$1</f>
        <v>1360.8</v>
      </c>
      <c r="J85" s="356">
        <f>2630*$S$1</f>
        <v>2209.1999999999998</v>
      </c>
      <c r="K85" s="376">
        <v>0.79</v>
      </c>
      <c r="L85" s="376">
        <f>(20.1+25.9+2.2)/100*21/100</f>
        <v>0.10122000000000002</v>
      </c>
      <c r="M85" s="376">
        <f>(39.1+3.4)/100*21/100</f>
        <v>8.9249999999999996E-2</v>
      </c>
      <c r="N85" s="376">
        <f>(7+1.9+0.5+0.1)/100*21/100</f>
        <v>1.9950000000000002E-2</v>
      </c>
      <c r="O85" s="377">
        <f t="shared" ref="O85" si="113">SUM(K85:N85)</f>
        <v>1.0004199999999999</v>
      </c>
      <c r="Q85" s="642">
        <f t="shared" si="107"/>
        <v>785</v>
      </c>
      <c r="R85" s="636">
        <f t="shared" si="108"/>
        <v>0.9777227722772277</v>
      </c>
      <c r="S85" s="636">
        <f t="shared" si="109"/>
        <v>0.89826417237584777</v>
      </c>
      <c r="T85" s="636">
        <f t="shared" si="110"/>
        <v>0.79003275205806844</v>
      </c>
      <c r="U85" s="636">
        <f t="shared" si="111"/>
        <v>0.50496102055279934</v>
      </c>
      <c r="V85" s="636">
        <f t="shared" si="112"/>
        <v>0.98257794327758641</v>
      </c>
    </row>
    <row r="86" spans="1:22" outlineLevel="1" x14ac:dyDescent="0.2">
      <c r="B86" s="258" t="s">
        <v>840</v>
      </c>
      <c r="C86" s="259"/>
      <c r="D86" s="259"/>
      <c r="E86" s="259"/>
      <c r="F86" s="259" t="s">
        <v>228</v>
      </c>
      <c r="G86" s="259"/>
      <c r="I86" s="356">
        <f>2240*$S$1</f>
        <v>1881.6</v>
      </c>
      <c r="J86" s="356">
        <f>3010*$S$1</f>
        <v>2528.4</v>
      </c>
      <c r="K86" s="376">
        <v>0.85899999999999999</v>
      </c>
      <c r="L86" s="376">
        <f>(16.8+33.6+8.3)/100*14.2/100</f>
        <v>8.3353999999999998E-2</v>
      </c>
      <c r="M86" s="376">
        <f>(33.1+2.7)/100*14.2/100</f>
        <v>5.0836000000000006E-2</v>
      </c>
      <c r="N86" s="376">
        <f>(3.9+0.1+0.7)/100*14.2/100</f>
        <v>6.6740000000000002E-3</v>
      </c>
      <c r="O86" s="377">
        <f t="shared" ref="O86" si="114">SUM(K86:N86)</f>
        <v>0.99986399999999998</v>
      </c>
      <c r="Q86" s="642">
        <f t="shared" si="107"/>
        <v>1205</v>
      </c>
      <c r="R86" s="636">
        <f t="shared" si="108"/>
        <v>1.0631188118811881</v>
      </c>
      <c r="S86" s="636">
        <f t="shared" si="109"/>
        <v>0.73971460012069157</v>
      </c>
      <c r="T86" s="636">
        <f t="shared" si="110"/>
        <v>0.44999557404620699</v>
      </c>
      <c r="U86" s="636">
        <f t="shared" si="111"/>
        <v>0.16892781208869087</v>
      </c>
      <c r="V86" s="636">
        <f t="shared" si="112"/>
        <v>1.049431084821336</v>
      </c>
    </row>
    <row r="87" spans="1:22" outlineLevel="1" x14ac:dyDescent="0.2">
      <c r="B87" s="258" t="s">
        <v>839</v>
      </c>
      <c r="C87" s="259"/>
      <c r="D87" s="259"/>
      <c r="E87" s="259"/>
      <c r="F87" s="259" t="s">
        <v>228</v>
      </c>
      <c r="G87" s="259"/>
      <c r="I87" s="356">
        <f>1710*$S$1</f>
        <v>1436.3999999999999</v>
      </c>
      <c r="J87" s="356">
        <f>2540*$S$1</f>
        <v>2133.6</v>
      </c>
      <c r="K87" s="376">
        <v>0.88300000000000001</v>
      </c>
      <c r="L87" s="376">
        <f>(24.2+19.9+30.8)/100*11.8/100</f>
        <v>8.8381999999999988E-2</v>
      </c>
      <c r="M87" s="376">
        <f>(19.3+2.4)/100*11.8/100</f>
        <v>2.5606E-2</v>
      </c>
      <c r="N87" s="376">
        <f>(2.5)/100*11.8/100</f>
        <v>2.9500000000000004E-3</v>
      </c>
      <c r="O87" s="377">
        <f t="shared" ref="O87" si="115">SUM(K87:N87)</f>
        <v>0.99993799999999999</v>
      </c>
      <c r="Q87" s="642">
        <f t="shared" si="107"/>
        <v>785</v>
      </c>
      <c r="R87" s="636">
        <f t="shared" si="108"/>
        <v>1.0928217821782178</v>
      </c>
      <c r="S87" s="636">
        <f t="shared" si="109"/>
        <v>0.78433495438571577</v>
      </c>
      <c r="T87" s="636">
        <f t="shared" si="110"/>
        <v>0.22666194564928743</v>
      </c>
      <c r="U87" s="636">
        <f t="shared" si="111"/>
        <v>7.466842158550166E-2</v>
      </c>
      <c r="V87" s="636">
        <f t="shared" si="112"/>
        <v>1.0727420262146175</v>
      </c>
    </row>
    <row r="88" spans="1:22" outlineLevel="1" x14ac:dyDescent="0.2">
      <c r="B88" s="258" t="s">
        <v>407</v>
      </c>
      <c r="C88" s="259"/>
      <c r="D88" s="259"/>
      <c r="E88" s="259"/>
      <c r="F88" s="259" t="s">
        <v>228</v>
      </c>
      <c r="G88" s="259"/>
      <c r="I88" s="356">
        <f>1820*$S$1</f>
        <v>1528.8</v>
      </c>
      <c r="J88" s="356">
        <f>3570*$S$1</f>
        <v>2998.7999999999997</v>
      </c>
      <c r="K88" s="376">
        <v>0.745</v>
      </c>
      <c r="L88" s="376">
        <f>(13.5+19.7+10.9)/100*25.5/100</f>
        <v>0.112455</v>
      </c>
      <c r="M88" s="376">
        <f>(37.2+7.8)/100*25.5/100</f>
        <v>0.11474999999999999</v>
      </c>
      <c r="N88" s="376">
        <f>(1.6+5.2+2.8+1.3)/100*25.5/100</f>
        <v>2.7795000000000004E-2</v>
      </c>
      <c r="O88" s="377">
        <f t="shared" ref="O88" si="116">SUM(K88:N88)</f>
        <v>1</v>
      </c>
      <c r="Q88" s="642">
        <f t="shared" si="107"/>
        <v>1263.7999999999997</v>
      </c>
      <c r="R88" s="636">
        <f t="shared" si="108"/>
        <v>0.92202970297029696</v>
      </c>
      <c r="S88" s="636">
        <f t="shared" si="109"/>
        <v>0.99796776827233691</v>
      </c>
      <c r="T88" s="636">
        <f t="shared" si="110"/>
        <v>1.0157563955032309</v>
      </c>
      <c r="U88" s="636">
        <f t="shared" si="111"/>
        <v>0.70352839931153177</v>
      </c>
      <c r="V88" s="636">
        <f t="shared" si="112"/>
        <v>0.93880926415471999</v>
      </c>
    </row>
    <row r="89" spans="1:22" outlineLevel="1" x14ac:dyDescent="0.2">
      <c r="B89" s="258" t="s">
        <v>841</v>
      </c>
      <c r="C89" s="259"/>
      <c r="D89" s="259"/>
      <c r="E89" s="259" t="s">
        <v>228</v>
      </c>
      <c r="F89" s="259" t="s">
        <v>228</v>
      </c>
      <c r="G89" s="259"/>
      <c r="I89" s="356">
        <f>1820*$S$1</f>
        <v>1528.8</v>
      </c>
      <c r="J89" s="356">
        <f>3570*$S$1</f>
        <v>2998.7999999999997</v>
      </c>
      <c r="K89" s="376">
        <v>0.745</v>
      </c>
      <c r="L89" s="376">
        <f>(13.5+19.7+10.9)/100*25.5/100</f>
        <v>0.112455</v>
      </c>
      <c r="M89" s="376">
        <f>(37.2+7.8)/100*25.5/100</f>
        <v>0.11474999999999999</v>
      </c>
      <c r="N89" s="376">
        <f>(1.6+5.2+2.8+1.3)/100*25.5/100</f>
        <v>2.7795000000000004E-2</v>
      </c>
      <c r="O89" s="377">
        <f t="shared" ref="O89" si="117">SUM(K89:N89)</f>
        <v>1</v>
      </c>
      <c r="Q89" s="642">
        <f t="shared" si="107"/>
        <v>1263.7999999999997</v>
      </c>
      <c r="R89" s="636">
        <f t="shared" si="108"/>
        <v>0.92202970297029696</v>
      </c>
      <c r="S89" s="636">
        <f t="shared" si="109"/>
        <v>0.99796776827233691</v>
      </c>
      <c r="T89" s="636">
        <f t="shared" si="110"/>
        <v>1.0157563955032309</v>
      </c>
      <c r="U89" s="636">
        <f t="shared" si="111"/>
        <v>0.70352839931153177</v>
      </c>
      <c r="V89" s="636">
        <f t="shared" si="112"/>
        <v>0.93880926415471999</v>
      </c>
    </row>
    <row r="90" spans="1:22" outlineLevel="1" x14ac:dyDescent="0.2">
      <c r="B90" s="258" t="s">
        <v>408</v>
      </c>
      <c r="C90" s="259"/>
      <c r="D90" s="259"/>
      <c r="E90" s="259"/>
      <c r="F90" s="259" t="s">
        <v>228</v>
      </c>
      <c r="G90" s="259" t="s">
        <v>228</v>
      </c>
      <c r="I90" s="356">
        <f>1820*$S$1</f>
        <v>1528.8</v>
      </c>
      <c r="J90" s="356">
        <f>3570*$S$1</f>
        <v>2998.7999999999997</v>
      </c>
      <c r="K90" s="376">
        <v>0.745</v>
      </c>
      <c r="L90" s="376">
        <f>(13.5+19.7+10.9)/100*25.5/100</f>
        <v>0.112455</v>
      </c>
      <c r="M90" s="376">
        <f>(37.2+7.8)/100*25.5/100</f>
        <v>0.11474999999999999</v>
      </c>
      <c r="N90" s="376">
        <f>(1.6+5.2+2.8+1.3)/100*25.5/100</f>
        <v>2.7795000000000004E-2</v>
      </c>
      <c r="O90" s="377">
        <f t="shared" ref="O90" si="118">SUM(K90:N90)</f>
        <v>1</v>
      </c>
      <c r="Q90" s="642">
        <f t="shared" si="107"/>
        <v>1263.7999999999997</v>
      </c>
      <c r="R90" s="636">
        <f t="shared" si="108"/>
        <v>0.92202970297029696</v>
      </c>
      <c r="S90" s="636">
        <f t="shared" si="109"/>
        <v>0.99796776827233691</v>
      </c>
      <c r="T90" s="636">
        <f t="shared" si="110"/>
        <v>1.0157563955032309</v>
      </c>
      <c r="U90" s="636">
        <f t="shared" si="111"/>
        <v>0.70352839931153177</v>
      </c>
      <c r="V90" s="636">
        <f t="shared" si="112"/>
        <v>0.93880926415471999</v>
      </c>
    </row>
    <row r="91" spans="1:22" outlineLevel="1" x14ac:dyDescent="0.2">
      <c r="B91" s="258" t="s">
        <v>842</v>
      </c>
      <c r="C91" s="259"/>
      <c r="D91" s="259"/>
      <c r="E91" s="259"/>
      <c r="F91" s="259" t="s">
        <v>228</v>
      </c>
      <c r="G91" s="259" t="s">
        <v>228</v>
      </c>
      <c r="I91" s="356">
        <f>2240*$S$1</f>
        <v>1881.6</v>
      </c>
      <c r="J91" s="356">
        <f>4030*$S$1</f>
        <v>3385.2</v>
      </c>
      <c r="K91" s="376">
        <v>0.73599999999999999</v>
      </c>
      <c r="L91" s="376">
        <f>(19.4+10.5+23.9)/100*26.5/100</f>
        <v>0.14256999999999997</v>
      </c>
      <c r="M91" s="376">
        <f>(24.1+5.9)/100*26.5/100</f>
        <v>7.9499999999999987E-2</v>
      </c>
      <c r="N91" s="376">
        <f>(3.3+12.7)/100*26.5/100</f>
        <v>4.24E-2</v>
      </c>
      <c r="O91" s="377">
        <f t="shared" ref="O91" si="119">SUM(K91:N91)</f>
        <v>1.00047</v>
      </c>
      <c r="Q91" s="642">
        <f t="shared" si="107"/>
        <v>1633.3999999999996</v>
      </c>
      <c r="R91" s="636">
        <f t="shared" si="108"/>
        <v>0.91089108910891081</v>
      </c>
      <c r="S91" s="636">
        <f t="shared" si="109"/>
        <v>1.2652195520215823</v>
      </c>
      <c r="T91" s="636">
        <f t="shared" si="110"/>
        <v>0.70372665309374161</v>
      </c>
      <c r="U91" s="636">
        <f t="shared" si="111"/>
        <v>1.0732003644831425</v>
      </c>
      <c r="V91" s="636">
        <f t="shared" si="112"/>
        <v>0.9301750229498692</v>
      </c>
    </row>
    <row r="92" spans="1:22" outlineLevel="1" x14ac:dyDescent="0.2">
      <c r="B92" s="357" t="s">
        <v>409</v>
      </c>
      <c r="C92" s="358"/>
      <c r="D92" s="358"/>
      <c r="E92" s="358"/>
      <c r="F92" s="358" t="s">
        <v>228</v>
      </c>
      <c r="G92" s="358" t="s">
        <v>228</v>
      </c>
      <c r="I92" s="356">
        <f>2240*$S$1</f>
        <v>1881.6</v>
      </c>
      <c r="J92" s="356">
        <f>4030*$S$1</f>
        <v>3385.2</v>
      </c>
      <c r="K92" s="376">
        <v>0.73599999999999999</v>
      </c>
      <c r="L92" s="376">
        <f>(19.4+10.5+23.9)/100*26.5/100</f>
        <v>0.14256999999999997</v>
      </c>
      <c r="M92" s="376">
        <f>(24.1+5.9)/100*26.5/100</f>
        <v>7.9499999999999987E-2</v>
      </c>
      <c r="N92" s="376">
        <f>(3.3+12.7)/100*26.5/100</f>
        <v>4.24E-2</v>
      </c>
      <c r="O92" s="377">
        <f t="shared" ref="O92" si="120">SUM(K92:N92)</f>
        <v>1.00047</v>
      </c>
      <c r="Q92" s="642">
        <f t="shared" si="107"/>
        <v>1633.3999999999996</v>
      </c>
      <c r="R92" s="636">
        <f t="shared" si="108"/>
        <v>0.91089108910891081</v>
      </c>
      <c r="S92" s="636">
        <f t="shared" si="109"/>
        <v>1.2652195520215823</v>
      </c>
      <c r="T92" s="636">
        <f t="shared" si="110"/>
        <v>0.70372665309374161</v>
      </c>
      <c r="U92" s="636">
        <f t="shared" si="111"/>
        <v>1.0732003644831425</v>
      </c>
      <c r="V92" s="636">
        <f t="shared" si="112"/>
        <v>0.9301750229498692</v>
      </c>
    </row>
    <row r="94" spans="1:22" ht="15.75" x14ac:dyDescent="0.25">
      <c r="A94" s="370"/>
      <c r="B94" s="371" t="s">
        <v>635</v>
      </c>
      <c r="C94" s="371"/>
      <c r="D94" s="371"/>
      <c r="E94" s="371"/>
      <c r="F94" s="371"/>
      <c r="G94" s="371"/>
      <c r="H94" s="372"/>
      <c r="I94" s="370"/>
      <c r="J94" s="370"/>
      <c r="K94" s="372"/>
      <c r="L94" s="372"/>
      <c r="M94" s="372"/>
      <c r="N94" s="372"/>
      <c r="O94" s="372"/>
      <c r="P94" s="372"/>
    </row>
    <row r="95" spans="1:22" ht="15.75" x14ac:dyDescent="0.25">
      <c r="A95" s="192" t="s">
        <v>3</v>
      </c>
      <c r="B95" s="193" t="s">
        <v>108</v>
      </c>
      <c r="C95" s="194"/>
      <c r="D95" s="194"/>
      <c r="E95" s="194"/>
      <c r="F95" s="251" t="s">
        <v>82</v>
      </c>
      <c r="G95" s="1012">
        <v>6</v>
      </c>
      <c r="I95" s="371" t="s">
        <v>628</v>
      </c>
      <c r="J95" s="373"/>
      <c r="K95" s="373"/>
      <c r="L95" s="373"/>
    </row>
    <row r="96" spans="1:22" ht="15.75" x14ac:dyDescent="0.25">
      <c r="A96" s="195" t="s">
        <v>4</v>
      </c>
      <c r="B96" s="196" t="s">
        <v>102</v>
      </c>
      <c r="C96" s="197"/>
      <c r="D96" s="197"/>
      <c r="E96" s="197"/>
      <c r="F96" s="252" t="s">
        <v>83</v>
      </c>
      <c r="G96" s="1013">
        <v>4</v>
      </c>
      <c r="I96" s="204" t="s">
        <v>84</v>
      </c>
      <c r="J96" s="204"/>
      <c r="K96" s="204" t="s">
        <v>191</v>
      </c>
      <c r="L96" s="204"/>
      <c r="M96" s="204"/>
      <c r="N96" s="204"/>
      <c r="O96" s="204"/>
    </row>
    <row r="97" spans="1:15" ht="15.75" x14ac:dyDescent="0.25">
      <c r="A97" s="195" t="s">
        <v>5</v>
      </c>
      <c r="B97" s="196" t="s">
        <v>378</v>
      </c>
      <c r="C97" s="197"/>
      <c r="D97" s="197"/>
      <c r="E97" s="197"/>
      <c r="F97" s="252" t="s">
        <v>83</v>
      </c>
      <c r="G97" s="1013">
        <v>4</v>
      </c>
      <c r="I97" s="205" t="s">
        <v>85</v>
      </c>
      <c r="J97" s="205"/>
      <c r="K97" s="205" t="s">
        <v>192</v>
      </c>
      <c r="L97" s="205"/>
      <c r="M97" s="205"/>
      <c r="N97" s="205"/>
      <c r="O97" s="205"/>
    </row>
    <row r="98" spans="1:15" ht="15.75" x14ac:dyDescent="0.25">
      <c r="A98" s="195" t="s">
        <v>110</v>
      </c>
      <c r="B98" s="196" t="s">
        <v>379</v>
      </c>
      <c r="C98" s="197"/>
      <c r="D98" s="197"/>
      <c r="E98" s="197"/>
      <c r="F98" s="252" t="s">
        <v>82</v>
      </c>
      <c r="G98" s="1013">
        <v>3</v>
      </c>
      <c r="I98" s="205" t="s">
        <v>86</v>
      </c>
      <c r="J98" s="205"/>
      <c r="K98" s="205" t="s">
        <v>193</v>
      </c>
      <c r="L98" s="205"/>
      <c r="M98" s="205"/>
      <c r="N98" s="205"/>
      <c r="O98" s="205"/>
    </row>
    <row r="99" spans="1:15" ht="15.75" x14ac:dyDescent="0.25">
      <c r="A99" s="195" t="s">
        <v>111</v>
      </c>
      <c r="B99" s="196" t="s">
        <v>109</v>
      </c>
      <c r="C99" s="197"/>
      <c r="D99" s="197"/>
      <c r="E99" s="197"/>
      <c r="F99" s="252" t="s">
        <v>82</v>
      </c>
      <c r="G99" s="1013">
        <v>4</v>
      </c>
      <c r="I99" s="205" t="s">
        <v>87</v>
      </c>
      <c r="J99" s="205"/>
      <c r="K99" s="205" t="s">
        <v>194</v>
      </c>
      <c r="L99" s="205"/>
      <c r="M99" s="205"/>
      <c r="N99" s="205"/>
      <c r="O99" s="205"/>
    </row>
    <row r="100" spans="1:15" ht="15.75" x14ac:dyDescent="0.25">
      <c r="A100" s="198" t="s">
        <v>6</v>
      </c>
      <c r="B100" s="199" t="s">
        <v>380</v>
      </c>
      <c r="C100" s="200"/>
      <c r="D100" s="200"/>
      <c r="E100" s="200"/>
      <c r="F100" s="253" t="s">
        <v>82</v>
      </c>
      <c r="G100" s="1014">
        <v>4</v>
      </c>
      <c r="I100" s="206" t="s">
        <v>88</v>
      </c>
      <c r="J100" s="206"/>
      <c r="K100" s="206" t="s">
        <v>195</v>
      </c>
      <c r="L100" s="206"/>
      <c r="M100" s="206"/>
      <c r="N100" s="206"/>
      <c r="O100" s="206"/>
    </row>
    <row r="101" spans="1:15" ht="15.75" x14ac:dyDescent="0.25">
      <c r="A101" s="82"/>
      <c r="B101" s="82"/>
      <c r="C101" s="82"/>
      <c r="D101" s="82"/>
      <c r="E101" s="82"/>
      <c r="F101" s="249" t="s">
        <v>112</v>
      </c>
      <c r="G101" s="188">
        <f>SUM(G95:G100)</f>
        <v>25</v>
      </c>
    </row>
    <row r="102" spans="1:15" ht="15.75" x14ac:dyDescent="0.2">
      <c r="B102" s="54" t="s">
        <v>216</v>
      </c>
      <c r="C102" s="52"/>
      <c r="D102" s="52"/>
      <c r="E102" s="52"/>
      <c r="F102" s="226" t="str">
        <f>IF(G101&lt;11,$I$96,IF(G101&lt;19,$I$97,IF(G101&lt;27,$I$98,IF(G101&lt;35,$I$99,IF(G101&lt;43,$I$100,"NAPAKA")))))</f>
        <v>Cenovni razred III</v>
      </c>
      <c r="G102" s="52"/>
    </row>
    <row r="108" spans="1:15" ht="51" collapsed="1" x14ac:dyDescent="0.2">
      <c r="B108" s="232" t="s">
        <v>2</v>
      </c>
      <c r="C108" s="298" t="s">
        <v>223</v>
      </c>
      <c r="D108" s="298" t="s">
        <v>224</v>
      </c>
      <c r="E108" s="298" t="s">
        <v>225</v>
      </c>
      <c r="F108" s="298" t="s">
        <v>226</v>
      </c>
      <c r="G108" s="298" t="s">
        <v>227</v>
      </c>
      <c r="I108" s="369" t="s">
        <v>861</v>
      </c>
      <c r="J108" s="369" t="s">
        <v>862</v>
      </c>
    </row>
    <row r="109" spans="1:15" ht="25.5" hidden="1" outlineLevel="1" x14ac:dyDescent="0.2">
      <c r="B109" s="266" t="s">
        <v>411</v>
      </c>
      <c r="C109" s="268" t="s">
        <v>228</v>
      </c>
      <c r="D109" s="268"/>
      <c r="E109" s="268"/>
      <c r="F109" s="268"/>
      <c r="G109" s="268"/>
    </row>
    <row r="110" spans="1:15" ht="25.5" hidden="1" outlineLevel="1" x14ac:dyDescent="0.2">
      <c r="B110" s="258" t="s">
        <v>412</v>
      </c>
      <c r="C110" s="259"/>
      <c r="D110" s="259" t="s">
        <v>228</v>
      </c>
      <c r="E110" s="259"/>
      <c r="F110" s="259"/>
      <c r="G110" s="259"/>
    </row>
    <row r="111" spans="1:15" ht="38.25" hidden="1" outlineLevel="1" x14ac:dyDescent="0.2">
      <c r="B111" s="258" t="s">
        <v>413</v>
      </c>
      <c r="C111" s="259"/>
      <c r="D111" s="259"/>
      <c r="E111" s="259" t="s">
        <v>228</v>
      </c>
      <c r="F111" s="259"/>
      <c r="G111" s="259"/>
    </row>
    <row r="112" spans="1:15" ht="38.25" hidden="1" outlineLevel="1" x14ac:dyDescent="0.2">
      <c r="B112" s="258" t="s">
        <v>414</v>
      </c>
      <c r="C112" s="259"/>
      <c r="D112" s="259"/>
      <c r="E112" s="259"/>
      <c r="F112" s="259" t="s">
        <v>228</v>
      </c>
      <c r="G112" s="259"/>
    </row>
    <row r="113" spans="2:9" ht="25.5" hidden="1" outlineLevel="1" x14ac:dyDescent="0.2">
      <c r="B113" s="258" t="s">
        <v>415</v>
      </c>
      <c r="C113" s="259"/>
      <c r="D113" s="259"/>
      <c r="E113" s="259"/>
      <c r="F113" s="259"/>
      <c r="G113" s="259" t="s">
        <v>228</v>
      </c>
    </row>
    <row r="114" spans="2:9" ht="15.75" collapsed="1" x14ac:dyDescent="0.2">
      <c r="B114" s="267" t="s">
        <v>797</v>
      </c>
      <c r="C114" s="261"/>
      <c r="D114" s="261"/>
      <c r="E114" s="261"/>
      <c r="F114" s="261"/>
      <c r="G114" s="261"/>
    </row>
    <row r="115" spans="2:9" hidden="1" outlineLevel="1" x14ac:dyDescent="0.2">
      <c r="B115" s="258" t="s">
        <v>416</v>
      </c>
      <c r="C115" s="259" t="s">
        <v>228</v>
      </c>
      <c r="D115" s="259"/>
      <c r="E115" s="259"/>
      <c r="F115" s="259"/>
      <c r="G115" s="259"/>
    </row>
    <row r="116" spans="2:9" hidden="1" outlineLevel="1" x14ac:dyDescent="0.2">
      <c r="B116" s="258" t="s">
        <v>417</v>
      </c>
      <c r="C116" s="259"/>
      <c r="D116" s="259" t="s">
        <v>228</v>
      </c>
      <c r="E116" s="259"/>
      <c r="F116" s="259"/>
      <c r="G116" s="259"/>
    </row>
    <row r="117" spans="2:9" ht="25.5" hidden="1" outlineLevel="1" x14ac:dyDescent="0.2">
      <c r="B117" s="258" t="s">
        <v>418</v>
      </c>
      <c r="C117" s="259"/>
      <c r="D117" s="259"/>
      <c r="E117" s="259" t="s">
        <v>228</v>
      </c>
      <c r="F117" s="259"/>
      <c r="G117" s="259"/>
    </row>
    <row r="118" spans="2:9" hidden="1" outlineLevel="1" x14ac:dyDescent="0.2">
      <c r="B118" s="258" t="s">
        <v>419</v>
      </c>
      <c r="C118" s="259"/>
      <c r="D118" s="259"/>
      <c r="E118" s="259" t="s">
        <v>228</v>
      </c>
      <c r="F118" s="259"/>
      <c r="G118" s="259"/>
    </row>
    <row r="119" spans="2:9" hidden="1" outlineLevel="1" x14ac:dyDescent="0.2">
      <c r="B119" s="258" t="s">
        <v>420</v>
      </c>
      <c r="C119" s="259"/>
      <c r="D119" s="259"/>
      <c r="E119" s="259"/>
      <c r="F119" s="259" t="s">
        <v>228</v>
      </c>
      <c r="G119" s="259"/>
    </row>
    <row r="120" spans="2:9" hidden="1" outlineLevel="1" x14ac:dyDescent="0.2">
      <c r="B120" s="258" t="s">
        <v>421</v>
      </c>
      <c r="C120" s="259"/>
      <c r="D120" s="259"/>
      <c r="E120" s="259"/>
      <c r="F120" s="259" t="s">
        <v>228</v>
      </c>
      <c r="G120" s="259"/>
    </row>
    <row r="121" spans="2:9" hidden="1" outlineLevel="1" x14ac:dyDescent="0.2">
      <c r="B121" s="258" t="s">
        <v>422</v>
      </c>
      <c r="C121" s="259"/>
      <c r="D121" s="259"/>
      <c r="E121" s="259"/>
      <c r="F121" s="259"/>
      <c r="G121" s="259" t="s">
        <v>228</v>
      </c>
    </row>
    <row r="122" spans="2:9" ht="15.75" collapsed="1" x14ac:dyDescent="0.2">
      <c r="B122" s="267" t="s">
        <v>785</v>
      </c>
      <c r="C122" s="261"/>
      <c r="D122" s="261"/>
      <c r="E122" s="261"/>
      <c r="F122" s="261"/>
      <c r="G122" s="261"/>
    </row>
    <row r="123" spans="2:9" hidden="1" outlineLevel="1" x14ac:dyDescent="0.2">
      <c r="B123" s="258" t="s">
        <v>423</v>
      </c>
      <c r="C123" s="259" t="s">
        <v>228</v>
      </c>
      <c r="D123" s="259"/>
      <c r="E123" s="259"/>
      <c r="F123" s="259"/>
      <c r="G123" s="259"/>
    </row>
    <row r="124" spans="2:9" hidden="1" outlineLevel="1" x14ac:dyDescent="0.2">
      <c r="B124" s="258" t="s">
        <v>424</v>
      </c>
      <c r="C124" s="259"/>
      <c r="D124" s="259" t="s">
        <v>228</v>
      </c>
      <c r="E124" s="259"/>
      <c r="F124" s="259"/>
      <c r="G124" s="259"/>
    </row>
    <row r="125" spans="2:9" ht="25.5" hidden="1" outlineLevel="1" x14ac:dyDescent="0.2">
      <c r="B125" s="258" t="s">
        <v>425</v>
      </c>
      <c r="C125" s="259"/>
      <c r="D125" s="259"/>
      <c r="E125" s="259" t="s">
        <v>228</v>
      </c>
      <c r="F125" s="259" t="s">
        <v>228</v>
      </c>
      <c r="G125" s="259"/>
    </row>
    <row r="126" spans="2:9" hidden="1" outlineLevel="1" x14ac:dyDescent="0.2">
      <c r="B126" s="258" t="s">
        <v>426</v>
      </c>
      <c r="C126" s="259"/>
      <c r="D126" s="259"/>
      <c r="E126" s="259" t="s">
        <v>228</v>
      </c>
      <c r="F126" s="259" t="s">
        <v>228</v>
      </c>
      <c r="G126" s="259"/>
      <c r="I126">
        <v>185</v>
      </c>
    </row>
    <row r="127" spans="2:9" ht="25.5" hidden="1" outlineLevel="1" x14ac:dyDescent="0.2">
      <c r="B127" s="258" t="s">
        <v>427</v>
      </c>
      <c r="C127" s="259"/>
      <c r="D127" s="259"/>
      <c r="E127" s="259"/>
      <c r="F127" s="259" t="s">
        <v>228</v>
      </c>
      <c r="G127" s="259"/>
    </row>
    <row r="128" spans="2:9" ht="25.5" hidden="1" outlineLevel="1" x14ac:dyDescent="0.2">
      <c r="B128" s="258" t="s">
        <v>428</v>
      </c>
      <c r="C128" s="259"/>
      <c r="D128" s="259"/>
      <c r="E128" s="259"/>
      <c r="F128" s="259" t="s">
        <v>228</v>
      </c>
      <c r="G128" s="259"/>
    </row>
    <row r="129" spans="2:7" hidden="1" outlineLevel="1" x14ac:dyDescent="0.2">
      <c r="B129" s="258" t="s">
        <v>429</v>
      </c>
      <c r="C129" s="259"/>
      <c r="D129" s="259"/>
      <c r="E129" s="259"/>
      <c r="F129" s="259"/>
      <c r="G129" s="259" t="s">
        <v>228</v>
      </c>
    </row>
    <row r="130" spans="2:7" ht="15.75" collapsed="1" x14ac:dyDescent="0.2">
      <c r="B130" s="260" t="s">
        <v>786</v>
      </c>
      <c r="C130" s="261"/>
      <c r="D130" s="261"/>
      <c r="E130" s="261"/>
      <c r="F130" s="261"/>
      <c r="G130" s="261"/>
    </row>
    <row r="131" spans="2:7" hidden="1" outlineLevel="1" x14ac:dyDescent="0.2">
      <c r="B131" s="258" t="s">
        <v>430</v>
      </c>
      <c r="C131" s="259" t="s">
        <v>228</v>
      </c>
      <c r="D131" s="259"/>
      <c r="E131" s="259"/>
      <c r="F131" s="259"/>
      <c r="G131" s="259"/>
    </row>
    <row r="132" spans="2:7" ht="25.5" hidden="1" outlineLevel="1" x14ac:dyDescent="0.2">
      <c r="B132" s="258" t="s">
        <v>431</v>
      </c>
      <c r="C132" s="259"/>
      <c r="D132" s="259" t="s">
        <v>228</v>
      </c>
      <c r="E132" s="259"/>
      <c r="F132" s="259"/>
      <c r="G132" s="259"/>
    </row>
    <row r="133" spans="2:7" ht="25.5" hidden="1" outlineLevel="1" x14ac:dyDescent="0.2">
      <c r="B133" s="258" t="s">
        <v>432</v>
      </c>
      <c r="C133" s="259"/>
      <c r="D133" s="259"/>
      <c r="E133" s="259" t="s">
        <v>228</v>
      </c>
      <c r="F133" s="259"/>
      <c r="G133" s="259"/>
    </row>
    <row r="134" spans="2:7" hidden="1" outlineLevel="1" x14ac:dyDescent="0.2">
      <c r="B134" s="258" t="s">
        <v>433</v>
      </c>
      <c r="C134" s="259"/>
      <c r="D134" s="259"/>
      <c r="E134" s="259" t="s">
        <v>228</v>
      </c>
      <c r="F134" s="259"/>
      <c r="G134" s="259"/>
    </row>
    <row r="135" spans="2:7" hidden="1" outlineLevel="1" x14ac:dyDescent="0.2">
      <c r="B135" s="258" t="s">
        <v>434</v>
      </c>
      <c r="C135" s="259"/>
      <c r="D135" s="259"/>
      <c r="E135" s="259" t="s">
        <v>228</v>
      </c>
      <c r="F135" s="259" t="s">
        <v>228</v>
      </c>
      <c r="G135" s="259"/>
    </row>
    <row r="136" spans="2:7" hidden="1" outlineLevel="1" x14ac:dyDescent="0.2">
      <c r="B136" s="258" t="s">
        <v>435</v>
      </c>
      <c r="C136" s="259"/>
      <c r="D136" s="259"/>
      <c r="E136" s="259" t="s">
        <v>228</v>
      </c>
      <c r="F136" s="259" t="s">
        <v>228</v>
      </c>
      <c r="G136" s="259"/>
    </row>
    <row r="137" spans="2:7" ht="25.5" hidden="1" outlineLevel="1" x14ac:dyDescent="0.2">
      <c r="B137" s="258" t="s">
        <v>436</v>
      </c>
      <c r="C137" s="259"/>
      <c r="D137" s="259"/>
      <c r="E137" s="259"/>
      <c r="F137" s="259" t="s">
        <v>228</v>
      </c>
      <c r="G137" s="259"/>
    </row>
    <row r="138" spans="2:7" ht="25.5" hidden="1" outlineLevel="1" x14ac:dyDescent="0.2">
      <c r="B138" s="258" t="s">
        <v>437</v>
      </c>
      <c r="C138" s="259"/>
      <c r="D138" s="259"/>
      <c r="E138" s="259"/>
      <c r="F138" s="259"/>
      <c r="G138" s="259" t="s">
        <v>228</v>
      </c>
    </row>
    <row r="139" spans="2:7" ht="15.75" collapsed="1" x14ac:dyDescent="0.2">
      <c r="B139" s="260" t="s">
        <v>787</v>
      </c>
      <c r="C139" s="261"/>
      <c r="D139" s="261"/>
      <c r="E139" s="261"/>
      <c r="F139" s="261"/>
      <c r="G139" s="261"/>
    </row>
    <row r="140" spans="2:7" hidden="1" outlineLevel="1" x14ac:dyDescent="0.2">
      <c r="B140" s="258" t="s">
        <v>438</v>
      </c>
      <c r="C140" s="259" t="s">
        <v>228</v>
      </c>
      <c r="D140" s="259"/>
      <c r="E140" s="259"/>
      <c r="F140" s="259"/>
      <c r="G140" s="259"/>
    </row>
    <row r="141" spans="2:7" hidden="1" outlineLevel="1" x14ac:dyDescent="0.2">
      <c r="B141" s="258" t="s">
        <v>439</v>
      </c>
      <c r="C141" s="259"/>
      <c r="D141" s="259" t="s">
        <v>228</v>
      </c>
      <c r="E141" s="259"/>
      <c r="F141" s="259"/>
      <c r="G141" s="259"/>
    </row>
    <row r="142" spans="2:7" ht="25.5" hidden="1" outlineLevel="1" x14ac:dyDescent="0.2">
      <c r="B142" s="258" t="s">
        <v>440</v>
      </c>
      <c r="C142" s="259"/>
      <c r="D142" s="259"/>
      <c r="E142" s="259" t="s">
        <v>228</v>
      </c>
      <c r="F142" s="259"/>
      <c r="G142" s="259"/>
    </row>
    <row r="143" spans="2:7" ht="38.25" hidden="1" outlineLevel="1" x14ac:dyDescent="0.2">
      <c r="B143" s="258" t="s">
        <v>441</v>
      </c>
      <c r="C143" s="259"/>
      <c r="D143" s="259"/>
      <c r="E143" s="259"/>
      <c r="F143" s="259" t="s">
        <v>228</v>
      </c>
      <c r="G143" s="259"/>
    </row>
    <row r="144" spans="2:7" hidden="1" outlineLevel="1" x14ac:dyDescent="0.2">
      <c r="B144" s="258" t="s">
        <v>442</v>
      </c>
      <c r="C144" s="259"/>
      <c r="D144" s="259"/>
      <c r="E144" s="259"/>
      <c r="F144" s="259" t="s">
        <v>228</v>
      </c>
      <c r="G144" s="259" t="s">
        <v>228</v>
      </c>
    </row>
    <row r="145" spans="2:7" ht="15.75" collapsed="1" x14ac:dyDescent="0.2">
      <c r="B145" s="260" t="s">
        <v>788</v>
      </c>
      <c r="C145" s="261"/>
      <c r="D145" s="261"/>
      <c r="E145" s="261"/>
      <c r="F145" s="261"/>
      <c r="G145" s="261"/>
    </row>
    <row r="146" spans="2:7" hidden="1" outlineLevel="1" x14ac:dyDescent="0.2">
      <c r="B146" s="258" t="s">
        <v>443</v>
      </c>
      <c r="C146" s="259" t="s">
        <v>228</v>
      </c>
      <c r="D146" s="259"/>
      <c r="E146" s="259"/>
      <c r="F146" s="259"/>
      <c r="G146" s="259"/>
    </row>
    <row r="147" spans="2:7" hidden="1" outlineLevel="1" x14ac:dyDescent="0.2">
      <c r="B147" s="258" t="s">
        <v>444</v>
      </c>
      <c r="C147" s="259"/>
      <c r="D147" s="259" t="s">
        <v>228</v>
      </c>
      <c r="E147" s="259"/>
      <c r="F147" s="259"/>
      <c r="G147" s="259"/>
    </row>
    <row r="148" spans="2:7" ht="25.5" hidden="1" outlineLevel="1" x14ac:dyDescent="0.2">
      <c r="B148" s="258" t="s">
        <v>445</v>
      </c>
      <c r="C148" s="259"/>
      <c r="D148" s="259"/>
      <c r="E148" s="259" t="s">
        <v>228</v>
      </c>
      <c r="F148" s="259"/>
      <c r="G148" s="259"/>
    </row>
    <row r="149" spans="2:7" hidden="1" outlineLevel="1" x14ac:dyDescent="0.2">
      <c r="B149" s="258" t="s">
        <v>446</v>
      </c>
      <c r="C149" s="259"/>
      <c r="D149" s="259"/>
      <c r="E149" s="259"/>
      <c r="F149" s="259" t="s">
        <v>228</v>
      </c>
      <c r="G149" s="259"/>
    </row>
    <row r="150" spans="2:7" hidden="1" outlineLevel="1" x14ac:dyDescent="0.2">
      <c r="B150" s="258" t="s">
        <v>447</v>
      </c>
      <c r="C150" s="259"/>
      <c r="D150" s="259"/>
      <c r="E150" s="259" t="s">
        <v>228</v>
      </c>
      <c r="F150" s="259"/>
      <c r="G150" s="259"/>
    </row>
    <row r="151" spans="2:7" hidden="1" outlineLevel="1" x14ac:dyDescent="0.2">
      <c r="B151" s="258" t="s">
        <v>448</v>
      </c>
      <c r="C151" s="259"/>
      <c r="D151" s="259"/>
      <c r="E151" s="259"/>
      <c r="F151" s="259" t="s">
        <v>228</v>
      </c>
      <c r="G151" s="259"/>
    </row>
    <row r="152" spans="2:7" ht="25.5" hidden="1" outlineLevel="1" x14ac:dyDescent="0.2">
      <c r="B152" s="258" t="s">
        <v>449</v>
      </c>
      <c r="C152" s="259"/>
      <c r="D152" s="259"/>
      <c r="E152" s="259"/>
      <c r="F152" s="259" t="s">
        <v>228</v>
      </c>
      <c r="G152" s="259"/>
    </row>
    <row r="153" spans="2:7" ht="25.5" hidden="1" outlineLevel="1" x14ac:dyDescent="0.2">
      <c r="B153" s="258" t="s">
        <v>450</v>
      </c>
      <c r="C153" s="259"/>
      <c r="D153" s="259"/>
      <c r="E153" s="259" t="s">
        <v>228</v>
      </c>
      <c r="F153" s="259"/>
      <c r="G153" s="259"/>
    </row>
    <row r="154" spans="2:7" ht="25.5" hidden="1" outlineLevel="1" x14ac:dyDescent="0.2">
      <c r="B154" s="258" t="s">
        <v>451</v>
      </c>
      <c r="C154" s="259"/>
      <c r="D154" s="259"/>
      <c r="E154" s="259"/>
      <c r="F154" s="259" t="s">
        <v>228</v>
      </c>
      <c r="G154" s="259"/>
    </row>
    <row r="155" spans="2:7" ht="15.75" collapsed="1" x14ac:dyDescent="0.2">
      <c r="B155" s="260" t="s">
        <v>789</v>
      </c>
      <c r="C155" s="261"/>
      <c r="D155" s="261"/>
      <c r="E155" s="261"/>
      <c r="F155" s="261"/>
      <c r="G155" s="261"/>
    </row>
    <row r="156" spans="2:7" hidden="1" outlineLevel="1" x14ac:dyDescent="0.2">
      <c r="B156" s="258" t="s">
        <v>452</v>
      </c>
      <c r="C156" s="259"/>
      <c r="D156" s="259" t="s">
        <v>228</v>
      </c>
      <c r="E156" s="259"/>
      <c r="F156" s="259"/>
      <c r="G156" s="259"/>
    </row>
    <row r="157" spans="2:7" hidden="1" outlineLevel="1" x14ac:dyDescent="0.2">
      <c r="B157" s="258" t="s">
        <v>453</v>
      </c>
      <c r="C157" s="259"/>
      <c r="D157" s="259"/>
      <c r="E157" s="259" t="s">
        <v>228</v>
      </c>
      <c r="F157" s="259" t="s">
        <v>228</v>
      </c>
      <c r="G157" s="259"/>
    </row>
    <row r="158" spans="2:7" hidden="1" outlineLevel="1" x14ac:dyDescent="0.2">
      <c r="B158" s="258" t="s">
        <v>454</v>
      </c>
      <c r="C158" s="259"/>
      <c r="D158" s="259"/>
      <c r="E158" s="259" t="s">
        <v>228</v>
      </c>
      <c r="F158" s="259" t="s">
        <v>228</v>
      </c>
      <c r="G158" s="259"/>
    </row>
    <row r="159" spans="2:7" ht="15.75" collapsed="1" x14ac:dyDescent="0.2">
      <c r="B159" s="260" t="s">
        <v>829</v>
      </c>
      <c r="C159" s="261"/>
      <c r="D159" s="261"/>
      <c r="E159" s="261"/>
      <c r="F159" s="261"/>
      <c r="G159" s="261"/>
    </row>
    <row r="160" spans="2:7" hidden="1" outlineLevel="1" x14ac:dyDescent="0.2">
      <c r="B160" s="258" t="s">
        <v>455</v>
      </c>
      <c r="C160" s="259"/>
      <c r="D160" s="259" t="s">
        <v>228</v>
      </c>
      <c r="E160" s="259"/>
      <c r="F160" s="259"/>
      <c r="G160" s="259"/>
    </row>
    <row r="161" spans="1:19" hidden="1" outlineLevel="1" x14ac:dyDescent="0.2">
      <c r="B161" s="258" t="s">
        <v>456</v>
      </c>
      <c r="C161" s="259"/>
      <c r="D161" s="259" t="s">
        <v>228</v>
      </c>
      <c r="E161" s="259" t="s">
        <v>228</v>
      </c>
      <c r="F161" s="259"/>
      <c r="G161" s="259"/>
    </row>
    <row r="162" spans="1:19" hidden="1" outlineLevel="1" x14ac:dyDescent="0.2">
      <c r="B162" s="258" t="s">
        <v>457</v>
      </c>
      <c r="C162" s="259"/>
      <c r="D162" s="259"/>
      <c r="E162" s="259" t="s">
        <v>228</v>
      </c>
      <c r="F162" s="259" t="s">
        <v>228</v>
      </c>
      <c r="G162" s="259"/>
    </row>
    <row r="163" spans="1:19" hidden="1" outlineLevel="1" x14ac:dyDescent="0.2">
      <c r="B163" s="258" t="s">
        <v>458</v>
      </c>
      <c r="C163" s="259"/>
      <c r="D163" s="259"/>
      <c r="E163" s="259"/>
      <c r="F163" s="259" t="s">
        <v>228</v>
      </c>
      <c r="G163" s="259"/>
    </row>
    <row r="164" spans="1:19" hidden="1" outlineLevel="1" x14ac:dyDescent="0.2">
      <c r="B164" s="258" t="s">
        <v>460</v>
      </c>
      <c r="C164" s="259"/>
      <c r="D164" s="259"/>
      <c r="E164" s="259"/>
      <c r="F164" s="259" t="s">
        <v>228</v>
      </c>
      <c r="G164" s="259" t="s">
        <v>228</v>
      </c>
    </row>
    <row r="165" spans="1:19" ht="15.75" x14ac:dyDescent="0.2">
      <c r="B165" s="260" t="s">
        <v>783</v>
      </c>
      <c r="C165" s="449"/>
      <c r="D165" s="449"/>
      <c r="E165" s="449"/>
      <c r="F165" s="449"/>
      <c r="G165" s="449"/>
    </row>
    <row r="166" spans="1:19" outlineLevel="1" x14ac:dyDescent="0.2">
      <c r="B166" s="258" t="s">
        <v>459</v>
      </c>
      <c r="C166" s="259"/>
      <c r="D166" s="259" t="s">
        <v>228</v>
      </c>
      <c r="E166" s="259"/>
      <c r="F166" s="259"/>
      <c r="G166" s="259"/>
    </row>
    <row r="167" spans="1:19" ht="15.75" collapsed="1" x14ac:dyDescent="0.2">
      <c r="B167" s="260" t="s">
        <v>798</v>
      </c>
      <c r="C167" s="261"/>
      <c r="D167" s="261"/>
      <c r="E167" s="261"/>
      <c r="F167" s="261"/>
      <c r="G167" s="261"/>
    </row>
    <row r="168" spans="1:19" hidden="1" outlineLevel="1" x14ac:dyDescent="0.2">
      <c r="B168" s="266" t="s">
        <v>461</v>
      </c>
      <c r="C168" s="259"/>
      <c r="D168" s="259"/>
      <c r="E168" s="259"/>
      <c r="F168" s="259" t="s">
        <v>228</v>
      </c>
      <c r="G168" s="259" t="s">
        <v>228</v>
      </c>
    </row>
    <row r="169" spans="1:19" hidden="1" outlineLevel="1" x14ac:dyDescent="0.2">
      <c r="B169" s="258" t="s">
        <v>462</v>
      </c>
      <c r="C169" s="259"/>
      <c r="D169" s="259"/>
      <c r="E169" s="259"/>
      <c r="F169" s="259" t="s">
        <v>228</v>
      </c>
      <c r="G169" s="259" t="s">
        <v>228</v>
      </c>
    </row>
    <row r="170" spans="1:19" ht="25.5" hidden="1" outlineLevel="1" x14ac:dyDescent="0.2">
      <c r="B170" s="258" t="s">
        <v>463</v>
      </c>
      <c r="C170" s="259"/>
      <c r="D170" s="259"/>
      <c r="E170" s="259"/>
      <c r="F170" s="259"/>
      <c r="G170" s="259" t="s">
        <v>228</v>
      </c>
    </row>
    <row r="171" spans="1:19" x14ac:dyDescent="0.2">
      <c r="I171" s="360"/>
      <c r="J171" s="360"/>
    </row>
    <row r="172" spans="1:19" ht="15.75" x14ac:dyDescent="0.25">
      <c r="A172" s="371"/>
      <c r="B172" s="371" t="s">
        <v>636</v>
      </c>
      <c r="C172" s="371"/>
      <c r="D172" s="371"/>
      <c r="E172" s="371"/>
      <c r="F172" s="371"/>
      <c r="G172" s="371"/>
      <c r="H172" s="370"/>
      <c r="I172" s="371" t="s">
        <v>629</v>
      </c>
      <c r="J172" s="370"/>
      <c r="P172" s="370"/>
      <c r="S172" s="373"/>
    </row>
    <row r="173" spans="1:19" ht="15.75" x14ac:dyDescent="0.25">
      <c r="A173" s="192" t="s">
        <v>3</v>
      </c>
      <c r="B173" s="194" t="s">
        <v>102</v>
      </c>
      <c r="C173" s="194"/>
      <c r="D173" s="194"/>
      <c r="E173" s="194"/>
      <c r="F173" s="251" t="s">
        <v>82</v>
      </c>
      <c r="G173" s="1012">
        <v>2</v>
      </c>
      <c r="I173" s="204" t="s">
        <v>84</v>
      </c>
      <c r="J173" s="204"/>
      <c r="K173" s="204" t="s">
        <v>191</v>
      </c>
      <c r="L173" s="204"/>
      <c r="M173" s="204"/>
      <c r="N173" s="204"/>
      <c r="O173" s="204"/>
    </row>
    <row r="174" spans="1:19" ht="15.75" x14ac:dyDescent="0.25">
      <c r="A174" s="195" t="s">
        <v>4</v>
      </c>
      <c r="B174" s="197" t="s">
        <v>103</v>
      </c>
      <c r="C174" s="197"/>
      <c r="D174" s="197"/>
      <c r="E174" s="197"/>
      <c r="F174" s="252" t="s">
        <v>82</v>
      </c>
      <c r="G174" s="1013">
        <v>2</v>
      </c>
      <c r="I174" s="205" t="s">
        <v>85</v>
      </c>
      <c r="J174" s="205"/>
      <c r="K174" s="205" t="s">
        <v>192</v>
      </c>
      <c r="L174" s="205"/>
      <c r="M174" s="205"/>
      <c r="N174" s="205"/>
      <c r="O174" s="205"/>
    </row>
    <row r="175" spans="1:19" ht="15.75" x14ac:dyDescent="0.25">
      <c r="A175" s="195" t="s">
        <v>5</v>
      </c>
      <c r="B175" s="197" t="s">
        <v>104</v>
      </c>
      <c r="C175" s="197"/>
      <c r="D175" s="197"/>
      <c r="E175" s="197"/>
      <c r="F175" s="252" t="s">
        <v>82</v>
      </c>
      <c r="G175" s="1013">
        <v>2</v>
      </c>
      <c r="I175" s="205" t="s">
        <v>86</v>
      </c>
      <c r="J175" s="205"/>
      <c r="K175" s="205" t="s">
        <v>193</v>
      </c>
      <c r="L175" s="205"/>
      <c r="M175" s="205"/>
      <c r="N175" s="205"/>
      <c r="O175" s="205"/>
    </row>
    <row r="176" spans="1:19" ht="15.75" x14ac:dyDescent="0.25">
      <c r="A176" s="195" t="s">
        <v>110</v>
      </c>
      <c r="B176" s="197" t="s">
        <v>105</v>
      </c>
      <c r="C176" s="197"/>
      <c r="D176" s="197"/>
      <c r="E176" s="197"/>
      <c r="F176" s="252" t="s">
        <v>82</v>
      </c>
      <c r="G176" s="1013">
        <v>2</v>
      </c>
      <c r="I176" s="205" t="s">
        <v>87</v>
      </c>
      <c r="J176" s="205"/>
      <c r="K176" s="205" t="s">
        <v>194</v>
      </c>
      <c r="L176" s="205"/>
      <c r="M176" s="205"/>
      <c r="N176" s="205"/>
      <c r="O176" s="205"/>
    </row>
    <row r="177" spans="1:26" ht="15.75" x14ac:dyDescent="0.25">
      <c r="A177" s="195" t="s">
        <v>111</v>
      </c>
      <c r="B177" s="197" t="s">
        <v>106</v>
      </c>
      <c r="C177" s="197"/>
      <c r="D177" s="197"/>
      <c r="E177" s="197"/>
      <c r="F177" s="252" t="s">
        <v>83</v>
      </c>
      <c r="G177" s="1013">
        <v>3</v>
      </c>
      <c r="I177" s="206" t="s">
        <v>88</v>
      </c>
      <c r="J177" s="206"/>
      <c r="K177" s="206" t="s">
        <v>195</v>
      </c>
      <c r="L177" s="206"/>
      <c r="M177" s="206"/>
      <c r="N177" s="206"/>
      <c r="O177" s="206"/>
    </row>
    <row r="178" spans="1:26" ht="15.75" x14ac:dyDescent="0.25">
      <c r="A178" s="198" t="s">
        <v>6</v>
      </c>
      <c r="B178" s="200" t="s">
        <v>107</v>
      </c>
      <c r="C178" s="200"/>
      <c r="D178" s="200"/>
      <c r="E178" s="200"/>
      <c r="F178" s="253" t="s">
        <v>83</v>
      </c>
      <c r="G178" s="1014">
        <v>3</v>
      </c>
    </row>
    <row r="179" spans="1:26" ht="15.75" x14ac:dyDescent="0.25">
      <c r="A179" s="82"/>
      <c r="B179" s="82"/>
      <c r="C179" s="82"/>
      <c r="D179" s="82"/>
      <c r="E179" s="82"/>
      <c r="F179" s="249" t="s">
        <v>112</v>
      </c>
      <c r="G179" s="188">
        <f>SUM(G173:G178)</f>
        <v>14</v>
      </c>
    </row>
    <row r="180" spans="1:26" ht="15.75" x14ac:dyDescent="0.2">
      <c r="B180" s="54" t="s">
        <v>216</v>
      </c>
      <c r="C180" s="52"/>
      <c r="D180" s="52"/>
      <c r="E180" s="52"/>
      <c r="F180" s="226" t="str">
        <f>IF(G179&lt;11,$I$173,IF(G179&lt;19,$I$174,IF(G179&lt;27,$I$175,IF(G179&lt;35,$I$176,IF(G179&lt;43,$I$177,"NAPAKA")))))</f>
        <v>Cenovni razred II</v>
      </c>
      <c r="G180" s="52"/>
    </row>
    <row r="182" spans="1:26" x14ac:dyDescent="0.2">
      <c r="K182">
        <v>100</v>
      </c>
    </row>
    <row r="183" spans="1:26" ht="51" x14ac:dyDescent="0.2">
      <c r="B183" s="232" t="s">
        <v>218</v>
      </c>
      <c r="C183" s="298" t="s">
        <v>223</v>
      </c>
      <c r="D183" s="298" t="s">
        <v>224</v>
      </c>
      <c r="E183" s="298" t="s">
        <v>225</v>
      </c>
      <c r="F183" s="298" t="s">
        <v>226</v>
      </c>
      <c r="G183" s="298" t="s">
        <v>227</v>
      </c>
      <c r="I183" s="369" t="s">
        <v>863</v>
      </c>
      <c r="J183" s="369" t="s">
        <v>864</v>
      </c>
      <c r="K183" s="254" t="s">
        <v>872</v>
      </c>
    </row>
    <row r="184" spans="1:26" ht="15.75" collapsed="1" x14ac:dyDescent="0.2">
      <c r="B184" s="273" t="s">
        <v>799</v>
      </c>
      <c r="C184" s="281"/>
      <c r="D184" s="281"/>
      <c r="E184" s="281"/>
      <c r="F184" s="281"/>
      <c r="G184" s="281"/>
    </row>
    <row r="185" spans="1:26" hidden="1" outlineLevel="1" x14ac:dyDescent="0.2">
      <c r="B185" s="269" t="s">
        <v>464</v>
      </c>
      <c r="C185" s="270" t="s">
        <v>228</v>
      </c>
      <c r="D185" s="271"/>
      <c r="E185" s="271"/>
      <c r="F185" s="271"/>
      <c r="G185" s="271"/>
      <c r="I185" s="448">
        <v>40</v>
      </c>
      <c r="J185" s="448">
        <v>80</v>
      </c>
      <c r="K185" s="658">
        <f>AVERAGE(I185,J185)-$K$182</f>
        <v>-40</v>
      </c>
    </row>
    <row r="186" spans="1:26" hidden="1" outlineLevel="1" x14ac:dyDescent="0.2">
      <c r="B186" s="269" t="s">
        <v>816</v>
      </c>
      <c r="C186" s="270" t="s">
        <v>228</v>
      </c>
      <c r="D186" s="271"/>
      <c r="E186" s="271"/>
      <c r="F186" s="271"/>
      <c r="G186" s="271"/>
      <c r="I186" s="448">
        <v>40</v>
      </c>
      <c r="J186" s="448">
        <v>60</v>
      </c>
      <c r="K186" s="658">
        <f t="shared" ref="K186:K232" si="121">AVERAGE(I186,J186)-$K$182</f>
        <v>-50</v>
      </c>
    </row>
    <row r="187" spans="1:26" ht="25.5" hidden="1" outlineLevel="1" x14ac:dyDescent="0.2">
      <c r="B187" s="269" t="s">
        <v>762</v>
      </c>
      <c r="C187" s="270" t="s">
        <v>228</v>
      </c>
      <c r="D187" s="270" t="s">
        <v>228</v>
      </c>
      <c r="E187" s="271"/>
      <c r="F187" s="271"/>
      <c r="G187" s="271"/>
      <c r="I187" s="448"/>
      <c r="J187" s="448"/>
      <c r="K187" s="658">
        <v>0</v>
      </c>
    </row>
    <row r="188" spans="1:26" ht="25.5" hidden="1" outlineLevel="1" x14ac:dyDescent="0.2">
      <c r="B188" s="269" t="s">
        <v>763</v>
      </c>
      <c r="C188" s="271"/>
      <c r="D188" s="271"/>
      <c r="E188" s="270" t="s">
        <v>228</v>
      </c>
      <c r="F188" s="271"/>
      <c r="G188" s="271"/>
      <c r="I188" s="448">
        <v>60</v>
      </c>
      <c r="J188" s="448">
        <v>120</v>
      </c>
      <c r="K188" s="658">
        <f t="shared" si="121"/>
        <v>-10</v>
      </c>
    </row>
    <row r="189" spans="1:26" ht="25.5" hidden="1" outlineLevel="1" x14ac:dyDescent="0.2">
      <c r="B189" s="269" t="s">
        <v>817</v>
      </c>
      <c r="C189" s="271"/>
      <c r="D189" s="271"/>
      <c r="E189" s="271"/>
      <c r="F189" s="270" t="s">
        <v>228</v>
      </c>
      <c r="G189" s="271"/>
      <c r="I189" s="448">
        <v>60</v>
      </c>
      <c r="J189" s="448">
        <v>120</v>
      </c>
      <c r="K189" s="658">
        <f t="shared" si="121"/>
        <v>-10</v>
      </c>
    </row>
    <row r="190" spans="1:26" ht="15.75" hidden="1" outlineLevel="1" x14ac:dyDescent="0.25">
      <c r="B190" s="269" t="s">
        <v>764</v>
      </c>
      <c r="C190" s="271"/>
      <c r="D190" s="270" t="s">
        <v>228</v>
      </c>
      <c r="E190" s="270" t="s">
        <v>228</v>
      </c>
      <c r="F190" s="271"/>
      <c r="G190" s="271"/>
      <c r="I190" s="448">
        <v>60</v>
      </c>
      <c r="J190" s="448">
        <v>120</v>
      </c>
      <c r="K190" s="658">
        <f t="shared" si="121"/>
        <v>-10</v>
      </c>
      <c r="Q190" s="64"/>
      <c r="R190" s="64"/>
      <c r="S190" s="64"/>
      <c r="T190" s="18"/>
      <c r="U190" s="18"/>
      <c r="V190" s="18"/>
      <c r="W190" s="18"/>
      <c r="X190" s="18"/>
      <c r="Y190" s="18"/>
      <c r="Z190" s="18"/>
    </row>
    <row r="191" spans="1:26" hidden="1" outlineLevel="1" x14ac:dyDescent="0.2">
      <c r="B191" s="269" t="s">
        <v>609</v>
      </c>
      <c r="C191" s="271"/>
      <c r="D191" s="271"/>
      <c r="E191" s="270" t="s">
        <v>228</v>
      </c>
      <c r="F191" s="271"/>
      <c r="G191" s="271"/>
      <c r="I191" s="448">
        <v>60</v>
      </c>
      <c r="J191" s="448">
        <v>120</v>
      </c>
      <c r="K191" s="658">
        <f t="shared" si="121"/>
        <v>-10</v>
      </c>
    </row>
    <row r="192" spans="1:26" ht="38.25" hidden="1" outlineLevel="1" x14ac:dyDescent="0.2">
      <c r="B192" s="272" t="s">
        <v>610</v>
      </c>
      <c r="C192" s="271" t="s">
        <v>228</v>
      </c>
      <c r="D192" s="271" t="s">
        <v>228</v>
      </c>
      <c r="E192" s="271"/>
      <c r="F192" s="271"/>
      <c r="G192" s="271"/>
      <c r="I192" s="448">
        <v>60</v>
      </c>
      <c r="J192" s="448">
        <v>120</v>
      </c>
      <c r="K192" s="658">
        <f t="shared" si="121"/>
        <v>-10</v>
      </c>
      <c r="U192" s="78"/>
      <c r="V192" s="78"/>
      <c r="W192" s="78"/>
      <c r="X192" s="78"/>
      <c r="Y192" s="78"/>
      <c r="Z192" s="78"/>
    </row>
    <row r="193" spans="2:26" hidden="1" outlineLevel="1" x14ac:dyDescent="0.2">
      <c r="B193" s="269" t="s">
        <v>772</v>
      </c>
      <c r="C193" s="271"/>
      <c r="D193" s="270"/>
      <c r="E193" s="270"/>
      <c r="F193" s="271" t="s">
        <v>228</v>
      </c>
      <c r="G193" s="271"/>
      <c r="I193" s="448">
        <v>60</v>
      </c>
      <c r="J193" s="448">
        <v>120</v>
      </c>
      <c r="K193" s="658">
        <f t="shared" si="121"/>
        <v>-10</v>
      </c>
    </row>
    <row r="194" spans="2:26" ht="16.5" collapsed="1" x14ac:dyDescent="0.2">
      <c r="B194" s="274" t="s">
        <v>800</v>
      </c>
      <c r="C194" s="282"/>
      <c r="D194" s="282"/>
      <c r="E194" s="282"/>
      <c r="F194" s="282"/>
      <c r="G194" s="282"/>
      <c r="I194" s="448"/>
      <c r="J194" s="448"/>
      <c r="K194" s="658">
        <v>0</v>
      </c>
      <c r="U194" s="78"/>
      <c r="V194" s="83"/>
      <c r="W194" s="78"/>
      <c r="X194" s="78"/>
      <c r="Y194" s="78"/>
      <c r="Z194" s="78"/>
    </row>
    <row r="195" spans="2:26" ht="16.5" hidden="1" outlineLevel="1" x14ac:dyDescent="0.2">
      <c r="B195" s="269" t="s">
        <v>768</v>
      </c>
      <c r="C195" s="271"/>
      <c r="D195" s="271" t="s">
        <v>228</v>
      </c>
      <c r="E195" s="271" t="s">
        <v>228</v>
      </c>
      <c r="F195" s="270"/>
      <c r="G195" s="271"/>
      <c r="I195" s="448">
        <v>60</v>
      </c>
      <c r="J195" s="448">
        <v>120</v>
      </c>
      <c r="K195" s="658">
        <f t="shared" si="121"/>
        <v>-10</v>
      </c>
      <c r="U195" s="78"/>
      <c r="V195" s="83"/>
      <c r="W195" s="78"/>
      <c r="X195" s="78"/>
      <c r="Y195" s="78"/>
      <c r="Z195" s="78"/>
    </row>
    <row r="196" spans="2:26" ht="16.5" hidden="1" outlineLevel="1" x14ac:dyDescent="0.2">
      <c r="B196" s="269" t="s">
        <v>766</v>
      </c>
      <c r="C196" s="271"/>
      <c r="D196" s="271"/>
      <c r="E196" s="271" t="s">
        <v>228</v>
      </c>
      <c r="F196" s="271" t="s">
        <v>228</v>
      </c>
      <c r="G196" s="271"/>
      <c r="I196" s="448">
        <v>120</v>
      </c>
      <c r="J196" s="448">
        <v>250</v>
      </c>
      <c r="K196" s="658">
        <f t="shared" si="121"/>
        <v>85</v>
      </c>
      <c r="U196" s="78"/>
      <c r="V196" s="83"/>
      <c r="W196" s="78"/>
      <c r="X196" s="78"/>
      <c r="Y196" s="78"/>
      <c r="Z196" s="78"/>
    </row>
    <row r="197" spans="2:26" ht="16.5" hidden="1" outlineLevel="1" x14ac:dyDescent="0.2">
      <c r="B197" s="269" t="s">
        <v>767</v>
      </c>
      <c r="C197" s="271"/>
      <c r="D197" s="271"/>
      <c r="E197" s="270" t="s">
        <v>228</v>
      </c>
      <c r="F197" s="270" t="s">
        <v>228</v>
      </c>
      <c r="G197" s="271"/>
      <c r="I197" s="448">
        <v>120</v>
      </c>
      <c r="J197" s="448">
        <v>250</v>
      </c>
      <c r="K197" s="658">
        <f t="shared" si="121"/>
        <v>85</v>
      </c>
      <c r="U197" s="78"/>
      <c r="V197" s="83"/>
      <c r="W197" s="78"/>
      <c r="X197" s="78"/>
      <c r="Y197" s="78"/>
      <c r="Z197" s="78"/>
    </row>
    <row r="198" spans="2:26" ht="25.5" hidden="1" outlineLevel="1" x14ac:dyDescent="0.2">
      <c r="B198" s="269" t="s">
        <v>769</v>
      </c>
      <c r="C198" s="271"/>
      <c r="D198" s="271"/>
      <c r="E198" s="271"/>
      <c r="F198" s="270" t="s">
        <v>228</v>
      </c>
      <c r="G198" s="271"/>
      <c r="I198" s="448"/>
      <c r="J198" s="448"/>
      <c r="K198" s="658">
        <v>0</v>
      </c>
      <c r="U198" s="78"/>
      <c r="V198" s="83"/>
      <c r="W198" s="78"/>
      <c r="X198" s="78"/>
      <c r="Y198" s="78"/>
      <c r="Z198" s="78"/>
    </row>
    <row r="199" spans="2:26" ht="25.5" hidden="1" outlineLevel="1" x14ac:dyDescent="0.2">
      <c r="B199" s="269" t="s">
        <v>777</v>
      </c>
      <c r="C199" s="271"/>
      <c r="D199" s="271"/>
      <c r="E199" s="271"/>
      <c r="F199" s="270" t="s">
        <v>228</v>
      </c>
      <c r="G199" s="271" t="s">
        <v>228</v>
      </c>
      <c r="I199" s="448">
        <v>120</v>
      </c>
      <c r="J199" s="448">
        <v>250</v>
      </c>
      <c r="K199" s="658">
        <f t="shared" si="121"/>
        <v>85</v>
      </c>
      <c r="U199" s="78"/>
      <c r="V199" s="83"/>
      <c r="W199" s="78"/>
      <c r="X199" s="78"/>
      <c r="Y199" s="78"/>
      <c r="Z199" s="78"/>
    </row>
    <row r="200" spans="2:26" ht="25.5" hidden="1" outlineLevel="1" x14ac:dyDescent="0.2">
      <c r="B200" s="269" t="s">
        <v>770</v>
      </c>
      <c r="C200" s="271"/>
      <c r="D200" s="271"/>
      <c r="E200" s="271"/>
      <c r="F200" s="270" t="s">
        <v>228</v>
      </c>
      <c r="G200" s="271" t="s">
        <v>228</v>
      </c>
      <c r="I200" s="448">
        <v>120</v>
      </c>
      <c r="J200" s="448">
        <v>250</v>
      </c>
      <c r="K200" s="658">
        <f t="shared" si="121"/>
        <v>85</v>
      </c>
      <c r="U200" s="78"/>
      <c r="V200" s="83"/>
      <c r="W200" s="78"/>
      <c r="X200" s="78"/>
      <c r="Y200" s="78"/>
      <c r="Z200" s="78"/>
    </row>
    <row r="201" spans="2:26" ht="16.5" hidden="1" outlineLevel="1" x14ac:dyDescent="0.2">
      <c r="B201" s="269" t="s">
        <v>776</v>
      </c>
      <c r="C201" s="271"/>
      <c r="D201" s="271"/>
      <c r="E201" s="271" t="s">
        <v>228</v>
      </c>
      <c r="F201" s="270" t="s">
        <v>228</v>
      </c>
      <c r="G201" s="271"/>
      <c r="I201" s="448">
        <v>120</v>
      </c>
      <c r="J201" s="448">
        <v>250</v>
      </c>
      <c r="K201" s="658">
        <f t="shared" si="121"/>
        <v>85</v>
      </c>
      <c r="U201" s="78"/>
      <c r="V201" s="83"/>
      <c r="W201" s="78"/>
      <c r="X201" s="78"/>
      <c r="Y201" s="78"/>
      <c r="Z201" s="78"/>
    </row>
    <row r="202" spans="2:26" ht="16.5" hidden="1" outlineLevel="1" x14ac:dyDescent="0.2">
      <c r="B202" s="269" t="s">
        <v>771</v>
      </c>
      <c r="C202" s="271"/>
      <c r="D202" s="271"/>
      <c r="E202" s="271"/>
      <c r="F202" s="270" t="s">
        <v>228</v>
      </c>
      <c r="G202" s="271" t="s">
        <v>228</v>
      </c>
      <c r="I202" s="448">
        <v>120</v>
      </c>
      <c r="J202" s="448">
        <v>250</v>
      </c>
      <c r="K202" s="658">
        <f t="shared" si="121"/>
        <v>85</v>
      </c>
      <c r="U202" s="78"/>
      <c r="V202" s="83"/>
      <c r="W202" s="78"/>
      <c r="X202" s="78"/>
      <c r="Y202" s="78"/>
      <c r="Z202" s="78"/>
    </row>
    <row r="203" spans="2:26" ht="25.5" hidden="1" outlineLevel="1" x14ac:dyDescent="0.2">
      <c r="B203" s="269" t="s">
        <v>765</v>
      </c>
      <c r="C203" s="271"/>
      <c r="D203" s="270" t="s">
        <v>228</v>
      </c>
      <c r="E203" s="271"/>
      <c r="F203" s="271"/>
      <c r="G203" s="271"/>
      <c r="I203" s="448">
        <v>60</v>
      </c>
      <c r="J203" s="448">
        <v>120</v>
      </c>
      <c r="K203" s="658">
        <f t="shared" si="121"/>
        <v>-10</v>
      </c>
      <c r="Q203" s="76"/>
      <c r="R203" s="76"/>
      <c r="S203" s="76"/>
      <c r="T203" s="76"/>
      <c r="U203" s="76"/>
      <c r="V203" s="76"/>
      <c r="W203" s="76"/>
      <c r="X203" s="76"/>
      <c r="Y203" s="76"/>
      <c r="Z203" s="76"/>
    </row>
    <row r="204" spans="2:26" ht="25.5" hidden="1" outlineLevel="1" x14ac:dyDescent="0.2">
      <c r="B204" s="269" t="s">
        <v>818</v>
      </c>
      <c r="C204" s="271"/>
      <c r="D204" s="271" t="s">
        <v>228</v>
      </c>
      <c r="E204" s="271" t="s">
        <v>228</v>
      </c>
      <c r="F204" s="271"/>
      <c r="G204" s="271"/>
      <c r="I204" s="448">
        <v>60</v>
      </c>
      <c r="J204" s="448">
        <v>120</v>
      </c>
      <c r="K204" s="658">
        <f t="shared" si="121"/>
        <v>-10</v>
      </c>
      <c r="Q204" s="76"/>
      <c r="R204" s="76"/>
      <c r="S204" s="76"/>
      <c r="T204" s="76"/>
      <c r="U204" s="76"/>
      <c r="V204" s="76"/>
      <c r="W204" s="76"/>
      <c r="X204" s="76"/>
      <c r="Y204" s="76"/>
      <c r="Z204" s="76"/>
    </row>
    <row r="205" spans="2:26" ht="25.5" hidden="1" outlineLevel="1" x14ac:dyDescent="0.2">
      <c r="B205" s="269" t="s">
        <v>622</v>
      </c>
      <c r="C205" s="271"/>
      <c r="D205" s="271"/>
      <c r="E205" s="270" t="s">
        <v>228</v>
      </c>
      <c r="F205" s="271"/>
      <c r="G205" s="271"/>
      <c r="I205" s="448">
        <v>60</v>
      </c>
      <c r="J205" s="448">
        <v>120</v>
      </c>
      <c r="K205" s="658">
        <f t="shared" si="121"/>
        <v>-10</v>
      </c>
    </row>
    <row r="206" spans="2:26" ht="51" hidden="1" outlineLevel="1" x14ac:dyDescent="0.2">
      <c r="B206" s="269" t="s">
        <v>623</v>
      </c>
      <c r="C206" s="271"/>
      <c r="D206" s="271"/>
      <c r="E206" s="270"/>
      <c r="F206" s="271" t="s">
        <v>228</v>
      </c>
      <c r="G206" s="271" t="s">
        <v>228</v>
      </c>
      <c r="I206" s="448">
        <v>120</v>
      </c>
      <c r="J206" s="448">
        <v>250</v>
      </c>
      <c r="K206" s="658">
        <f t="shared" si="121"/>
        <v>85</v>
      </c>
    </row>
    <row r="207" spans="2:26" hidden="1" outlineLevel="1" x14ac:dyDescent="0.2">
      <c r="B207" s="269" t="s">
        <v>773</v>
      </c>
      <c r="C207" s="271"/>
      <c r="D207" s="271"/>
      <c r="E207" s="271"/>
      <c r="F207" s="270" t="s">
        <v>228</v>
      </c>
      <c r="G207" s="271" t="s">
        <v>228</v>
      </c>
      <c r="I207" s="448">
        <v>120</v>
      </c>
      <c r="J207" s="448">
        <v>250</v>
      </c>
      <c r="K207" s="658">
        <f t="shared" si="121"/>
        <v>85</v>
      </c>
    </row>
    <row r="208" spans="2:26" ht="25.5" hidden="1" outlineLevel="1" x14ac:dyDescent="0.2">
      <c r="B208" s="269" t="s">
        <v>621</v>
      </c>
      <c r="C208" s="271"/>
      <c r="D208" s="271"/>
      <c r="E208" s="271"/>
      <c r="F208" s="271"/>
      <c r="G208" s="270" t="s">
        <v>228</v>
      </c>
      <c r="I208" s="448">
        <v>120</v>
      </c>
      <c r="J208" s="448">
        <v>250</v>
      </c>
      <c r="K208" s="658">
        <f t="shared" si="121"/>
        <v>85</v>
      </c>
    </row>
    <row r="209" spans="2:11" hidden="1" outlineLevel="1" x14ac:dyDescent="0.2">
      <c r="B209" s="269" t="s">
        <v>611</v>
      </c>
      <c r="C209" s="271"/>
      <c r="D209" s="271"/>
      <c r="E209" s="271" t="s">
        <v>228</v>
      </c>
      <c r="F209" s="270" t="s">
        <v>228</v>
      </c>
      <c r="G209" s="270"/>
      <c r="I209" s="448">
        <v>60</v>
      </c>
      <c r="J209" s="448">
        <v>120</v>
      </c>
      <c r="K209" s="658">
        <f t="shared" si="121"/>
        <v>-10</v>
      </c>
    </row>
    <row r="210" spans="2:11" ht="15.75" collapsed="1" x14ac:dyDescent="0.2">
      <c r="B210" s="274" t="s">
        <v>801</v>
      </c>
      <c r="C210" s="282"/>
      <c r="D210" s="282"/>
      <c r="E210" s="282"/>
      <c r="F210" s="282"/>
      <c r="G210" s="282"/>
      <c r="I210" s="448"/>
      <c r="J210" s="448"/>
      <c r="K210" s="658">
        <v>0</v>
      </c>
    </row>
    <row r="211" spans="2:11" hidden="1" outlineLevel="1" x14ac:dyDescent="0.2">
      <c r="B211" s="269" t="s">
        <v>465</v>
      </c>
      <c r="C211" s="271"/>
      <c r="D211" s="271"/>
      <c r="E211" s="271"/>
      <c r="F211" s="271"/>
      <c r="G211" s="270" t="s">
        <v>228</v>
      </c>
      <c r="I211" s="448"/>
      <c r="J211" s="448"/>
      <c r="K211" s="658">
        <v>0</v>
      </c>
    </row>
    <row r="212" spans="2:11" ht="25.5" hidden="1" outlineLevel="1" x14ac:dyDescent="0.2">
      <c r="B212" s="269" t="s">
        <v>819</v>
      </c>
      <c r="C212" s="271"/>
      <c r="D212" s="271"/>
      <c r="E212" s="271"/>
      <c r="F212" s="270" t="s">
        <v>228</v>
      </c>
      <c r="G212" s="270" t="s">
        <v>228</v>
      </c>
      <c r="I212" s="448"/>
      <c r="J212" s="448"/>
      <c r="K212" s="658">
        <v>0</v>
      </c>
    </row>
    <row r="213" spans="2:11" hidden="1" outlineLevel="1" x14ac:dyDescent="0.2">
      <c r="B213" s="269" t="s">
        <v>820</v>
      </c>
      <c r="C213" s="271"/>
      <c r="D213" s="271"/>
      <c r="E213" s="271"/>
      <c r="F213" s="270" t="s">
        <v>228</v>
      </c>
      <c r="G213" s="270" t="s">
        <v>228</v>
      </c>
      <c r="I213" s="448"/>
      <c r="J213" s="448"/>
      <c r="K213" s="658">
        <v>0</v>
      </c>
    </row>
    <row r="214" spans="2:11" hidden="1" outlineLevel="1" x14ac:dyDescent="0.2">
      <c r="B214" s="269" t="s">
        <v>821</v>
      </c>
      <c r="C214" s="271"/>
      <c r="D214" s="271"/>
      <c r="E214" s="271"/>
      <c r="F214" s="270" t="s">
        <v>228</v>
      </c>
      <c r="G214" s="270" t="s">
        <v>228</v>
      </c>
      <c r="I214" s="448"/>
      <c r="J214" s="448"/>
      <c r="K214" s="658">
        <v>0</v>
      </c>
    </row>
    <row r="215" spans="2:11" ht="15.75" collapsed="1" x14ac:dyDescent="0.2">
      <c r="B215" s="274" t="s">
        <v>802</v>
      </c>
      <c r="C215" s="282"/>
      <c r="D215" s="282"/>
      <c r="E215" s="282"/>
      <c r="F215" s="282"/>
      <c r="G215" s="282"/>
      <c r="I215" s="448"/>
      <c r="J215" s="448"/>
      <c r="K215" s="658">
        <v>0</v>
      </c>
    </row>
    <row r="216" spans="2:11" hidden="1" outlineLevel="1" x14ac:dyDescent="0.2">
      <c r="B216" s="269" t="s">
        <v>774</v>
      </c>
      <c r="C216" s="270" t="s">
        <v>228</v>
      </c>
      <c r="D216" s="270" t="s">
        <v>228</v>
      </c>
      <c r="E216" s="271"/>
      <c r="F216" s="271"/>
      <c r="G216" s="271"/>
      <c r="I216" s="448">
        <v>40</v>
      </c>
      <c r="J216" s="448">
        <v>60</v>
      </c>
      <c r="K216" s="658">
        <f t="shared" si="121"/>
        <v>-50</v>
      </c>
    </row>
    <row r="217" spans="2:11" hidden="1" outlineLevel="1" x14ac:dyDescent="0.2">
      <c r="B217" s="269" t="s">
        <v>612</v>
      </c>
      <c r="C217" s="271"/>
      <c r="D217" s="270"/>
      <c r="E217" s="271"/>
      <c r="F217" s="271" t="s">
        <v>228</v>
      </c>
      <c r="G217" s="271" t="s">
        <v>228</v>
      </c>
      <c r="I217" s="448"/>
      <c r="J217" s="448"/>
      <c r="K217" s="658">
        <v>0</v>
      </c>
    </row>
    <row r="218" spans="2:11" hidden="1" outlineLevel="1" x14ac:dyDescent="0.2">
      <c r="B218" s="269" t="s">
        <v>613</v>
      </c>
      <c r="C218" s="271"/>
      <c r="D218" s="270" t="s">
        <v>228</v>
      </c>
      <c r="E218" s="270"/>
      <c r="F218" s="271"/>
      <c r="G218" s="271"/>
      <c r="I218" s="448">
        <v>60</v>
      </c>
      <c r="J218" s="448">
        <v>120</v>
      </c>
      <c r="K218" s="658">
        <f t="shared" si="121"/>
        <v>-10</v>
      </c>
    </row>
    <row r="219" spans="2:11" ht="25.5" hidden="1" outlineLevel="1" x14ac:dyDescent="0.2">
      <c r="B219" s="269" t="s">
        <v>822</v>
      </c>
      <c r="C219" s="271"/>
      <c r="D219" s="271" t="s">
        <v>228</v>
      </c>
      <c r="E219" s="270" t="s">
        <v>228</v>
      </c>
      <c r="F219" s="271"/>
      <c r="G219" s="271"/>
      <c r="I219" s="448">
        <v>40</v>
      </c>
      <c r="J219" s="448">
        <v>80</v>
      </c>
      <c r="K219" s="658">
        <f t="shared" si="121"/>
        <v>-40</v>
      </c>
    </row>
    <row r="220" spans="2:11" ht="38.25" hidden="1" outlineLevel="1" x14ac:dyDescent="0.2">
      <c r="B220" s="269" t="s">
        <v>614</v>
      </c>
      <c r="C220" s="271"/>
      <c r="D220" s="271"/>
      <c r="E220" s="270" t="s">
        <v>228</v>
      </c>
      <c r="F220" s="270" t="s">
        <v>228</v>
      </c>
      <c r="G220" s="271"/>
      <c r="I220" s="448">
        <v>60</v>
      </c>
      <c r="J220" s="448">
        <v>120</v>
      </c>
      <c r="K220" s="658">
        <f t="shared" si="121"/>
        <v>-10</v>
      </c>
    </row>
    <row r="221" spans="2:11" ht="25.5" hidden="1" outlineLevel="1" x14ac:dyDescent="0.2">
      <c r="B221" s="269" t="s">
        <v>775</v>
      </c>
      <c r="C221" s="271"/>
      <c r="D221" s="271"/>
      <c r="E221" s="271" t="s">
        <v>228</v>
      </c>
      <c r="F221" s="270" t="s">
        <v>228</v>
      </c>
      <c r="G221" s="271"/>
      <c r="I221" s="448">
        <v>60</v>
      </c>
      <c r="J221" s="448">
        <v>120</v>
      </c>
      <c r="K221" s="658">
        <f t="shared" si="121"/>
        <v>-10</v>
      </c>
    </row>
    <row r="222" spans="2:11" hidden="1" outlineLevel="1" x14ac:dyDescent="0.2">
      <c r="B222" s="269" t="s">
        <v>466</v>
      </c>
      <c r="C222" s="271"/>
      <c r="D222" s="271"/>
      <c r="E222" s="271"/>
      <c r="F222" s="270" t="s">
        <v>228</v>
      </c>
      <c r="G222" s="271"/>
      <c r="I222" s="448">
        <v>120</v>
      </c>
      <c r="J222" s="448">
        <v>250</v>
      </c>
      <c r="K222" s="658">
        <f t="shared" si="121"/>
        <v>85</v>
      </c>
    </row>
    <row r="223" spans="2:11" ht="25.5" hidden="1" outlineLevel="1" x14ac:dyDescent="0.2">
      <c r="B223" s="269" t="s">
        <v>823</v>
      </c>
      <c r="C223" s="271"/>
      <c r="D223" s="271"/>
      <c r="E223" s="271"/>
      <c r="F223" s="270" t="s">
        <v>228</v>
      </c>
      <c r="G223" s="270" t="s">
        <v>228</v>
      </c>
      <c r="I223" s="448">
        <v>120</v>
      </c>
      <c r="J223" s="448">
        <v>250</v>
      </c>
      <c r="K223" s="658">
        <f t="shared" si="121"/>
        <v>85</v>
      </c>
    </row>
    <row r="224" spans="2:11" hidden="1" outlineLevel="1" x14ac:dyDescent="0.2">
      <c r="B224" s="269" t="s">
        <v>824</v>
      </c>
      <c r="C224" s="271"/>
      <c r="D224" s="271"/>
      <c r="E224" s="271"/>
      <c r="F224" s="270" t="s">
        <v>228</v>
      </c>
      <c r="G224" s="270" t="s">
        <v>228</v>
      </c>
      <c r="I224" s="448">
        <v>120</v>
      </c>
      <c r="J224" s="448">
        <v>250</v>
      </c>
      <c r="K224" s="658">
        <f t="shared" si="121"/>
        <v>85</v>
      </c>
    </row>
    <row r="225" spans="2:11" hidden="1" outlineLevel="1" x14ac:dyDescent="0.2">
      <c r="B225" s="269" t="s">
        <v>827</v>
      </c>
      <c r="C225" s="271"/>
      <c r="D225" s="271"/>
      <c r="E225" s="271"/>
      <c r="F225" s="270" t="s">
        <v>228</v>
      </c>
      <c r="G225" s="270" t="s">
        <v>228</v>
      </c>
      <c r="I225" s="448">
        <v>120</v>
      </c>
      <c r="J225" s="448">
        <v>250</v>
      </c>
      <c r="K225" s="658">
        <f t="shared" si="121"/>
        <v>85</v>
      </c>
    </row>
    <row r="226" spans="2:11" hidden="1" outlineLevel="1" x14ac:dyDescent="0.2">
      <c r="B226" s="269" t="s">
        <v>825</v>
      </c>
      <c r="C226" s="271"/>
      <c r="D226" s="271"/>
      <c r="E226" s="271"/>
      <c r="F226" s="270" t="s">
        <v>228</v>
      </c>
      <c r="G226" s="271"/>
      <c r="I226" s="448"/>
      <c r="J226" s="448"/>
      <c r="K226" s="658">
        <v>0</v>
      </c>
    </row>
    <row r="227" spans="2:11" ht="15.75" collapsed="1" x14ac:dyDescent="0.2">
      <c r="B227" s="274" t="s">
        <v>803</v>
      </c>
      <c r="C227" s="282"/>
      <c r="D227" s="282"/>
      <c r="E227" s="282"/>
      <c r="F227" s="282"/>
      <c r="G227" s="282"/>
      <c r="I227" s="448"/>
      <c r="J227" s="448"/>
      <c r="K227" s="658">
        <v>0</v>
      </c>
    </row>
    <row r="228" spans="2:11" hidden="1" outlineLevel="1" x14ac:dyDescent="0.2">
      <c r="B228" s="269" t="s">
        <v>467</v>
      </c>
      <c r="C228" s="271"/>
      <c r="D228" s="271"/>
      <c r="E228" s="271"/>
      <c r="F228" s="270" t="s">
        <v>228</v>
      </c>
      <c r="G228" s="271"/>
      <c r="I228" s="448"/>
      <c r="J228" s="448"/>
      <c r="K228" s="658">
        <v>0</v>
      </c>
    </row>
    <row r="229" spans="2:11" hidden="1" outlineLevel="1" x14ac:dyDescent="0.2">
      <c r="B229" s="269" t="s">
        <v>615</v>
      </c>
      <c r="C229" s="271"/>
      <c r="D229" s="271"/>
      <c r="E229" s="270" t="s">
        <v>228</v>
      </c>
      <c r="F229" s="270" t="s">
        <v>228</v>
      </c>
      <c r="G229" s="271"/>
      <c r="I229" s="448"/>
      <c r="J229" s="448"/>
      <c r="K229" s="658">
        <v>0</v>
      </c>
    </row>
    <row r="230" spans="2:11" ht="25.5" hidden="1" outlineLevel="1" x14ac:dyDescent="0.2">
      <c r="B230" s="269" t="s">
        <v>826</v>
      </c>
      <c r="C230" s="271"/>
      <c r="D230" s="271"/>
      <c r="E230" s="271" t="s">
        <v>228</v>
      </c>
      <c r="F230" s="270" t="s">
        <v>228</v>
      </c>
      <c r="G230" s="270"/>
      <c r="I230" s="448">
        <v>60</v>
      </c>
      <c r="J230" s="448">
        <v>120</v>
      </c>
      <c r="K230" s="658">
        <f t="shared" si="121"/>
        <v>-10</v>
      </c>
    </row>
    <row r="231" spans="2:11" ht="25.5" hidden="1" outlineLevel="1" x14ac:dyDescent="0.2">
      <c r="B231" s="269" t="s">
        <v>468</v>
      </c>
      <c r="C231" s="271"/>
      <c r="D231" s="271"/>
      <c r="E231" s="271"/>
      <c r="F231" s="270" t="s">
        <v>228</v>
      </c>
      <c r="G231" s="270" t="s">
        <v>228</v>
      </c>
      <c r="I231" s="448">
        <v>120</v>
      </c>
      <c r="J231" s="448">
        <v>250</v>
      </c>
      <c r="K231" s="658">
        <f t="shared" si="121"/>
        <v>85</v>
      </c>
    </row>
    <row r="232" spans="2:11" hidden="1" outlineLevel="1" x14ac:dyDescent="0.2">
      <c r="B232" s="269" t="s">
        <v>616</v>
      </c>
      <c r="C232" s="271"/>
      <c r="D232" s="271"/>
      <c r="E232" s="271"/>
      <c r="F232" s="270"/>
      <c r="G232" s="270" t="s">
        <v>228</v>
      </c>
      <c r="I232" s="448">
        <v>120</v>
      </c>
      <c r="J232" s="448">
        <v>250</v>
      </c>
      <c r="K232" s="658">
        <f t="shared" si="121"/>
        <v>85</v>
      </c>
    </row>
    <row r="233" spans="2:11" ht="25.5" hidden="1" outlineLevel="1" x14ac:dyDescent="0.2">
      <c r="B233" s="269" t="s">
        <v>617</v>
      </c>
      <c r="C233" s="271"/>
      <c r="D233" s="271"/>
      <c r="E233" s="271"/>
      <c r="F233" s="270" t="s">
        <v>228</v>
      </c>
      <c r="G233" s="270"/>
      <c r="I233" s="448"/>
      <c r="J233" s="448"/>
      <c r="K233" s="658">
        <v>0</v>
      </c>
    </row>
    <row r="234" spans="2:11" ht="25.5" hidden="1" outlineLevel="1" x14ac:dyDescent="0.2">
      <c r="B234" s="269" t="s">
        <v>618</v>
      </c>
      <c r="C234" s="271"/>
      <c r="D234" s="271"/>
      <c r="E234" s="271" t="s">
        <v>228</v>
      </c>
      <c r="F234" s="271" t="s">
        <v>228</v>
      </c>
      <c r="G234" s="270"/>
      <c r="I234" s="448"/>
      <c r="J234" s="448"/>
      <c r="K234" s="658">
        <v>0</v>
      </c>
    </row>
    <row r="235" spans="2:11" hidden="1" outlineLevel="1" x14ac:dyDescent="0.2">
      <c r="B235" s="269" t="s">
        <v>619</v>
      </c>
      <c r="C235" s="271"/>
      <c r="D235" s="271"/>
      <c r="E235" s="271"/>
      <c r="F235" s="270"/>
      <c r="G235" s="271" t="s">
        <v>228</v>
      </c>
      <c r="I235" s="448"/>
      <c r="J235" s="448"/>
      <c r="K235" s="658">
        <v>0</v>
      </c>
    </row>
    <row r="236" spans="2:11" hidden="1" outlineLevel="1" x14ac:dyDescent="0.2">
      <c r="B236" s="269" t="s">
        <v>620</v>
      </c>
      <c r="C236" s="271"/>
      <c r="D236" s="271" t="s">
        <v>228</v>
      </c>
      <c r="E236" s="271" t="s">
        <v>228</v>
      </c>
      <c r="F236" s="271"/>
      <c r="G236" s="270"/>
      <c r="I236" s="448"/>
      <c r="J236" s="448"/>
      <c r="K236" s="658">
        <v>0</v>
      </c>
    </row>
    <row r="237" spans="2:11" ht="15.75" collapsed="1" x14ac:dyDescent="0.25">
      <c r="B237" s="275" t="s">
        <v>804</v>
      </c>
      <c r="C237" s="283"/>
      <c r="D237" s="283"/>
      <c r="E237" s="283"/>
      <c r="F237" s="283"/>
      <c r="G237" s="283"/>
      <c r="I237" s="448"/>
      <c r="J237" s="448"/>
      <c r="K237" s="658">
        <v>0</v>
      </c>
    </row>
    <row r="238" spans="2:11" ht="25.5" hidden="1" outlineLevel="1" x14ac:dyDescent="0.2">
      <c r="B238" s="269" t="s">
        <v>624</v>
      </c>
      <c r="C238" s="271"/>
      <c r="D238" s="271"/>
      <c r="E238" s="270"/>
      <c r="F238" s="271" t="s">
        <v>228</v>
      </c>
      <c r="G238" s="271" t="s">
        <v>228</v>
      </c>
      <c r="I238" s="448"/>
      <c r="J238" s="448"/>
      <c r="K238" s="658">
        <v>0</v>
      </c>
    </row>
    <row r="239" spans="2:11" ht="25.5" hidden="1" outlineLevel="1" x14ac:dyDescent="0.2">
      <c r="B239" s="269" t="s">
        <v>625</v>
      </c>
      <c r="C239" s="271"/>
      <c r="D239" s="271"/>
      <c r="E239" s="270"/>
      <c r="F239" s="271" t="s">
        <v>228</v>
      </c>
      <c r="G239" s="271" t="s">
        <v>228</v>
      </c>
      <c r="I239" s="448"/>
      <c r="J239" s="448"/>
      <c r="K239" s="658">
        <v>0</v>
      </c>
    </row>
    <row r="240" spans="2:11" ht="25.5" hidden="1" outlineLevel="1" x14ac:dyDescent="0.2">
      <c r="B240" s="269" t="s">
        <v>626</v>
      </c>
      <c r="C240" s="271"/>
      <c r="D240" s="271"/>
      <c r="E240" s="270" t="s">
        <v>228</v>
      </c>
      <c r="F240" s="271" t="s">
        <v>228</v>
      </c>
      <c r="G240" s="271"/>
      <c r="I240" s="448"/>
      <c r="J240" s="448"/>
      <c r="K240" s="658">
        <v>0</v>
      </c>
    </row>
    <row r="241" spans="1:16" hidden="1" outlineLevel="1" x14ac:dyDescent="0.2">
      <c r="B241" s="269" t="s">
        <v>627</v>
      </c>
      <c r="C241" s="271"/>
      <c r="D241" s="271"/>
      <c r="E241" s="271" t="s">
        <v>228</v>
      </c>
      <c r="F241" s="270"/>
      <c r="G241" s="270"/>
      <c r="I241" s="448"/>
      <c r="J241" s="448"/>
      <c r="K241" s="658">
        <v>0</v>
      </c>
    </row>
    <row r="242" spans="1:16" ht="25.5" hidden="1" outlineLevel="1" x14ac:dyDescent="0.2">
      <c r="B242" s="452" t="s">
        <v>778</v>
      </c>
      <c r="C242" s="453"/>
      <c r="D242" s="453"/>
      <c r="E242" s="453" t="s">
        <v>228</v>
      </c>
      <c r="F242" s="454"/>
      <c r="G242" s="454"/>
      <c r="I242" s="451"/>
      <c r="J242" s="451"/>
      <c r="K242" s="658">
        <v>0</v>
      </c>
    </row>
    <row r="244" spans="1:16" ht="15.75" x14ac:dyDescent="0.25">
      <c r="A244" s="371"/>
      <c r="B244" s="371" t="s">
        <v>637</v>
      </c>
      <c r="C244" s="371"/>
      <c r="D244" s="371"/>
      <c r="E244" s="371"/>
      <c r="F244" s="371"/>
      <c r="G244" s="371"/>
      <c r="H244" s="370"/>
      <c r="I244" s="371" t="s">
        <v>630</v>
      </c>
      <c r="J244" s="373"/>
      <c r="K244" s="373"/>
      <c r="L244" s="373"/>
      <c r="M244" s="373"/>
      <c r="N244" s="373"/>
      <c r="P244" s="370"/>
    </row>
    <row r="245" spans="1:16" ht="15.75" x14ac:dyDescent="0.25">
      <c r="A245" s="192" t="s">
        <v>3</v>
      </c>
      <c r="B245" s="194" t="s">
        <v>108</v>
      </c>
      <c r="C245" s="194"/>
      <c r="D245" s="194"/>
      <c r="E245" s="194"/>
      <c r="F245" s="251" t="s">
        <v>115</v>
      </c>
      <c r="G245" s="1012">
        <v>5</v>
      </c>
      <c r="I245" s="204" t="s">
        <v>84</v>
      </c>
      <c r="J245" s="204"/>
      <c r="K245" s="204" t="s">
        <v>196</v>
      </c>
      <c r="L245" s="204"/>
      <c r="M245" s="204"/>
      <c r="N245" s="204"/>
      <c r="O245" s="204"/>
    </row>
    <row r="246" spans="1:16" ht="15.75" x14ac:dyDescent="0.25">
      <c r="A246" s="195" t="s">
        <v>4</v>
      </c>
      <c r="B246" s="197" t="s">
        <v>186</v>
      </c>
      <c r="C246" s="197"/>
      <c r="D246" s="197"/>
      <c r="E246" s="197"/>
      <c r="F246" s="252" t="s">
        <v>115</v>
      </c>
      <c r="G246" s="1013">
        <v>5</v>
      </c>
      <c r="I246" s="205" t="s">
        <v>85</v>
      </c>
      <c r="J246" s="205"/>
      <c r="K246" s="205" t="s">
        <v>197</v>
      </c>
      <c r="L246" s="205"/>
      <c r="M246" s="205"/>
      <c r="N246" s="205"/>
      <c r="O246" s="205"/>
    </row>
    <row r="247" spans="1:16" ht="15.75" x14ac:dyDescent="0.25">
      <c r="A247" s="195" t="s">
        <v>5</v>
      </c>
      <c r="B247" s="197" t="s">
        <v>102</v>
      </c>
      <c r="C247" s="197"/>
      <c r="D247" s="197"/>
      <c r="E247" s="197"/>
      <c r="F247" s="252" t="s">
        <v>82</v>
      </c>
      <c r="G247" s="1013">
        <v>2</v>
      </c>
      <c r="I247" s="205" t="s">
        <v>86</v>
      </c>
      <c r="J247" s="205"/>
      <c r="K247" s="205" t="s">
        <v>198</v>
      </c>
      <c r="L247" s="205"/>
      <c r="M247" s="205"/>
      <c r="N247" s="205"/>
      <c r="O247" s="205"/>
    </row>
    <row r="248" spans="1:16" ht="15.75" x14ac:dyDescent="0.25">
      <c r="A248" s="195" t="s">
        <v>110</v>
      </c>
      <c r="B248" s="197" t="s">
        <v>113</v>
      </c>
      <c r="C248" s="197"/>
      <c r="D248" s="197"/>
      <c r="E248" s="197"/>
      <c r="F248" s="252" t="s">
        <v>115</v>
      </c>
      <c r="G248" s="1013">
        <v>2</v>
      </c>
      <c r="I248" s="205" t="s">
        <v>87</v>
      </c>
      <c r="J248" s="205"/>
      <c r="K248" s="205" t="s">
        <v>199</v>
      </c>
      <c r="L248" s="205"/>
      <c r="M248" s="205"/>
      <c r="N248" s="205"/>
      <c r="O248" s="205"/>
    </row>
    <row r="249" spans="1:16" ht="15.75" x14ac:dyDescent="0.25">
      <c r="A249" s="198" t="s">
        <v>111</v>
      </c>
      <c r="B249" s="200" t="s">
        <v>114</v>
      </c>
      <c r="C249" s="200"/>
      <c r="D249" s="200"/>
      <c r="E249" s="200"/>
      <c r="F249" s="253" t="s">
        <v>82</v>
      </c>
      <c r="G249" s="1014">
        <v>4</v>
      </c>
      <c r="I249" s="206" t="s">
        <v>88</v>
      </c>
      <c r="J249" s="206"/>
      <c r="K249" s="206" t="s">
        <v>200</v>
      </c>
      <c r="L249" s="206"/>
      <c r="M249" s="206"/>
      <c r="N249" s="206"/>
      <c r="O249" s="206"/>
    </row>
    <row r="250" spans="1:16" ht="15.75" x14ac:dyDescent="0.25">
      <c r="A250" s="82"/>
      <c r="B250" s="82"/>
      <c r="C250" s="82"/>
      <c r="D250" s="82"/>
      <c r="E250" s="82"/>
      <c r="F250" s="249" t="s">
        <v>116</v>
      </c>
      <c r="G250" s="188">
        <f>SUM(G245:G249)</f>
        <v>18</v>
      </c>
    </row>
    <row r="251" spans="1:16" ht="15.75" x14ac:dyDescent="0.2">
      <c r="B251" s="54" t="s">
        <v>216</v>
      </c>
      <c r="C251" s="52"/>
      <c r="D251" s="52"/>
      <c r="E251" s="52"/>
      <c r="F251" s="250" t="str">
        <f>IF(G250&lt;9,I245,IF(G250&lt;16,I246,IF(G250&lt;23,I247,IF(G250&lt;30,I248,IF(G250&lt;37,I249,"NAPAKA")))))</f>
        <v>Cenovni razred III</v>
      </c>
      <c r="G251" s="52"/>
    </row>
    <row r="258" spans="2:7" ht="15.75" x14ac:dyDescent="0.25">
      <c r="B258" s="265" t="s">
        <v>475</v>
      </c>
      <c r="C258" s="298" t="s">
        <v>223</v>
      </c>
      <c r="D258" s="298" t="s">
        <v>224</v>
      </c>
      <c r="E258" s="298" t="s">
        <v>225</v>
      </c>
      <c r="F258" s="298" t="s">
        <v>226</v>
      </c>
      <c r="G258" s="298" t="s">
        <v>227</v>
      </c>
    </row>
    <row r="259" spans="2:7" ht="15.75" x14ac:dyDescent="0.2">
      <c r="B259" s="1325" t="s">
        <v>805</v>
      </c>
      <c r="C259" s="1325"/>
      <c r="D259" s="1325"/>
      <c r="E259" s="1325"/>
      <c r="F259" s="1325"/>
      <c r="G259" s="1325"/>
    </row>
    <row r="260" spans="2:7" ht="15" outlineLevel="1" x14ac:dyDescent="0.2">
      <c r="B260" s="276" t="s">
        <v>812</v>
      </c>
      <c r="C260" s="277" t="s">
        <v>228</v>
      </c>
      <c r="D260" s="284"/>
      <c r="E260" s="277"/>
      <c r="F260" s="284"/>
      <c r="G260" s="284"/>
    </row>
    <row r="261" spans="2:7" ht="33" customHeight="1" collapsed="1" x14ac:dyDescent="0.2">
      <c r="B261" s="1323" t="s">
        <v>806</v>
      </c>
      <c r="C261" s="1323"/>
      <c r="D261" s="1323"/>
      <c r="E261" s="1323"/>
      <c r="F261" s="1323"/>
      <c r="G261" s="1323"/>
    </row>
    <row r="262" spans="2:7" ht="15" hidden="1" outlineLevel="1" x14ac:dyDescent="0.2">
      <c r="B262" s="276" t="s">
        <v>318</v>
      </c>
      <c r="C262" s="284"/>
      <c r="D262" s="277" t="s">
        <v>228</v>
      </c>
      <c r="E262" s="284"/>
      <c r="F262" s="284"/>
      <c r="G262" s="284"/>
    </row>
    <row r="263" spans="2:7" ht="15" hidden="1" outlineLevel="1" x14ac:dyDescent="0.2">
      <c r="B263" s="276" t="s">
        <v>319</v>
      </c>
      <c r="C263" s="284"/>
      <c r="D263" s="277" t="s">
        <v>228</v>
      </c>
      <c r="E263" s="284"/>
      <c r="F263" s="284"/>
      <c r="G263" s="284"/>
    </row>
    <row r="264" spans="2:7" ht="15" hidden="1" outlineLevel="1" x14ac:dyDescent="0.2">
      <c r="B264" s="276" t="s">
        <v>287</v>
      </c>
      <c r="C264" s="284"/>
      <c r="D264" s="284"/>
      <c r="E264" s="277" t="s">
        <v>228</v>
      </c>
      <c r="F264" s="284"/>
      <c r="G264" s="284"/>
    </row>
    <row r="265" spans="2:7" ht="15" hidden="1" outlineLevel="1" x14ac:dyDescent="0.2">
      <c r="B265" s="276" t="s">
        <v>288</v>
      </c>
      <c r="C265" s="284"/>
      <c r="D265" s="284"/>
      <c r="E265" s="284"/>
      <c r="F265" s="277" t="s">
        <v>228</v>
      </c>
      <c r="G265" s="284"/>
    </row>
    <row r="266" spans="2:7" ht="15" hidden="1" outlineLevel="1" x14ac:dyDescent="0.2">
      <c r="B266" s="276" t="s">
        <v>256</v>
      </c>
      <c r="C266" s="284"/>
      <c r="D266" s="284"/>
      <c r="E266" s="284"/>
      <c r="F266" s="285"/>
      <c r="G266" s="277" t="s">
        <v>228</v>
      </c>
    </row>
    <row r="267" spans="2:7" ht="33.75" customHeight="1" collapsed="1" x14ac:dyDescent="0.2">
      <c r="B267" s="1323" t="s">
        <v>807</v>
      </c>
      <c r="C267" s="1323"/>
      <c r="D267" s="1323"/>
      <c r="E267" s="1323"/>
      <c r="F267" s="1323"/>
      <c r="G267" s="1323"/>
    </row>
    <row r="268" spans="2:7" ht="25.5" hidden="1" outlineLevel="1" x14ac:dyDescent="0.2">
      <c r="B268" s="276" t="s">
        <v>469</v>
      </c>
      <c r="C268" s="284"/>
      <c r="D268" s="277" t="s">
        <v>228</v>
      </c>
      <c r="E268" s="284"/>
      <c r="F268" s="284"/>
      <c r="G268" s="284"/>
    </row>
    <row r="269" spans="2:7" ht="38.25" hidden="1" outlineLevel="1" x14ac:dyDescent="0.2">
      <c r="B269" s="276" t="s">
        <v>265</v>
      </c>
      <c r="C269" s="277" t="s">
        <v>228</v>
      </c>
      <c r="D269" s="284"/>
      <c r="E269" s="284"/>
      <c r="F269" s="284"/>
      <c r="G269" s="284"/>
    </row>
    <row r="270" spans="2:7" ht="25.5" hidden="1" outlineLevel="1" x14ac:dyDescent="0.2">
      <c r="B270" s="276" t="s">
        <v>264</v>
      </c>
      <c r="C270" s="284"/>
      <c r="D270" s="277" t="s">
        <v>228</v>
      </c>
      <c r="E270" s="284"/>
      <c r="F270" s="284"/>
      <c r="G270" s="284"/>
    </row>
    <row r="271" spans="2:7" ht="25.5" hidden="1" outlineLevel="1" x14ac:dyDescent="0.2">
      <c r="B271" s="276" t="s">
        <v>274</v>
      </c>
      <c r="C271" s="285"/>
      <c r="D271" s="284"/>
      <c r="E271" s="277" t="s">
        <v>228</v>
      </c>
      <c r="F271" s="284"/>
      <c r="G271" s="284"/>
    </row>
    <row r="272" spans="2:7" ht="51" hidden="1" outlineLevel="1" x14ac:dyDescent="0.2">
      <c r="B272" s="276" t="s">
        <v>289</v>
      </c>
      <c r="C272" s="284"/>
      <c r="D272" s="284"/>
      <c r="E272" s="284"/>
      <c r="F272" s="277" t="s">
        <v>228</v>
      </c>
      <c r="G272" s="284"/>
    </row>
    <row r="273" spans="2:7" ht="25.5" hidden="1" outlineLevel="1" x14ac:dyDescent="0.2">
      <c r="B273" s="276" t="s">
        <v>547</v>
      </c>
      <c r="C273" s="277" t="s">
        <v>228</v>
      </c>
      <c r="D273" s="284"/>
      <c r="E273" s="284"/>
      <c r="F273" s="284"/>
      <c r="G273" s="284"/>
    </row>
    <row r="274" spans="2:7" ht="38.25" hidden="1" outlineLevel="1" x14ac:dyDescent="0.2">
      <c r="B274" s="276" t="s">
        <v>548</v>
      </c>
      <c r="C274" s="285"/>
      <c r="D274" s="277" t="s">
        <v>228</v>
      </c>
      <c r="E274" s="284"/>
      <c r="F274" s="284"/>
      <c r="G274" s="284"/>
    </row>
    <row r="275" spans="2:7" ht="25.5" hidden="1" outlineLevel="1" x14ac:dyDescent="0.2">
      <c r="B275" s="276" t="s">
        <v>275</v>
      </c>
      <c r="C275" s="284"/>
      <c r="D275" s="284"/>
      <c r="E275" s="277" t="s">
        <v>228</v>
      </c>
      <c r="F275" s="284"/>
      <c r="G275" s="284"/>
    </row>
    <row r="276" spans="2:7" ht="15" hidden="1" outlineLevel="1" x14ac:dyDescent="0.2">
      <c r="B276" s="276" t="s">
        <v>290</v>
      </c>
      <c r="C276" s="284"/>
      <c r="D276" s="284"/>
      <c r="E276" s="284"/>
      <c r="F276" s="277" t="s">
        <v>228</v>
      </c>
      <c r="G276" s="284"/>
    </row>
    <row r="277" spans="2:7" ht="15" hidden="1" outlineLevel="1" x14ac:dyDescent="0.2">
      <c r="B277" s="276" t="s">
        <v>470</v>
      </c>
      <c r="C277" s="284"/>
      <c r="D277" s="284"/>
      <c r="E277" s="284"/>
      <c r="F277" s="284"/>
      <c r="G277" s="277" t="s">
        <v>228</v>
      </c>
    </row>
    <row r="278" spans="2:7" ht="15" hidden="1" outlineLevel="1" x14ac:dyDescent="0.2">
      <c r="B278" s="276" t="s">
        <v>266</v>
      </c>
      <c r="C278" s="284"/>
      <c r="D278" s="277" t="s">
        <v>228</v>
      </c>
      <c r="E278" s="284"/>
      <c r="F278" s="284"/>
      <c r="G278" s="284"/>
    </row>
    <row r="279" spans="2:7" ht="15" hidden="1" outlineLevel="1" x14ac:dyDescent="0.2">
      <c r="B279" s="276" t="s">
        <v>233</v>
      </c>
      <c r="C279" s="284"/>
      <c r="D279" s="284"/>
      <c r="E279" s="277" t="s">
        <v>228</v>
      </c>
      <c r="F279" s="284"/>
      <c r="G279" s="284"/>
    </row>
    <row r="280" spans="2:7" ht="15" hidden="1" outlineLevel="1" x14ac:dyDescent="0.2">
      <c r="B280" s="276" t="s">
        <v>291</v>
      </c>
      <c r="C280" s="284"/>
      <c r="D280" s="284"/>
      <c r="E280" s="284"/>
      <c r="F280" s="277" t="s">
        <v>228</v>
      </c>
      <c r="G280" s="284"/>
    </row>
    <row r="281" spans="2:7" ht="15" hidden="1" outlineLevel="1" x14ac:dyDescent="0.2">
      <c r="B281" s="276" t="s">
        <v>229</v>
      </c>
      <c r="C281" s="277" t="s">
        <v>228</v>
      </c>
      <c r="D281" s="284"/>
      <c r="E281" s="284"/>
      <c r="F281" s="284"/>
      <c r="G281" s="284"/>
    </row>
    <row r="282" spans="2:7" ht="15" hidden="1" outlineLevel="1" x14ac:dyDescent="0.2">
      <c r="B282" s="276" t="s">
        <v>267</v>
      </c>
      <c r="C282" s="284"/>
      <c r="D282" s="277" t="s">
        <v>228</v>
      </c>
      <c r="E282" s="284"/>
      <c r="F282" s="284"/>
      <c r="G282" s="284"/>
    </row>
    <row r="283" spans="2:7" ht="15" hidden="1" outlineLevel="1" x14ac:dyDescent="0.2">
      <c r="B283" s="276" t="s">
        <v>320</v>
      </c>
      <c r="C283" s="284"/>
      <c r="D283" s="284"/>
      <c r="E283" s="277" t="s">
        <v>228</v>
      </c>
      <c r="F283" s="284"/>
      <c r="G283" s="284"/>
    </row>
    <row r="284" spans="2:7" ht="15" hidden="1" outlineLevel="1" x14ac:dyDescent="0.2">
      <c r="B284" s="276" t="s">
        <v>321</v>
      </c>
      <c r="C284" s="284"/>
      <c r="D284" s="284"/>
      <c r="E284" s="284"/>
      <c r="F284" s="277" t="s">
        <v>228</v>
      </c>
      <c r="G284" s="284"/>
    </row>
    <row r="285" spans="2:7" ht="15" hidden="1" outlineLevel="1" x14ac:dyDescent="0.2">
      <c r="B285" s="276" t="s">
        <v>276</v>
      </c>
      <c r="C285" s="284"/>
      <c r="D285" s="277" t="s">
        <v>228</v>
      </c>
      <c r="E285" s="284"/>
      <c r="F285" s="284"/>
      <c r="G285" s="284"/>
    </row>
    <row r="286" spans="2:7" ht="15" hidden="1" outlineLevel="1" x14ac:dyDescent="0.2">
      <c r="B286" s="276" t="s">
        <v>234</v>
      </c>
      <c r="C286" s="284"/>
      <c r="D286" s="284"/>
      <c r="E286" s="277" t="s">
        <v>228</v>
      </c>
      <c r="F286" s="284"/>
      <c r="G286" s="284"/>
    </row>
    <row r="287" spans="2:7" ht="15" hidden="1" outlineLevel="1" x14ac:dyDescent="0.2">
      <c r="B287" s="276" t="s">
        <v>235</v>
      </c>
      <c r="C287" s="284"/>
      <c r="D287" s="284"/>
      <c r="E287" s="277" t="s">
        <v>228</v>
      </c>
      <c r="F287" s="284"/>
      <c r="G287" s="284"/>
    </row>
    <row r="288" spans="2:7" ht="15" hidden="1" outlineLevel="1" x14ac:dyDescent="0.2">
      <c r="B288" s="276" t="s">
        <v>244</v>
      </c>
      <c r="C288" s="284"/>
      <c r="D288" s="284"/>
      <c r="E288" s="284"/>
      <c r="F288" s="277" t="s">
        <v>228</v>
      </c>
      <c r="G288" s="284"/>
    </row>
    <row r="289" spans="2:7" ht="15" hidden="1" outlineLevel="1" x14ac:dyDescent="0.2">
      <c r="B289" s="276" t="s">
        <v>292</v>
      </c>
      <c r="C289" s="284"/>
      <c r="D289" s="284"/>
      <c r="E289" s="277" t="s">
        <v>228</v>
      </c>
      <c r="F289" s="284"/>
      <c r="G289" s="284"/>
    </row>
    <row r="290" spans="2:7" ht="15" hidden="1" outlineLevel="1" x14ac:dyDescent="0.2">
      <c r="B290" s="276" t="s">
        <v>293</v>
      </c>
      <c r="C290" s="284"/>
      <c r="D290" s="284"/>
      <c r="E290" s="284"/>
      <c r="F290" s="277" t="s">
        <v>228</v>
      </c>
      <c r="G290" s="284"/>
    </row>
    <row r="291" spans="2:7" ht="15" hidden="1" outlineLevel="1" x14ac:dyDescent="0.2">
      <c r="B291" s="276" t="s">
        <v>277</v>
      </c>
      <c r="C291" s="284"/>
      <c r="D291" s="284"/>
      <c r="E291" s="277" t="s">
        <v>228</v>
      </c>
      <c r="F291" s="284"/>
      <c r="G291" s="284"/>
    </row>
    <row r="292" spans="2:7" ht="15" hidden="1" outlineLevel="1" x14ac:dyDescent="0.2">
      <c r="B292" s="276" t="s">
        <v>245</v>
      </c>
      <c r="C292" s="284"/>
      <c r="D292" s="284"/>
      <c r="E292" s="284"/>
      <c r="F292" s="277" t="s">
        <v>228</v>
      </c>
      <c r="G292" s="284"/>
    </row>
    <row r="293" spans="2:7" ht="15" hidden="1" outlineLevel="1" x14ac:dyDescent="0.2">
      <c r="B293" s="276" t="s">
        <v>306</v>
      </c>
      <c r="C293" s="284"/>
      <c r="D293" s="284"/>
      <c r="E293" s="284"/>
      <c r="F293" s="284"/>
      <c r="G293" s="277" t="s">
        <v>228</v>
      </c>
    </row>
    <row r="294" spans="2:7" ht="15" hidden="1" outlineLevel="1" x14ac:dyDescent="0.2">
      <c r="B294" s="276" t="s">
        <v>294</v>
      </c>
      <c r="C294" s="284"/>
      <c r="D294" s="284"/>
      <c r="E294" s="277" t="s">
        <v>228</v>
      </c>
      <c r="F294" s="284"/>
      <c r="G294" s="284"/>
    </row>
    <row r="295" spans="2:7" ht="15" hidden="1" outlineLevel="1" x14ac:dyDescent="0.2">
      <c r="B295" s="276" t="s">
        <v>295</v>
      </c>
      <c r="C295" s="284"/>
      <c r="D295" s="284"/>
      <c r="E295" s="284"/>
      <c r="F295" s="277" t="s">
        <v>228</v>
      </c>
      <c r="G295" s="284"/>
    </row>
    <row r="296" spans="2:7" ht="15" hidden="1" outlineLevel="1" x14ac:dyDescent="0.2">
      <c r="B296" s="276" t="s">
        <v>307</v>
      </c>
      <c r="C296" s="284"/>
      <c r="D296" s="284"/>
      <c r="E296" s="284"/>
      <c r="F296" s="285"/>
      <c r="G296" s="277" t="s">
        <v>228</v>
      </c>
    </row>
    <row r="297" spans="2:7" ht="15" hidden="1" outlineLevel="1" x14ac:dyDescent="0.2">
      <c r="B297" s="258" t="s">
        <v>261</v>
      </c>
      <c r="C297" s="277" t="s">
        <v>228</v>
      </c>
      <c r="D297" s="284"/>
      <c r="E297" s="284"/>
      <c r="F297" s="284"/>
      <c r="G297" s="284"/>
    </row>
    <row r="298" spans="2:7" ht="25.5" hidden="1" outlineLevel="1" x14ac:dyDescent="0.2">
      <c r="B298" s="258" t="s">
        <v>308</v>
      </c>
      <c r="C298" s="285"/>
      <c r="D298" s="277" t="s">
        <v>228</v>
      </c>
      <c r="E298" s="284"/>
      <c r="F298" s="284"/>
      <c r="G298" s="284"/>
    </row>
    <row r="299" spans="2:7" ht="25.5" hidden="1" outlineLevel="1" x14ac:dyDescent="0.2">
      <c r="B299" s="258" t="s">
        <v>309</v>
      </c>
      <c r="C299" s="284"/>
      <c r="D299" s="284"/>
      <c r="E299" s="277" t="s">
        <v>228</v>
      </c>
      <c r="F299" s="284"/>
      <c r="G299" s="284"/>
    </row>
    <row r="300" spans="2:7" ht="25.5" hidden="1" outlineLevel="1" x14ac:dyDescent="0.2">
      <c r="B300" s="276" t="s">
        <v>310</v>
      </c>
      <c r="C300" s="284"/>
      <c r="D300" s="285"/>
      <c r="E300" s="284"/>
      <c r="F300" s="277" t="s">
        <v>228</v>
      </c>
      <c r="G300" s="284"/>
    </row>
    <row r="301" spans="2:7" ht="15" hidden="1" outlineLevel="1" x14ac:dyDescent="0.2">
      <c r="B301" s="276" t="s">
        <v>257</v>
      </c>
      <c r="C301" s="284"/>
      <c r="D301" s="284"/>
      <c r="E301" s="284"/>
      <c r="F301" s="284"/>
      <c r="G301" s="277" t="s">
        <v>228</v>
      </c>
    </row>
    <row r="302" spans="2:7" ht="15" hidden="1" outlineLevel="1" x14ac:dyDescent="0.2">
      <c r="B302" s="276" t="s">
        <v>268</v>
      </c>
      <c r="C302" s="277" t="s">
        <v>228</v>
      </c>
      <c r="D302" s="284"/>
      <c r="E302" s="284"/>
      <c r="F302" s="284"/>
      <c r="G302" s="284"/>
    </row>
    <row r="303" spans="2:7" ht="15" hidden="1" outlineLevel="1" x14ac:dyDescent="0.2">
      <c r="B303" s="276" t="s">
        <v>230</v>
      </c>
      <c r="C303" s="284"/>
      <c r="D303" s="277" t="s">
        <v>228</v>
      </c>
      <c r="E303" s="284"/>
      <c r="F303" s="284"/>
      <c r="G303" s="284"/>
    </row>
    <row r="304" spans="2:7" ht="15" hidden="1" outlineLevel="1" x14ac:dyDescent="0.2">
      <c r="B304" s="276" t="s">
        <v>236</v>
      </c>
      <c r="C304" s="284"/>
      <c r="D304" s="285"/>
      <c r="E304" s="277" t="s">
        <v>228</v>
      </c>
      <c r="F304" s="284"/>
      <c r="G304" s="284"/>
    </row>
    <row r="305" spans="2:7" ht="15" hidden="1" outlineLevel="1" x14ac:dyDescent="0.2">
      <c r="B305" s="276" t="s">
        <v>239</v>
      </c>
      <c r="C305" s="284"/>
      <c r="D305" s="284"/>
      <c r="E305" s="277" t="s">
        <v>228</v>
      </c>
      <c r="F305" s="284"/>
      <c r="G305" s="284"/>
    </row>
    <row r="306" spans="2:7" ht="15" hidden="1" outlineLevel="1" x14ac:dyDescent="0.2">
      <c r="B306" s="276" t="s">
        <v>246</v>
      </c>
      <c r="C306" s="284"/>
      <c r="D306" s="284"/>
      <c r="E306" s="284"/>
      <c r="F306" s="277" t="s">
        <v>228</v>
      </c>
      <c r="G306" s="284"/>
    </row>
    <row r="307" spans="2:7" ht="15" hidden="1" outlineLevel="1" x14ac:dyDescent="0.2">
      <c r="B307" s="276" t="s">
        <v>258</v>
      </c>
      <c r="C307" s="284"/>
      <c r="D307" s="284"/>
      <c r="E307" s="285"/>
      <c r="F307" s="284"/>
      <c r="G307" s="277" t="s">
        <v>228</v>
      </c>
    </row>
    <row r="308" spans="2:7" ht="15" hidden="1" outlineLevel="1" x14ac:dyDescent="0.2">
      <c r="B308" s="276" t="s">
        <v>231</v>
      </c>
      <c r="C308" s="284"/>
      <c r="D308" s="277" t="s">
        <v>228</v>
      </c>
      <c r="E308" s="284"/>
      <c r="F308" s="284"/>
      <c r="G308" s="284"/>
    </row>
    <row r="309" spans="2:7" ht="15" hidden="1" outlineLevel="1" x14ac:dyDescent="0.2">
      <c r="B309" s="276" t="s">
        <v>237</v>
      </c>
      <c r="C309" s="284"/>
      <c r="D309" s="284"/>
      <c r="E309" s="277" t="s">
        <v>228</v>
      </c>
      <c r="F309" s="284"/>
      <c r="G309" s="284"/>
    </row>
    <row r="310" spans="2:7" ht="15" hidden="1" outlineLevel="1" x14ac:dyDescent="0.2">
      <c r="B310" s="276" t="s">
        <v>247</v>
      </c>
      <c r="C310" s="284"/>
      <c r="D310" s="284"/>
      <c r="E310" s="284"/>
      <c r="F310" s="277" t="s">
        <v>228</v>
      </c>
      <c r="G310" s="284"/>
    </row>
    <row r="311" spans="2:7" ht="15" hidden="1" outlineLevel="1" x14ac:dyDescent="0.2">
      <c r="B311" s="276" t="s">
        <v>311</v>
      </c>
      <c r="C311" s="284"/>
      <c r="D311" s="284"/>
      <c r="E311" s="284"/>
      <c r="F311" s="284"/>
      <c r="G311" s="277" t="s">
        <v>228</v>
      </c>
    </row>
    <row r="312" spans="2:7" ht="15" hidden="1" outlineLevel="1" x14ac:dyDescent="0.2">
      <c r="B312" s="276" t="s">
        <v>238</v>
      </c>
      <c r="C312" s="284"/>
      <c r="D312" s="284"/>
      <c r="E312" s="277" t="s">
        <v>228</v>
      </c>
      <c r="F312" s="284"/>
      <c r="G312" s="284"/>
    </row>
    <row r="313" spans="2:7" ht="15" hidden="1" outlineLevel="1" x14ac:dyDescent="0.2">
      <c r="B313" s="276" t="s">
        <v>248</v>
      </c>
      <c r="C313" s="284"/>
      <c r="D313" s="284"/>
      <c r="E313" s="284"/>
      <c r="F313" s="277" t="s">
        <v>228</v>
      </c>
      <c r="G313" s="284"/>
    </row>
    <row r="314" spans="2:7" ht="15" hidden="1" outlineLevel="1" x14ac:dyDescent="0.2">
      <c r="B314" s="276" t="s">
        <v>312</v>
      </c>
      <c r="C314" s="284"/>
      <c r="D314" s="284"/>
      <c r="E314" s="284"/>
      <c r="F314" s="284"/>
      <c r="G314" s="277" t="s">
        <v>228</v>
      </c>
    </row>
    <row r="315" spans="2:7" ht="15.75" collapsed="1" x14ac:dyDescent="0.2">
      <c r="B315" s="1323" t="s">
        <v>808</v>
      </c>
      <c r="C315" s="1323"/>
      <c r="D315" s="1323"/>
      <c r="E315" s="1323"/>
      <c r="F315" s="1323"/>
      <c r="G315" s="1323"/>
    </row>
    <row r="316" spans="2:7" ht="15.75" hidden="1" outlineLevel="1" x14ac:dyDescent="0.2">
      <c r="B316" s="278"/>
      <c r="C316" s="278"/>
      <c r="D316" s="278"/>
      <c r="E316" s="278"/>
      <c r="F316" s="278"/>
      <c r="G316" s="278"/>
    </row>
    <row r="317" spans="2:7" ht="15.75" collapsed="1" x14ac:dyDescent="0.2">
      <c r="B317" s="1323" t="s">
        <v>809</v>
      </c>
      <c r="C317" s="1323"/>
      <c r="D317" s="1323"/>
      <c r="E317" s="1323"/>
      <c r="F317" s="1323"/>
      <c r="G317" s="1323"/>
    </row>
    <row r="318" spans="2:7" ht="25.5" hidden="1" outlineLevel="1" x14ac:dyDescent="0.2">
      <c r="B318" s="276" t="s">
        <v>269</v>
      </c>
      <c r="C318" s="277" t="s">
        <v>228</v>
      </c>
      <c r="D318" s="284"/>
      <c r="E318" s="284"/>
      <c r="F318" s="284"/>
      <c r="G318" s="284"/>
    </row>
    <row r="319" spans="2:7" ht="25.5" hidden="1" outlineLevel="1" x14ac:dyDescent="0.2">
      <c r="B319" s="276" t="s">
        <v>240</v>
      </c>
      <c r="C319" s="285"/>
      <c r="D319" s="277" t="s">
        <v>228</v>
      </c>
      <c r="E319" s="284"/>
      <c r="F319" s="284"/>
      <c r="G319" s="284"/>
    </row>
    <row r="320" spans="2:7" ht="25.5" hidden="1" outlineLevel="1" x14ac:dyDescent="0.2">
      <c r="B320" s="276" t="s">
        <v>278</v>
      </c>
      <c r="C320" s="284"/>
      <c r="D320" s="284"/>
      <c r="E320" s="277" t="s">
        <v>228</v>
      </c>
      <c r="F320" s="284"/>
      <c r="G320" s="284"/>
    </row>
    <row r="321" spans="2:7" ht="15" hidden="1" outlineLevel="1" x14ac:dyDescent="0.2">
      <c r="B321" s="276" t="s">
        <v>323</v>
      </c>
      <c r="C321" s="284"/>
      <c r="D321" s="277" t="s">
        <v>228</v>
      </c>
      <c r="E321" s="284"/>
      <c r="F321" s="284"/>
      <c r="G321" s="284"/>
    </row>
    <row r="322" spans="2:7" ht="15" hidden="1" outlineLevel="1" x14ac:dyDescent="0.2">
      <c r="B322" s="276" t="s">
        <v>279</v>
      </c>
      <c r="C322" s="284"/>
      <c r="D322" s="284"/>
      <c r="E322" s="277" t="s">
        <v>228</v>
      </c>
      <c r="F322" s="284"/>
      <c r="G322" s="284"/>
    </row>
    <row r="323" spans="2:7" ht="15" hidden="1" outlineLevel="1" x14ac:dyDescent="0.2">
      <c r="B323" s="276" t="s">
        <v>322</v>
      </c>
      <c r="C323" s="284"/>
      <c r="D323" s="284"/>
      <c r="E323" s="284"/>
      <c r="F323" s="277" t="s">
        <v>228</v>
      </c>
      <c r="G323" s="284"/>
    </row>
    <row r="324" spans="2:7" ht="15" hidden="1" outlineLevel="1" x14ac:dyDescent="0.2">
      <c r="B324" s="276" t="s">
        <v>232</v>
      </c>
      <c r="C324" s="284"/>
      <c r="D324" s="277" t="s">
        <v>228</v>
      </c>
      <c r="E324" s="284"/>
      <c r="F324" s="284"/>
      <c r="G324" s="284"/>
    </row>
    <row r="325" spans="2:7" ht="15" hidden="1" outlineLevel="1" x14ac:dyDescent="0.2">
      <c r="B325" s="276" t="s">
        <v>280</v>
      </c>
      <c r="C325" s="284"/>
      <c r="D325" s="284"/>
      <c r="E325" s="277" t="s">
        <v>228</v>
      </c>
      <c r="F325" s="284"/>
      <c r="G325" s="284"/>
    </row>
    <row r="326" spans="2:7" ht="15" hidden="1" outlineLevel="1" x14ac:dyDescent="0.2">
      <c r="B326" s="276" t="s">
        <v>270</v>
      </c>
      <c r="C326" s="284"/>
      <c r="D326" s="277" t="s">
        <v>228</v>
      </c>
      <c r="E326" s="284"/>
      <c r="F326" s="284"/>
      <c r="G326" s="284"/>
    </row>
    <row r="327" spans="2:7" ht="15" hidden="1" outlineLevel="1" x14ac:dyDescent="0.2">
      <c r="B327" s="276" t="s">
        <v>242</v>
      </c>
      <c r="C327" s="284"/>
      <c r="D327" s="284"/>
      <c r="E327" s="277" t="s">
        <v>228</v>
      </c>
      <c r="F327" s="284"/>
      <c r="G327" s="284"/>
    </row>
    <row r="328" spans="2:7" ht="15" hidden="1" outlineLevel="1" x14ac:dyDescent="0.2">
      <c r="B328" s="276" t="s">
        <v>241</v>
      </c>
      <c r="C328" s="284"/>
      <c r="D328" s="277" t="s">
        <v>228</v>
      </c>
      <c r="E328" s="284"/>
      <c r="F328" s="284"/>
      <c r="G328" s="284"/>
    </row>
    <row r="329" spans="2:7" ht="15" hidden="1" outlineLevel="1" x14ac:dyDescent="0.2">
      <c r="B329" s="276" t="s">
        <v>281</v>
      </c>
      <c r="C329" s="284"/>
      <c r="D329" s="284"/>
      <c r="E329" s="277" t="s">
        <v>228</v>
      </c>
      <c r="F329" s="284"/>
      <c r="G329" s="284"/>
    </row>
    <row r="330" spans="2:7" ht="15" hidden="1" outlineLevel="1" x14ac:dyDescent="0.2">
      <c r="B330" s="276" t="s">
        <v>249</v>
      </c>
      <c r="C330" s="284"/>
      <c r="D330" s="284"/>
      <c r="E330" s="284"/>
      <c r="F330" s="277" t="s">
        <v>228</v>
      </c>
      <c r="G330" s="284"/>
    </row>
    <row r="331" spans="2:7" ht="15" hidden="1" outlineLevel="1" x14ac:dyDescent="0.2">
      <c r="B331" s="276" t="s">
        <v>282</v>
      </c>
      <c r="C331" s="284"/>
      <c r="D331" s="284"/>
      <c r="E331" s="277" t="s">
        <v>228</v>
      </c>
      <c r="F331" s="284"/>
      <c r="G331" s="284"/>
    </row>
    <row r="332" spans="2:7" ht="25.5" hidden="1" outlineLevel="1" x14ac:dyDescent="0.2">
      <c r="B332" s="276" t="s">
        <v>296</v>
      </c>
      <c r="C332" s="284"/>
      <c r="D332" s="284"/>
      <c r="E332" s="284"/>
      <c r="F332" s="277" t="s">
        <v>228</v>
      </c>
      <c r="G332" s="284"/>
    </row>
    <row r="333" spans="2:7" ht="15" hidden="1" outlineLevel="1" x14ac:dyDescent="0.2">
      <c r="B333" s="276" t="s">
        <v>297</v>
      </c>
      <c r="C333" s="284"/>
      <c r="D333" s="284"/>
      <c r="E333" s="284"/>
      <c r="F333" s="277" t="s">
        <v>228</v>
      </c>
      <c r="G333" s="284"/>
    </row>
    <row r="334" spans="2:7" ht="15" hidden="1" outlineLevel="1" x14ac:dyDescent="0.2">
      <c r="B334" s="276" t="s">
        <v>313</v>
      </c>
      <c r="C334" s="284"/>
      <c r="D334" s="284"/>
      <c r="E334" s="284"/>
      <c r="F334" s="284"/>
      <c r="G334" s="277" t="s">
        <v>228</v>
      </c>
    </row>
    <row r="335" spans="2:7" ht="15" hidden="1" outlineLevel="1" x14ac:dyDescent="0.2">
      <c r="B335" s="276" t="s">
        <v>298</v>
      </c>
      <c r="C335" s="284"/>
      <c r="D335" s="284"/>
      <c r="E335" s="284"/>
      <c r="F335" s="277" t="s">
        <v>228</v>
      </c>
      <c r="G335" s="284"/>
    </row>
    <row r="336" spans="2:7" ht="15" hidden="1" outlineLevel="1" x14ac:dyDescent="0.2">
      <c r="B336" s="276" t="s">
        <v>299</v>
      </c>
      <c r="C336" s="284"/>
      <c r="D336" s="284"/>
      <c r="E336" s="284"/>
      <c r="F336" s="277" t="s">
        <v>228</v>
      </c>
      <c r="G336" s="284"/>
    </row>
    <row r="337" spans="2:7" ht="15" hidden="1" outlineLevel="1" x14ac:dyDescent="0.2">
      <c r="B337" s="276" t="s">
        <v>300</v>
      </c>
      <c r="C337" s="284"/>
      <c r="D337" s="284"/>
      <c r="E337" s="284"/>
      <c r="F337" s="277" t="s">
        <v>228</v>
      </c>
      <c r="G337" s="284"/>
    </row>
    <row r="338" spans="2:7" ht="15" hidden="1" outlineLevel="1" x14ac:dyDescent="0.2">
      <c r="B338" s="276" t="s">
        <v>302</v>
      </c>
      <c r="C338" s="284"/>
      <c r="D338" s="284"/>
      <c r="E338" s="277" t="s">
        <v>228</v>
      </c>
      <c r="F338" s="284"/>
      <c r="G338" s="284"/>
    </row>
    <row r="339" spans="2:7" ht="25.5" hidden="1" outlineLevel="1" x14ac:dyDescent="0.2">
      <c r="B339" s="276" t="s">
        <v>301</v>
      </c>
      <c r="C339" s="284"/>
      <c r="D339" s="284"/>
      <c r="E339" s="285"/>
      <c r="F339" s="277" t="s">
        <v>228</v>
      </c>
      <c r="G339" s="284"/>
    </row>
    <row r="340" spans="2:7" ht="15" hidden="1" outlineLevel="1" x14ac:dyDescent="0.2">
      <c r="B340" s="276" t="s">
        <v>250</v>
      </c>
      <c r="C340" s="284"/>
      <c r="D340" s="284"/>
      <c r="E340" s="284"/>
      <c r="F340" s="277" t="s">
        <v>228</v>
      </c>
      <c r="G340" s="284"/>
    </row>
    <row r="341" spans="2:7" ht="15" hidden="1" outlineLevel="1" x14ac:dyDescent="0.2">
      <c r="B341" s="276" t="s">
        <v>325</v>
      </c>
      <c r="C341" s="284"/>
      <c r="D341" s="284"/>
      <c r="E341" s="284"/>
      <c r="F341" s="277" t="s">
        <v>228</v>
      </c>
      <c r="G341" s="284"/>
    </row>
    <row r="342" spans="2:7" ht="15" hidden="1" outlineLevel="1" x14ac:dyDescent="0.2">
      <c r="B342" s="276" t="s">
        <v>324</v>
      </c>
      <c r="C342" s="284"/>
      <c r="D342" s="284"/>
      <c r="E342" s="284"/>
      <c r="F342" s="284"/>
      <c r="G342" s="277" t="s">
        <v>228</v>
      </c>
    </row>
    <row r="343" spans="2:7" ht="15.75" collapsed="1" x14ac:dyDescent="0.2">
      <c r="B343" s="278" t="s">
        <v>810</v>
      </c>
      <c r="C343" s="286"/>
      <c r="D343" s="286"/>
      <c r="E343" s="286"/>
      <c r="F343" s="286"/>
      <c r="G343" s="286"/>
    </row>
    <row r="344" spans="2:7" ht="15" hidden="1" outlineLevel="1" x14ac:dyDescent="0.2">
      <c r="B344" s="276" t="s">
        <v>262</v>
      </c>
      <c r="C344" s="277" t="s">
        <v>228</v>
      </c>
      <c r="D344" s="284"/>
      <c r="E344" s="284"/>
      <c r="F344" s="284"/>
      <c r="G344" s="284"/>
    </row>
    <row r="345" spans="2:7" ht="15" hidden="1" outlineLevel="1" x14ac:dyDescent="0.2">
      <c r="B345" s="276" t="s">
        <v>271</v>
      </c>
      <c r="C345" s="284"/>
      <c r="D345" s="277" t="s">
        <v>228</v>
      </c>
      <c r="E345" s="284"/>
      <c r="F345" s="284"/>
      <c r="G345" s="284"/>
    </row>
    <row r="346" spans="2:7" ht="15" hidden="1" outlineLevel="1" x14ac:dyDescent="0.2">
      <c r="B346" s="276" t="s">
        <v>283</v>
      </c>
      <c r="C346" s="284"/>
      <c r="D346" s="284"/>
      <c r="E346" s="277" t="s">
        <v>228</v>
      </c>
      <c r="F346" s="284"/>
      <c r="G346" s="284"/>
    </row>
    <row r="347" spans="2:7" ht="15" hidden="1" outlineLevel="1" x14ac:dyDescent="0.2">
      <c r="B347" s="276" t="s">
        <v>303</v>
      </c>
      <c r="C347" s="284"/>
      <c r="D347" s="284"/>
      <c r="E347" s="284"/>
      <c r="F347" s="277" t="s">
        <v>228</v>
      </c>
      <c r="G347" s="284"/>
    </row>
    <row r="348" spans="2:7" ht="15" hidden="1" outlineLevel="1" x14ac:dyDescent="0.2">
      <c r="B348" s="276" t="s">
        <v>284</v>
      </c>
      <c r="C348" s="284"/>
      <c r="D348" s="277" t="s">
        <v>228</v>
      </c>
      <c r="E348" s="284"/>
      <c r="F348" s="284"/>
      <c r="G348" s="284"/>
    </row>
    <row r="349" spans="2:7" ht="15" hidden="1" outlineLevel="1" x14ac:dyDescent="0.2">
      <c r="B349" s="276" t="s">
        <v>243</v>
      </c>
      <c r="C349" s="284"/>
      <c r="D349" s="284"/>
      <c r="E349" s="277" t="s">
        <v>228</v>
      </c>
      <c r="F349" s="284"/>
      <c r="G349" s="284"/>
    </row>
    <row r="350" spans="2:7" ht="15" hidden="1" outlineLevel="1" x14ac:dyDescent="0.2">
      <c r="B350" s="276" t="s">
        <v>251</v>
      </c>
      <c r="C350" s="284"/>
      <c r="D350" s="284"/>
      <c r="E350" s="277" t="s">
        <v>228</v>
      </c>
      <c r="F350" s="284"/>
      <c r="G350" s="284"/>
    </row>
    <row r="351" spans="2:7" ht="15" hidden="1" outlineLevel="1" x14ac:dyDescent="0.2">
      <c r="B351" s="276" t="s">
        <v>314</v>
      </c>
      <c r="C351" s="284"/>
      <c r="D351" s="284"/>
      <c r="E351" s="284"/>
      <c r="F351" s="277" t="s">
        <v>228</v>
      </c>
      <c r="G351" s="284"/>
    </row>
    <row r="352" spans="2:7" ht="15" hidden="1" outlineLevel="1" x14ac:dyDescent="0.2">
      <c r="B352" s="276" t="s">
        <v>315</v>
      </c>
      <c r="C352" s="284"/>
      <c r="D352" s="284"/>
      <c r="E352" s="284"/>
      <c r="F352" s="284"/>
      <c r="G352" s="277" t="s">
        <v>228</v>
      </c>
    </row>
    <row r="353" spans="2:7" ht="15" hidden="1" outlineLevel="1" x14ac:dyDescent="0.2">
      <c r="B353" s="276" t="s">
        <v>329</v>
      </c>
      <c r="C353" s="284"/>
      <c r="D353" s="284"/>
      <c r="E353" s="284"/>
      <c r="F353" s="284"/>
      <c r="G353" s="277" t="s">
        <v>228</v>
      </c>
    </row>
    <row r="354" spans="2:7" ht="15" hidden="1" outlineLevel="1" x14ac:dyDescent="0.2">
      <c r="B354" s="276" t="s">
        <v>326</v>
      </c>
      <c r="C354" s="284"/>
      <c r="D354" s="284"/>
      <c r="E354" s="277" t="s">
        <v>228</v>
      </c>
      <c r="F354" s="284"/>
      <c r="G354" s="284"/>
    </row>
    <row r="355" spans="2:7" ht="15" hidden="1" outlineLevel="1" x14ac:dyDescent="0.2">
      <c r="B355" s="276" t="s">
        <v>327</v>
      </c>
      <c r="C355" s="284"/>
      <c r="D355" s="284"/>
      <c r="E355" s="284"/>
      <c r="F355" s="277" t="s">
        <v>228</v>
      </c>
      <c r="G355" s="284"/>
    </row>
    <row r="356" spans="2:7" ht="15" hidden="1" outlineLevel="1" x14ac:dyDescent="0.2">
      <c r="B356" s="276" t="s">
        <v>328</v>
      </c>
      <c r="C356" s="284"/>
      <c r="D356" s="284"/>
      <c r="E356" s="284"/>
      <c r="F356" s="284"/>
      <c r="G356" s="277" t="s">
        <v>228</v>
      </c>
    </row>
    <row r="357" spans="2:7" ht="15" hidden="1" outlineLevel="1" x14ac:dyDescent="0.2">
      <c r="B357" s="276" t="s">
        <v>304</v>
      </c>
      <c r="C357" s="284"/>
      <c r="D357" s="284"/>
      <c r="E357" s="277" t="s">
        <v>228</v>
      </c>
      <c r="F357" s="284"/>
      <c r="G357" s="284"/>
    </row>
    <row r="358" spans="2:7" ht="15" hidden="1" outlineLevel="1" x14ac:dyDescent="0.2">
      <c r="B358" s="276" t="s">
        <v>316</v>
      </c>
      <c r="C358" s="284"/>
      <c r="D358" s="284"/>
      <c r="E358" s="284"/>
      <c r="F358" s="277" t="s">
        <v>228</v>
      </c>
      <c r="G358" s="284"/>
    </row>
    <row r="359" spans="2:7" ht="15" hidden="1" outlineLevel="1" x14ac:dyDescent="0.2">
      <c r="B359" s="276" t="s">
        <v>317</v>
      </c>
      <c r="C359" s="284"/>
      <c r="D359" s="284"/>
      <c r="E359" s="284"/>
      <c r="F359" s="284"/>
      <c r="G359" s="277" t="s">
        <v>228</v>
      </c>
    </row>
    <row r="360" spans="2:7" ht="15.75" collapsed="1" x14ac:dyDescent="0.2">
      <c r="B360" s="278" t="s">
        <v>811</v>
      </c>
      <c r="C360" s="286"/>
      <c r="D360" s="286"/>
      <c r="E360" s="286"/>
      <c r="F360" s="286"/>
      <c r="G360" s="286"/>
    </row>
    <row r="361" spans="2:7" ht="15" hidden="1" outlineLevel="1" x14ac:dyDescent="0.2">
      <c r="B361" s="276" t="s">
        <v>286</v>
      </c>
      <c r="C361" s="284"/>
      <c r="D361" s="277" t="s">
        <v>228</v>
      </c>
      <c r="E361" s="284"/>
      <c r="F361" s="284"/>
      <c r="G361" s="284"/>
    </row>
    <row r="362" spans="2:7" ht="15" hidden="1" outlineLevel="1" x14ac:dyDescent="0.2">
      <c r="B362" s="276" t="s">
        <v>285</v>
      </c>
      <c r="C362" s="284"/>
      <c r="D362" s="284"/>
      <c r="E362" s="277" t="s">
        <v>228</v>
      </c>
      <c r="F362" s="284"/>
      <c r="G362" s="284"/>
    </row>
    <row r="363" spans="2:7" ht="15" hidden="1" outlineLevel="1" x14ac:dyDescent="0.2">
      <c r="B363" s="276" t="s">
        <v>252</v>
      </c>
      <c r="C363" s="284"/>
      <c r="D363" s="284"/>
      <c r="E363" s="284"/>
      <c r="F363" s="277" t="s">
        <v>228</v>
      </c>
      <c r="G363" s="284"/>
    </row>
    <row r="364" spans="2:7" ht="15" hidden="1" outlineLevel="1" x14ac:dyDescent="0.2">
      <c r="B364" s="276" t="s">
        <v>259</v>
      </c>
      <c r="C364" s="284"/>
      <c r="D364" s="284"/>
      <c r="E364" s="284"/>
      <c r="F364" s="284"/>
      <c r="G364" s="277" t="s">
        <v>228</v>
      </c>
    </row>
    <row r="365" spans="2:7" ht="15" hidden="1" outlineLevel="1" x14ac:dyDescent="0.2">
      <c r="B365" s="276" t="s">
        <v>471</v>
      </c>
      <c r="C365" s="277" t="s">
        <v>228</v>
      </c>
      <c r="D365" s="284"/>
      <c r="E365" s="284"/>
      <c r="F365" s="284"/>
      <c r="G365" s="284"/>
    </row>
    <row r="366" spans="2:7" ht="15" hidden="1" outlineLevel="1" x14ac:dyDescent="0.2">
      <c r="B366" s="276" t="s">
        <v>272</v>
      </c>
      <c r="C366" s="284"/>
      <c r="D366" s="277" t="s">
        <v>228</v>
      </c>
      <c r="E366" s="284"/>
      <c r="F366" s="284"/>
      <c r="G366" s="284"/>
    </row>
    <row r="367" spans="2:7" ht="15" hidden="1" outlineLevel="1" x14ac:dyDescent="0.2">
      <c r="B367" s="276" t="s">
        <v>472</v>
      </c>
      <c r="C367" s="284"/>
      <c r="D367" s="284"/>
      <c r="E367" s="277" t="s">
        <v>228</v>
      </c>
      <c r="F367" s="284"/>
      <c r="G367" s="284"/>
    </row>
    <row r="368" spans="2:7" ht="15" hidden="1" outlineLevel="1" x14ac:dyDescent="0.2">
      <c r="B368" s="276" t="s">
        <v>473</v>
      </c>
      <c r="C368" s="284"/>
      <c r="D368" s="284"/>
      <c r="E368" s="284"/>
      <c r="F368" s="277" t="s">
        <v>228</v>
      </c>
      <c r="G368" s="284"/>
    </row>
    <row r="369" spans="1:16" ht="25.5" hidden="1" outlineLevel="1" x14ac:dyDescent="0.2">
      <c r="B369" s="276" t="s">
        <v>474</v>
      </c>
      <c r="C369" s="284"/>
      <c r="D369" s="284"/>
      <c r="E369" s="284"/>
      <c r="F369" s="284"/>
      <c r="G369" s="277" t="s">
        <v>228</v>
      </c>
    </row>
    <row r="370" spans="1:16" ht="15" hidden="1" outlineLevel="1" x14ac:dyDescent="0.2">
      <c r="B370" s="276" t="s">
        <v>253</v>
      </c>
      <c r="C370" s="284"/>
      <c r="D370" s="284"/>
      <c r="E370" s="284"/>
      <c r="F370" s="277" t="s">
        <v>228</v>
      </c>
      <c r="G370" s="284"/>
    </row>
    <row r="371" spans="1:16" ht="38.25" hidden="1" outlineLevel="1" x14ac:dyDescent="0.2">
      <c r="B371" s="276" t="s">
        <v>263</v>
      </c>
      <c r="C371" s="277" t="s">
        <v>228</v>
      </c>
      <c r="D371" s="284"/>
      <c r="E371" s="284"/>
      <c r="F371" s="284"/>
      <c r="G371" s="284"/>
    </row>
    <row r="372" spans="1:16" ht="25.5" hidden="1" outlineLevel="1" x14ac:dyDescent="0.2">
      <c r="B372" s="276" t="s">
        <v>273</v>
      </c>
      <c r="C372" s="284"/>
      <c r="D372" s="277" t="s">
        <v>228</v>
      </c>
      <c r="E372" s="284"/>
      <c r="F372" s="284"/>
      <c r="G372" s="284"/>
    </row>
    <row r="373" spans="1:16" ht="25.5" hidden="1" outlineLevel="1" x14ac:dyDescent="0.2">
      <c r="B373" s="276" t="s">
        <v>305</v>
      </c>
      <c r="C373" s="284"/>
      <c r="D373" s="284"/>
      <c r="E373" s="277" t="s">
        <v>228</v>
      </c>
      <c r="F373" s="284"/>
      <c r="G373" s="284"/>
    </row>
    <row r="374" spans="1:16" ht="15" hidden="1" outlineLevel="1" x14ac:dyDescent="0.2">
      <c r="B374" s="276" t="s">
        <v>254</v>
      </c>
      <c r="C374" s="284"/>
      <c r="D374" s="284"/>
      <c r="E374" s="284"/>
      <c r="F374" s="277" t="s">
        <v>228</v>
      </c>
      <c r="G374" s="284"/>
    </row>
    <row r="375" spans="1:16" ht="15" hidden="1" outlineLevel="1" x14ac:dyDescent="0.2">
      <c r="B375" s="276" t="s">
        <v>260</v>
      </c>
      <c r="C375" s="284"/>
      <c r="D375" s="284"/>
      <c r="E375" s="284"/>
      <c r="F375" s="284"/>
      <c r="G375" s="277" t="s">
        <v>228</v>
      </c>
    </row>
    <row r="376" spans="1:16" ht="25.5" hidden="1" outlineLevel="1" x14ac:dyDescent="0.2">
      <c r="B376" s="276" t="s">
        <v>330</v>
      </c>
      <c r="C376" s="284"/>
      <c r="D376" s="284"/>
      <c r="E376" s="277" t="s">
        <v>228</v>
      </c>
      <c r="F376" s="284"/>
      <c r="G376" s="284"/>
    </row>
    <row r="377" spans="1:16" ht="25.5" hidden="1" outlineLevel="1" x14ac:dyDescent="0.2">
      <c r="B377" s="276" t="s">
        <v>255</v>
      </c>
      <c r="C377" s="284"/>
      <c r="D377" s="284"/>
      <c r="E377" s="284"/>
      <c r="F377" s="277" t="s">
        <v>228</v>
      </c>
      <c r="G377" s="284"/>
    </row>
    <row r="378" spans="1:16" ht="15" hidden="1" outlineLevel="1" x14ac:dyDescent="0.2">
      <c r="B378" s="361" t="s">
        <v>331</v>
      </c>
      <c r="C378" s="362"/>
      <c r="D378" s="362"/>
      <c r="E378" s="362"/>
      <c r="F378" s="362"/>
      <c r="G378" s="363" t="s">
        <v>228</v>
      </c>
      <c r="I378" s="359"/>
      <c r="J378" s="359"/>
      <c r="K378" s="359"/>
      <c r="L378" s="359"/>
      <c r="M378" s="359"/>
      <c r="N378" s="359"/>
      <c r="O378" s="359"/>
    </row>
    <row r="380" spans="1:16" ht="15.75" x14ac:dyDescent="0.25">
      <c r="A380" s="370"/>
      <c r="B380" s="371" t="s">
        <v>631</v>
      </c>
      <c r="C380" s="371"/>
      <c r="D380" s="371"/>
      <c r="E380" s="371"/>
      <c r="F380" s="371"/>
      <c r="G380" s="371"/>
      <c r="H380" s="370"/>
      <c r="I380" s="371" t="s">
        <v>632</v>
      </c>
      <c r="J380" s="373"/>
      <c r="K380" s="373"/>
      <c r="L380" s="373"/>
      <c r="M380" s="373"/>
      <c r="N380" s="373"/>
      <c r="O380" s="370"/>
      <c r="P380" s="370"/>
    </row>
    <row r="381" spans="1:16" ht="15.75" x14ac:dyDescent="0.25">
      <c r="A381" s="192" t="s">
        <v>3</v>
      </c>
      <c r="B381" s="194" t="s">
        <v>490</v>
      </c>
      <c r="C381" s="194"/>
      <c r="D381" s="194"/>
      <c r="E381" s="194"/>
      <c r="F381" s="251" t="s">
        <v>494</v>
      </c>
      <c r="G381" s="1012">
        <v>5</v>
      </c>
      <c r="I381" s="204" t="s">
        <v>84</v>
      </c>
      <c r="J381" s="204"/>
      <c r="K381" s="204" t="s">
        <v>191</v>
      </c>
      <c r="L381" s="204"/>
      <c r="M381" s="204"/>
      <c r="N381" s="204"/>
      <c r="O381" s="204"/>
    </row>
    <row r="382" spans="1:16" ht="15.75" x14ac:dyDescent="0.25">
      <c r="A382" s="195" t="s">
        <v>4</v>
      </c>
      <c r="B382" s="197" t="s">
        <v>491</v>
      </c>
      <c r="C382" s="197"/>
      <c r="D382" s="197"/>
      <c r="E382" s="197"/>
      <c r="F382" s="252" t="s">
        <v>494</v>
      </c>
      <c r="G382" s="1013">
        <v>4</v>
      </c>
      <c r="I382" s="205" t="s">
        <v>85</v>
      </c>
      <c r="J382" s="205"/>
      <c r="K382" s="205" t="s">
        <v>498</v>
      </c>
      <c r="L382" s="205"/>
      <c r="M382" s="205"/>
      <c r="N382" s="205"/>
      <c r="O382" s="205"/>
    </row>
    <row r="383" spans="1:16" ht="15.75" x14ac:dyDescent="0.25">
      <c r="A383" s="195" t="s">
        <v>5</v>
      </c>
      <c r="B383" s="197" t="s">
        <v>492</v>
      </c>
      <c r="C383" s="197"/>
      <c r="D383" s="197"/>
      <c r="E383" s="197"/>
      <c r="F383" s="252" t="s">
        <v>494</v>
      </c>
      <c r="G383" s="1013">
        <v>4</v>
      </c>
      <c r="I383" s="205" t="s">
        <v>86</v>
      </c>
      <c r="J383" s="205"/>
      <c r="K383" s="205" t="s">
        <v>499</v>
      </c>
      <c r="L383" s="205"/>
      <c r="M383" s="205"/>
      <c r="N383" s="205"/>
      <c r="O383" s="205"/>
    </row>
    <row r="384" spans="1:16" ht="15.75" x14ac:dyDescent="0.25">
      <c r="A384" s="195" t="s">
        <v>110</v>
      </c>
      <c r="B384" s="197" t="s">
        <v>493</v>
      </c>
      <c r="C384" s="197"/>
      <c r="D384" s="197"/>
      <c r="E384" s="197"/>
      <c r="F384" s="252" t="s">
        <v>495</v>
      </c>
      <c r="G384" s="1013">
        <v>9</v>
      </c>
      <c r="I384" s="205" t="s">
        <v>87</v>
      </c>
      <c r="J384" s="205"/>
      <c r="K384" s="205" t="s">
        <v>500</v>
      </c>
      <c r="L384" s="205"/>
      <c r="M384" s="205"/>
      <c r="N384" s="205"/>
      <c r="O384" s="205"/>
    </row>
    <row r="385" spans="1:15" ht="15.75" x14ac:dyDescent="0.25">
      <c r="A385" s="198" t="s">
        <v>111</v>
      </c>
      <c r="B385" s="200" t="s">
        <v>489</v>
      </c>
      <c r="C385" s="200"/>
      <c r="D385" s="200"/>
      <c r="E385" s="200"/>
      <c r="F385" s="253" t="s">
        <v>496</v>
      </c>
      <c r="G385" s="1014">
        <v>12</v>
      </c>
      <c r="I385" s="206" t="s">
        <v>88</v>
      </c>
      <c r="J385" s="206"/>
      <c r="K385" s="206" t="s">
        <v>501</v>
      </c>
      <c r="L385" s="206"/>
      <c r="M385" s="206"/>
      <c r="N385" s="206"/>
      <c r="O385" s="206"/>
    </row>
    <row r="386" spans="1:15" ht="15.75" x14ac:dyDescent="0.25">
      <c r="A386" s="82"/>
      <c r="B386" s="82"/>
      <c r="C386" s="82"/>
      <c r="D386" s="82"/>
      <c r="E386" s="82"/>
      <c r="F386" s="249" t="s">
        <v>497</v>
      </c>
      <c r="G386" s="188">
        <f>SUM(G381:G385)</f>
        <v>34</v>
      </c>
    </row>
    <row r="387" spans="1:15" ht="15.75" x14ac:dyDescent="0.2">
      <c r="B387" s="54" t="s">
        <v>216</v>
      </c>
      <c r="C387" s="52"/>
      <c r="D387" s="52"/>
      <c r="E387" s="52"/>
      <c r="F387" s="250" t="str">
        <f>IF(G386&lt;10,I381,IF(G386&lt;18,I382,IF(G386&lt;26,I383,IF(G386&lt;34,I384,IF(G386&lt;41,I385,"NAPAKA")))))</f>
        <v>Cenovni razred V</v>
      </c>
      <c r="G387" s="52"/>
    </row>
    <row r="391" spans="1:15" ht="15.75" x14ac:dyDescent="0.25">
      <c r="B391" s="265" t="s">
        <v>371</v>
      </c>
      <c r="C391" s="298" t="s">
        <v>223</v>
      </c>
      <c r="D391" s="298" t="s">
        <v>224</v>
      </c>
      <c r="E391" s="298" t="s">
        <v>225</v>
      </c>
      <c r="F391" s="298" t="s">
        <v>226</v>
      </c>
      <c r="G391" s="298" t="s">
        <v>227</v>
      </c>
    </row>
    <row r="392" spans="1:15" ht="15.75" collapsed="1" x14ac:dyDescent="0.2">
      <c r="B392" s="326" t="s">
        <v>813</v>
      </c>
      <c r="C392" s="284"/>
      <c r="D392" s="284"/>
      <c r="E392" s="277"/>
      <c r="F392" s="284"/>
      <c r="G392" s="284"/>
    </row>
    <row r="393" spans="1:15" ht="15" hidden="1" outlineLevel="1" x14ac:dyDescent="0.2">
      <c r="B393" s="325" t="s">
        <v>506</v>
      </c>
      <c r="C393" s="284"/>
      <c r="D393" s="284"/>
      <c r="E393" s="284"/>
      <c r="F393" s="277"/>
      <c r="G393" s="284"/>
    </row>
    <row r="394" spans="1:15" ht="15" hidden="1" outlineLevel="1" x14ac:dyDescent="0.2">
      <c r="B394" s="276" t="s">
        <v>507</v>
      </c>
      <c r="C394" s="284"/>
      <c r="D394" s="284" t="s">
        <v>228</v>
      </c>
      <c r="E394" s="277"/>
      <c r="F394" s="284"/>
      <c r="G394" s="284"/>
    </row>
    <row r="395" spans="1:15" ht="15" hidden="1" outlineLevel="1" x14ac:dyDescent="0.2">
      <c r="B395" s="276" t="s">
        <v>508</v>
      </c>
      <c r="C395" s="284"/>
      <c r="D395" s="284"/>
      <c r="E395" s="284" t="s">
        <v>228</v>
      </c>
      <c r="F395" s="277"/>
      <c r="G395" s="284"/>
    </row>
    <row r="396" spans="1:15" ht="25.5" hidden="1" outlineLevel="1" x14ac:dyDescent="0.2">
      <c r="B396" s="276" t="s">
        <v>509</v>
      </c>
      <c r="C396" s="284"/>
      <c r="D396" s="284"/>
      <c r="E396" s="277"/>
      <c r="F396" s="284" t="s">
        <v>228</v>
      </c>
      <c r="G396" s="284"/>
    </row>
    <row r="397" spans="1:15" ht="15" hidden="1" outlineLevel="1" x14ac:dyDescent="0.2">
      <c r="B397" s="276" t="s">
        <v>510</v>
      </c>
      <c r="C397" s="284"/>
      <c r="D397" s="284"/>
      <c r="E397" s="284"/>
      <c r="F397" s="277"/>
      <c r="G397" s="284" t="s">
        <v>228</v>
      </c>
    </row>
    <row r="398" spans="1:15" ht="15" hidden="1" outlineLevel="1" x14ac:dyDescent="0.2">
      <c r="B398" s="324" t="s">
        <v>511</v>
      </c>
      <c r="C398" s="284"/>
      <c r="D398" s="284"/>
      <c r="E398" s="277"/>
      <c r="F398" s="284"/>
      <c r="G398" s="284"/>
    </row>
    <row r="399" spans="1:15" ht="15" hidden="1" outlineLevel="1" x14ac:dyDescent="0.2">
      <c r="B399" s="276" t="s">
        <v>512</v>
      </c>
      <c r="C399" s="284"/>
      <c r="D399" s="284" t="s">
        <v>228</v>
      </c>
      <c r="E399" s="284"/>
      <c r="F399" s="277"/>
      <c r="G399" s="284"/>
    </row>
    <row r="400" spans="1:15" ht="25.5" hidden="1" outlineLevel="1" x14ac:dyDescent="0.2">
      <c r="B400" s="276" t="s">
        <v>513</v>
      </c>
      <c r="C400" s="284"/>
      <c r="D400" s="284"/>
      <c r="E400" s="277" t="s">
        <v>228</v>
      </c>
      <c r="F400" s="284"/>
      <c r="G400" s="284"/>
    </row>
    <row r="401" spans="2:7" ht="25.5" hidden="1" outlineLevel="1" x14ac:dyDescent="0.2">
      <c r="B401" s="276" t="s">
        <v>514</v>
      </c>
      <c r="C401" s="284"/>
      <c r="D401" s="284"/>
      <c r="E401" s="284"/>
      <c r="F401" s="277" t="s">
        <v>228</v>
      </c>
      <c r="G401" s="284"/>
    </row>
    <row r="402" spans="2:7" ht="25.5" hidden="1" outlineLevel="1" x14ac:dyDescent="0.2">
      <c r="B402" s="276" t="s">
        <v>514</v>
      </c>
      <c r="C402" s="284"/>
      <c r="D402" s="284"/>
      <c r="E402" s="277"/>
      <c r="F402" s="284"/>
      <c r="G402" s="284" t="s">
        <v>228</v>
      </c>
    </row>
    <row r="403" spans="2:7" ht="15" hidden="1" outlineLevel="1" x14ac:dyDescent="0.2">
      <c r="B403" s="324" t="s">
        <v>515</v>
      </c>
      <c r="C403" s="284"/>
      <c r="D403" s="284"/>
      <c r="E403" s="284"/>
      <c r="F403" s="277"/>
      <c r="G403" s="284"/>
    </row>
    <row r="404" spans="2:7" ht="15" hidden="1" outlineLevel="1" x14ac:dyDescent="0.2">
      <c r="B404" s="276" t="s">
        <v>516</v>
      </c>
      <c r="C404" s="284" t="s">
        <v>228</v>
      </c>
      <c r="D404" s="284"/>
      <c r="E404" s="277"/>
      <c r="F404" s="284"/>
      <c r="G404" s="284"/>
    </row>
    <row r="405" spans="2:7" ht="15" hidden="1" outlineLevel="1" x14ac:dyDescent="0.2">
      <c r="B405" s="276" t="s">
        <v>517</v>
      </c>
      <c r="C405" s="284"/>
      <c r="D405" s="284" t="s">
        <v>228</v>
      </c>
      <c r="E405" s="284"/>
      <c r="F405" s="277"/>
      <c r="G405" s="284"/>
    </row>
    <row r="406" spans="2:7" ht="15" hidden="1" outlineLevel="1" x14ac:dyDescent="0.2">
      <c r="B406" s="276" t="s">
        <v>518</v>
      </c>
      <c r="C406" s="284"/>
      <c r="D406" s="284"/>
      <c r="E406" s="277" t="s">
        <v>228</v>
      </c>
      <c r="F406" s="284"/>
      <c r="G406" s="284"/>
    </row>
    <row r="407" spans="2:7" ht="15" hidden="1" outlineLevel="1" x14ac:dyDescent="0.2">
      <c r="B407" s="324" t="s">
        <v>519</v>
      </c>
      <c r="C407" s="284"/>
      <c r="D407" s="284"/>
      <c r="E407" s="284"/>
      <c r="F407" s="277"/>
      <c r="G407" s="284"/>
    </row>
    <row r="408" spans="2:7" ht="15" hidden="1" outlineLevel="1" x14ac:dyDescent="0.2">
      <c r="B408" s="276" t="s">
        <v>520</v>
      </c>
      <c r="C408" s="284" t="s">
        <v>228</v>
      </c>
      <c r="D408" s="284"/>
      <c r="E408" s="277"/>
      <c r="F408" s="284"/>
      <c r="G408" s="284"/>
    </row>
    <row r="409" spans="2:7" ht="15" hidden="1" outlineLevel="1" x14ac:dyDescent="0.2">
      <c r="B409" s="276" t="s">
        <v>521</v>
      </c>
      <c r="C409" s="284"/>
      <c r="D409" s="284" t="s">
        <v>228</v>
      </c>
      <c r="E409" s="284"/>
      <c r="F409" s="277"/>
      <c r="G409" s="284"/>
    </row>
    <row r="410" spans="2:7" ht="15" hidden="1" outlineLevel="1" x14ac:dyDescent="0.2">
      <c r="B410" s="276" t="s">
        <v>522</v>
      </c>
      <c r="C410" s="284"/>
      <c r="D410" s="284"/>
      <c r="E410" s="277" t="s">
        <v>523</v>
      </c>
      <c r="F410" s="284"/>
      <c r="G410" s="284"/>
    </row>
    <row r="411" spans="2:7" ht="15" hidden="1" outlineLevel="1" x14ac:dyDescent="0.2">
      <c r="B411" s="276" t="s">
        <v>524</v>
      </c>
      <c r="C411" s="284"/>
      <c r="D411" s="284"/>
      <c r="E411" s="284"/>
      <c r="F411" s="277" t="s">
        <v>228</v>
      </c>
      <c r="G411" s="284"/>
    </row>
    <row r="412" spans="2:7" ht="15" hidden="1" outlineLevel="1" x14ac:dyDescent="0.2">
      <c r="B412" s="276" t="s">
        <v>525</v>
      </c>
      <c r="C412" s="284"/>
      <c r="D412" s="284"/>
      <c r="E412" s="277" t="s">
        <v>228</v>
      </c>
      <c r="F412" s="284"/>
      <c r="G412" s="284"/>
    </row>
    <row r="413" spans="2:7" ht="15" hidden="1" outlineLevel="1" x14ac:dyDescent="0.2">
      <c r="B413" s="276" t="s">
        <v>526</v>
      </c>
      <c r="C413" s="284"/>
      <c r="D413" s="284"/>
      <c r="E413" s="284"/>
      <c r="F413" s="277" t="s">
        <v>228</v>
      </c>
      <c r="G413" s="284"/>
    </row>
    <row r="414" spans="2:7" ht="15" hidden="1" outlineLevel="1" x14ac:dyDescent="0.2">
      <c r="B414" s="324" t="s">
        <v>527</v>
      </c>
      <c r="C414" s="284"/>
      <c r="D414" s="284"/>
      <c r="E414" s="277"/>
      <c r="F414" s="284"/>
      <c r="G414" s="284"/>
    </row>
    <row r="415" spans="2:7" ht="15" hidden="1" outlineLevel="1" x14ac:dyDescent="0.2">
      <c r="B415" s="276" t="s">
        <v>528</v>
      </c>
      <c r="C415" s="284" t="s">
        <v>228</v>
      </c>
      <c r="D415" s="284"/>
      <c r="E415" s="284"/>
      <c r="F415" s="277"/>
      <c r="G415" s="284"/>
    </row>
    <row r="416" spans="2:7" ht="15" hidden="1" outlineLevel="1" x14ac:dyDescent="0.2">
      <c r="B416" s="276" t="s">
        <v>529</v>
      </c>
      <c r="C416" s="284"/>
      <c r="D416" s="284"/>
      <c r="E416" s="277" t="s">
        <v>228</v>
      </c>
      <c r="F416" s="284"/>
      <c r="G416" s="284"/>
    </row>
    <row r="417" spans="2:7" ht="15" hidden="1" outlineLevel="1" x14ac:dyDescent="0.2">
      <c r="B417" s="324" t="s">
        <v>530</v>
      </c>
      <c r="C417" s="284"/>
      <c r="D417" s="284"/>
      <c r="E417" s="284"/>
      <c r="F417" s="277"/>
      <c r="G417" s="284"/>
    </row>
    <row r="418" spans="2:7" ht="15" hidden="1" outlineLevel="1" x14ac:dyDescent="0.2">
      <c r="B418" s="276" t="s">
        <v>531</v>
      </c>
      <c r="C418" s="284"/>
      <c r="D418" s="284" t="s">
        <v>228</v>
      </c>
      <c r="E418" s="277"/>
      <c r="F418" s="284"/>
      <c r="G418" s="284"/>
    </row>
    <row r="419" spans="2:7" ht="15" hidden="1" outlineLevel="1" x14ac:dyDescent="0.2">
      <c r="B419" s="276" t="s">
        <v>532</v>
      </c>
      <c r="C419" s="284"/>
      <c r="D419" s="284"/>
      <c r="E419" s="284" t="s">
        <v>228</v>
      </c>
      <c r="F419" s="277"/>
      <c r="G419" s="284"/>
    </row>
    <row r="420" spans="2:7" ht="15" hidden="1" outlineLevel="1" x14ac:dyDescent="0.2">
      <c r="B420" s="276" t="s">
        <v>533</v>
      </c>
      <c r="C420" s="284"/>
      <c r="D420" s="284"/>
      <c r="E420" s="277"/>
      <c r="F420" s="284" t="s">
        <v>228</v>
      </c>
      <c r="G420" s="284"/>
    </row>
    <row r="421" spans="2:7" ht="15" hidden="1" outlineLevel="1" x14ac:dyDescent="0.2">
      <c r="B421" s="276" t="s">
        <v>534</v>
      </c>
      <c r="C421" s="284"/>
      <c r="D421" s="284"/>
      <c r="E421" s="284" t="s">
        <v>228</v>
      </c>
      <c r="F421" s="277"/>
      <c r="G421" s="284"/>
    </row>
    <row r="422" spans="2:7" ht="15" hidden="1" outlineLevel="1" x14ac:dyDescent="0.2">
      <c r="B422" s="276" t="s">
        <v>535</v>
      </c>
      <c r="C422" s="284"/>
      <c r="D422" s="284"/>
      <c r="E422" s="277"/>
      <c r="F422" s="284" t="s">
        <v>228</v>
      </c>
      <c r="G422" s="284"/>
    </row>
    <row r="423" spans="2:7" ht="15" hidden="1" outlineLevel="1" x14ac:dyDescent="0.2">
      <c r="B423" s="276" t="s">
        <v>536</v>
      </c>
      <c r="C423" s="284"/>
      <c r="D423" s="284"/>
      <c r="E423" s="284"/>
      <c r="F423" s="277"/>
      <c r="G423" s="284" t="s">
        <v>228</v>
      </c>
    </row>
    <row r="424" spans="2:7" ht="15.75" collapsed="1" x14ac:dyDescent="0.2">
      <c r="B424" s="278" t="s">
        <v>814</v>
      </c>
      <c r="C424" s="284"/>
      <c r="D424" s="284"/>
      <c r="E424" s="277"/>
      <c r="F424" s="284"/>
      <c r="G424" s="284"/>
    </row>
    <row r="425" spans="2:7" ht="15" hidden="1" outlineLevel="1" x14ac:dyDescent="0.2">
      <c r="B425" s="324" t="s">
        <v>537</v>
      </c>
      <c r="C425" s="284"/>
      <c r="D425" s="284"/>
      <c r="E425" s="284"/>
      <c r="F425" s="277"/>
      <c r="G425" s="284"/>
    </row>
    <row r="426" spans="2:7" ht="15" hidden="1" outlineLevel="1" x14ac:dyDescent="0.2">
      <c r="B426" s="276" t="s">
        <v>538</v>
      </c>
      <c r="C426" s="284" t="s">
        <v>228</v>
      </c>
      <c r="D426" s="284"/>
      <c r="E426" s="277"/>
      <c r="F426" s="284"/>
      <c r="G426" s="284"/>
    </row>
    <row r="427" spans="2:7" ht="15" hidden="1" outlineLevel="1" x14ac:dyDescent="0.2">
      <c r="B427" s="276" t="s">
        <v>507</v>
      </c>
      <c r="C427" s="284"/>
      <c r="D427" s="284" t="s">
        <v>228</v>
      </c>
      <c r="E427" s="284"/>
      <c r="F427" s="277"/>
      <c r="G427" s="284"/>
    </row>
    <row r="428" spans="2:7" ht="15" hidden="1" outlineLevel="1" x14ac:dyDescent="0.2">
      <c r="B428" s="276" t="s">
        <v>508</v>
      </c>
      <c r="C428" s="284"/>
      <c r="D428" s="284"/>
      <c r="E428" s="277" t="s">
        <v>228</v>
      </c>
      <c r="F428" s="284"/>
      <c r="G428" s="284"/>
    </row>
    <row r="429" spans="2:7" ht="25.5" hidden="1" outlineLevel="1" x14ac:dyDescent="0.2">
      <c r="B429" s="276" t="s">
        <v>509</v>
      </c>
      <c r="C429" s="284"/>
      <c r="D429" s="284"/>
      <c r="E429" s="284"/>
      <c r="F429" s="277" t="s">
        <v>228</v>
      </c>
      <c r="G429" s="284"/>
    </row>
    <row r="430" spans="2:7" ht="15" hidden="1" outlineLevel="1" x14ac:dyDescent="0.2">
      <c r="B430" s="324" t="s">
        <v>539</v>
      </c>
      <c r="C430" s="284"/>
      <c r="D430" s="284"/>
      <c r="E430" s="277"/>
      <c r="F430" s="284"/>
      <c r="G430" s="284"/>
    </row>
    <row r="431" spans="2:7" ht="15" hidden="1" outlineLevel="1" x14ac:dyDescent="0.2">
      <c r="B431" s="276" t="s">
        <v>540</v>
      </c>
      <c r="C431" s="284"/>
      <c r="D431" s="284" t="s">
        <v>228</v>
      </c>
      <c r="E431" s="284"/>
      <c r="F431" s="277"/>
      <c r="G431" s="284"/>
    </row>
    <row r="432" spans="2:7" ht="15" hidden="1" outlineLevel="1" x14ac:dyDescent="0.2">
      <c r="B432" s="276" t="s">
        <v>541</v>
      </c>
      <c r="C432" s="284"/>
      <c r="D432" s="284"/>
      <c r="E432" s="277" t="s">
        <v>228</v>
      </c>
      <c r="F432" s="284"/>
      <c r="G432" s="284"/>
    </row>
    <row r="433" spans="1:16" ht="15" hidden="1" outlineLevel="1" x14ac:dyDescent="0.2">
      <c r="B433" s="276" t="s">
        <v>542</v>
      </c>
      <c r="C433" s="284"/>
      <c r="D433" s="284"/>
      <c r="E433" s="284"/>
      <c r="F433" s="277" t="s">
        <v>228</v>
      </c>
      <c r="G433" s="284"/>
    </row>
    <row r="434" spans="1:16" ht="15.75" collapsed="1" x14ac:dyDescent="0.2">
      <c r="B434" s="278" t="s">
        <v>815</v>
      </c>
      <c r="C434" s="284"/>
      <c r="D434" s="284"/>
      <c r="E434" s="277"/>
      <c r="F434" s="284"/>
      <c r="G434" s="284"/>
    </row>
    <row r="435" spans="1:16" ht="15" hidden="1" outlineLevel="1" x14ac:dyDescent="0.2">
      <c r="B435" s="276" t="s">
        <v>543</v>
      </c>
      <c r="C435" s="284"/>
      <c r="D435" s="284" t="s">
        <v>228</v>
      </c>
      <c r="E435" s="284"/>
      <c r="F435" s="277"/>
      <c r="G435" s="284"/>
    </row>
    <row r="436" spans="1:16" ht="25.5" hidden="1" outlineLevel="1" x14ac:dyDescent="0.2">
      <c r="B436" s="276" t="s">
        <v>544</v>
      </c>
      <c r="C436" s="284"/>
      <c r="D436" s="284"/>
      <c r="E436" s="277" t="s">
        <v>545</v>
      </c>
      <c r="F436" s="284"/>
      <c r="G436" s="284"/>
    </row>
    <row r="437" spans="1:16" ht="15" hidden="1" outlineLevel="1" x14ac:dyDescent="0.2">
      <c r="B437" s="364" t="s">
        <v>546</v>
      </c>
      <c r="C437" s="365"/>
      <c r="D437" s="365"/>
      <c r="E437" s="365"/>
      <c r="F437" s="366" t="s">
        <v>228</v>
      </c>
      <c r="G437" s="365"/>
    </row>
    <row r="438" spans="1:16" x14ac:dyDescent="0.2">
      <c r="A438" s="237"/>
      <c r="B438" s="367"/>
      <c r="C438" s="368"/>
      <c r="D438" s="368"/>
      <c r="E438" s="368"/>
      <c r="F438" s="368"/>
      <c r="G438" s="368"/>
    </row>
    <row r="439" spans="1:16" x14ac:dyDescent="0.2">
      <c r="A439" s="237"/>
      <c r="B439" s="237"/>
      <c r="C439" s="239"/>
      <c r="D439" s="239"/>
      <c r="E439" s="239"/>
      <c r="F439" s="239"/>
      <c r="G439" s="239"/>
    </row>
    <row r="440" spans="1:16" ht="15.75" x14ac:dyDescent="0.25">
      <c r="A440" s="370"/>
      <c r="B440" s="371" t="s">
        <v>634</v>
      </c>
      <c r="C440" s="371"/>
      <c r="D440" s="371"/>
      <c r="E440" s="371"/>
      <c r="F440" s="371"/>
      <c r="G440" s="371"/>
      <c r="H440" s="370"/>
      <c r="I440" s="371" t="s">
        <v>633</v>
      </c>
      <c r="J440" s="373"/>
      <c r="K440" s="373"/>
      <c r="L440" s="373"/>
      <c r="M440" s="373"/>
      <c r="N440" s="373"/>
      <c r="O440" s="373"/>
      <c r="P440" s="370"/>
    </row>
    <row r="441" spans="1:16" ht="15.75" x14ac:dyDescent="0.25">
      <c r="A441" s="192" t="s">
        <v>3</v>
      </c>
      <c r="B441" s="194" t="s">
        <v>490</v>
      </c>
      <c r="C441" s="194"/>
      <c r="D441" s="194"/>
      <c r="E441" s="194"/>
      <c r="F441" s="251" t="s">
        <v>494</v>
      </c>
      <c r="G441" s="1012">
        <v>3</v>
      </c>
      <c r="I441" s="204" t="s">
        <v>84</v>
      </c>
      <c r="J441" s="204"/>
      <c r="K441" s="204" t="s">
        <v>191</v>
      </c>
      <c r="L441" s="204"/>
      <c r="M441" s="204"/>
      <c r="N441" s="204"/>
      <c r="O441" s="204"/>
    </row>
    <row r="442" spans="1:16" ht="15.75" x14ac:dyDescent="0.25">
      <c r="A442" s="195" t="s">
        <v>4</v>
      </c>
      <c r="B442" s="197" t="s">
        <v>491</v>
      </c>
      <c r="C442" s="197"/>
      <c r="D442" s="197"/>
      <c r="E442" s="197"/>
      <c r="F442" s="252" t="s">
        <v>494</v>
      </c>
      <c r="G442" s="1013">
        <v>2</v>
      </c>
      <c r="I442" s="205" t="s">
        <v>85</v>
      </c>
      <c r="J442" s="205"/>
      <c r="K442" s="205" t="s">
        <v>498</v>
      </c>
      <c r="L442" s="205"/>
      <c r="M442" s="205"/>
      <c r="N442" s="205"/>
      <c r="O442" s="205"/>
    </row>
    <row r="443" spans="1:16" ht="15.75" x14ac:dyDescent="0.25">
      <c r="A443" s="195" t="s">
        <v>5</v>
      </c>
      <c r="B443" s="197" t="s">
        <v>502</v>
      </c>
      <c r="C443" s="197"/>
      <c r="D443" s="197"/>
      <c r="E443" s="197"/>
      <c r="F443" s="252" t="s">
        <v>496</v>
      </c>
      <c r="G443" s="1013">
        <v>5</v>
      </c>
      <c r="I443" s="205" t="s">
        <v>86</v>
      </c>
      <c r="J443" s="205"/>
      <c r="K443" s="205" t="s">
        <v>499</v>
      </c>
      <c r="L443" s="205"/>
      <c r="M443" s="205"/>
      <c r="N443" s="205"/>
      <c r="O443" s="205"/>
    </row>
    <row r="444" spans="1:16" ht="15.75" x14ac:dyDescent="0.25">
      <c r="A444" s="195" t="s">
        <v>110</v>
      </c>
      <c r="B444" s="197" t="s">
        <v>493</v>
      </c>
      <c r="C444" s="197"/>
      <c r="D444" s="197"/>
      <c r="E444" s="197"/>
      <c r="F444" s="252" t="s">
        <v>495</v>
      </c>
      <c r="G444" s="1013">
        <v>8</v>
      </c>
      <c r="I444" s="205" t="s">
        <v>87</v>
      </c>
      <c r="J444" s="205"/>
      <c r="K444" s="205" t="s">
        <v>500</v>
      </c>
      <c r="L444" s="205"/>
      <c r="M444" s="205"/>
      <c r="N444" s="205"/>
      <c r="O444" s="205"/>
    </row>
    <row r="445" spans="1:16" ht="15.75" x14ac:dyDescent="0.25">
      <c r="A445" s="198" t="s">
        <v>111</v>
      </c>
      <c r="B445" s="200" t="s">
        <v>489</v>
      </c>
      <c r="C445" s="200"/>
      <c r="D445" s="200"/>
      <c r="E445" s="200"/>
      <c r="F445" s="253" t="s">
        <v>494</v>
      </c>
      <c r="G445" s="1014">
        <v>4</v>
      </c>
      <c r="I445" s="206" t="s">
        <v>88</v>
      </c>
      <c r="J445" s="206"/>
      <c r="K445" s="206" t="s">
        <v>501</v>
      </c>
      <c r="L445" s="206"/>
      <c r="M445" s="206"/>
      <c r="N445" s="206"/>
      <c r="O445" s="206"/>
    </row>
    <row r="446" spans="1:16" ht="15.75" x14ac:dyDescent="0.25">
      <c r="A446" s="82"/>
      <c r="B446" s="82"/>
      <c r="C446" s="82"/>
      <c r="D446" s="82"/>
      <c r="E446" s="82"/>
      <c r="F446" s="249" t="s">
        <v>497</v>
      </c>
      <c r="G446" s="188">
        <f>SUM(G441:G445)</f>
        <v>22</v>
      </c>
    </row>
    <row r="447" spans="1:16" ht="15.75" x14ac:dyDescent="0.2">
      <c r="B447" s="54" t="s">
        <v>216</v>
      </c>
      <c r="C447" s="52"/>
      <c r="D447" s="52"/>
      <c r="E447" s="52"/>
      <c r="F447" s="250" t="str">
        <f>IF(G446&lt;10,I441,IF(G446&lt;18,I442,IF(G446&lt;26,I443,IF(G446&lt;34,I444,IF(G446&lt;41,I445,"NAPAKA")))))</f>
        <v>Cenovni razred III</v>
      </c>
      <c r="G447" s="52"/>
    </row>
    <row r="454" spans="1:7" ht="15.75" x14ac:dyDescent="0.25">
      <c r="B454" s="265" t="s">
        <v>372</v>
      </c>
      <c r="C454" s="298" t="s">
        <v>223</v>
      </c>
      <c r="D454" s="298" t="s">
        <v>224</v>
      </c>
      <c r="E454" s="298" t="s">
        <v>225</v>
      </c>
      <c r="F454" s="298" t="s">
        <v>226</v>
      </c>
      <c r="G454" s="298" t="s">
        <v>227</v>
      </c>
    </row>
    <row r="455" spans="1:7" ht="51" outlineLevel="1" x14ac:dyDescent="0.2">
      <c r="A455" s="329"/>
      <c r="B455" s="331" t="s">
        <v>549</v>
      </c>
      <c r="C455" s="332" t="s">
        <v>228</v>
      </c>
      <c r="D455" s="332"/>
      <c r="E455" s="332"/>
      <c r="F455" s="332"/>
      <c r="G455" s="332"/>
    </row>
    <row r="456" spans="1:7" ht="38.25" outlineLevel="1" x14ac:dyDescent="0.2">
      <c r="A456" s="329"/>
      <c r="B456" s="333" t="s">
        <v>606</v>
      </c>
      <c r="C456" s="334"/>
      <c r="D456" s="334" t="s">
        <v>228</v>
      </c>
      <c r="E456" s="334"/>
      <c r="F456" s="334"/>
      <c r="G456" s="334"/>
    </row>
    <row r="457" spans="1:7" ht="38.25" outlineLevel="1" x14ac:dyDescent="0.2">
      <c r="A457" s="329"/>
      <c r="B457" s="333" t="s">
        <v>605</v>
      </c>
      <c r="C457" s="374"/>
      <c r="D457" s="374"/>
      <c r="E457" s="374" t="s">
        <v>228</v>
      </c>
      <c r="F457" s="374"/>
      <c r="G457" s="374"/>
    </row>
    <row r="458" spans="1:7" ht="51" outlineLevel="1" x14ac:dyDescent="0.2">
      <c r="A458" s="330"/>
      <c r="B458" s="335" t="s">
        <v>604</v>
      </c>
      <c r="C458" s="259"/>
      <c r="D458" s="259"/>
      <c r="E458" s="259"/>
      <c r="F458" s="277" t="s">
        <v>228</v>
      </c>
      <c r="G458" s="259"/>
    </row>
    <row r="459" spans="1:7" ht="25.5" outlineLevel="1" x14ac:dyDescent="0.2">
      <c r="A459" s="329"/>
      <c r="B459" s="333" t="s">
        <v>603</v>
      </c>
      <c r="C459" s="259"/>
      <c r="D459" s="259"/>
      <c r="E459" s="259"/>
      <c r="F459" s="259"/>
      <c r="G459" s="277" t="s">
        <v>228</v>
      </c>
    </row>
    <row r="460" spans="1:7" ht="15.75" collapsed="1" x14ac:dyDescent="0.2">
      <c r="A460" s="327"/>
      <c r="B460" s="260" t="s">
        <v>550</v>
      </c>
      <c r="C460" s="375"/>
      <c r="D460" s="375"/>
      <c r="E460" s="375"/>
      <c r="F460" s="375"/>
      <c r="G460" s="375"/>
    </row>
    <row r="461" spans="1:7" ht="38.25" hidden="1" outlineLevel="1" x14ac:dyDescent="0.2">
      <c r="A461" s="329"/>
      <c r="B461" s="276" t="s">
        <v>263</v>
      </c>
      <c r="C461" s="277" t="s">
        <v>228</v>
      </c>
      <c r="D461" s="259"/>
      <c r="E461" s="259"/>
      <c r="F461" s="259"/>
      <c r="G461" s="259"/>
    </row>
    <row r="462" spans="1:7" ht="39.6" hidden="1" customHeight="1" outlineLevel="1" x14ac:dyDescent="0.2">
      <c r="A462" s="329"/>
      <c r="B462" s="276" t="s">
        <v>273</v>
      </c>
      <c r="C462" s="259"/>
      <c r="D462" s="277" t="s">
        <v>228</v>
      </c>
      <c r="E462" s="259"/>
      <c r="F462" s="259"/>
      <c r="G462" s="259"/>
    </row>
    <row r="463" spans="1:7" ht="13.15" hidden="1" customHeight="1" outlineLevel="1" x14ac:dyDescent="0.2">
      <c r="A463" s="329"/>
      <c r="B463" s="276" t="s">
        <v>305</v>
      </c>
      <c r="C463" s="259"/>
      <c r="D463" s="259"/>
      <c r="E463" s="277" t="s">
        <v>228</v>
      </c>
      <c r="F463" s="259"/>
      <c r="G463" s="259"/>
    </row>
    <row r="464" spans="1:7" hidden="1" outlineLevel="1" x14ac:dyDescent="0.2">
      <c r="A464" s="329"/>
      <c r="B464" s="276" t="s">
        <v>254</v>
      </c>
      <c r="C464" s="259"/>
      <c r="D464" s="259"/>
      <c r="E464" s="259"/>
      <c r="F464" s="277" t="s">
        <v>228</v>
      </c>
      <c r="G464" s="259"/>
    </row>
    <row r="465" spans="1:7" hidden="1" outlineLevel="1" x14ac:dyDescent="0.2">
      <c r="A465" s="329"/>
      <c r="B465" s="276" t="s">
        <v>260</v>
      </c>
      <c r="C465" s="259"/>
      <c r="D465" s="259"/>
      <c r="E465" s="259"/>
      <c r="F465" s="259"/>
      <c r="G465" s="277" t="s">
        <v>228</v>
      </c>
    </row>
    <row r="466" spans="1:7" ht="15.75" collapsed="1" x14ac:dyDescent="0.2">
      <c r="A466" s="328"/>
      <c r="B466" s="260" t="s">
        <v>551</v>
      </c>
      <c r="C466" s="375"/>
      <c r="D466" s="375"/>
      <c r="E466" s="375"/>
      <c r="F466" s="375"/>
      <c r="G466" s="375"/>
    </row>
    <row r="467" spans="1:7" hidden="1" outlineLevel="1" x14ac:dyDescent="0.2">
      <c r="A467" s="329"/>
      <c r="B467" s="333" t="s">
        <v>552</v>
      </c>
      <c r="C467" s="259"/>
      <c r="D467" s="277" t="s">
        <v>228</v>
      </c>
      <c r="E467" s="259"/>
      <c r="F467" s="259"/>
      <c r="G467" s="259"/>
    </row>
    <row r="468" spans="1:7" ht="34.9" hidden="1" customHeight="1" outlineLevel="1" x14ac:dyDescent="0.2">
      <c r="A468" s="329"/>
      <c r="B468" s="337" t="s">
        <v>553</v>
      </c>
      <c r="C468" s="259"/>
      <c r="D468" s="259"/>
      <c r="E468" s="277" t="s">
        <v>228</v>
      </c>
      <c r="F468" s="259"/>
      <c r="G468" s="259"/>
    </row>
    <row r="469" spans="1:7" ht="29.45" hidden="1" customHeight="1" outlineLevel="1" x14ac:dyDescent="0.2">
      <c r="A469" s="329"/>
      <c r="B469" s="337" t="s">
        <v>554</v>
      </c>
      <c r="C469" s="259"/>
      <c r="D469" s="259"/>
      <c r="E469" s="259"/>
      <c r="F469" s="277" t="s">
        <v>228</v>
      </c>
      <c r="G469" s="259"/>
    </row>
    <row r="470" spans="1:7" hidden="1" outlineLevel="1" x14ac:dyDescent="0.2">
      <c r="A470" s="328"/>
      <c r="B470" s="336"/>
      <c r="C470" s="375"/>
      <c r="D470" s="375"/>
      <c r="E470" s="375"/>
      <c r="F470" s="375"/>
      <c r="G470" s="375"/>
    </row>
    <row r="471" spans="1:7" ht="25.5" hidden="1" outlineLevel="1" x14ac:dyDescent="0.2">
      <c r="A471" s="329"/>
      <c r="B471" s="333" t="s">
        <v>555</v>
      </c>
      <c r="C471" s="259"/>
      <c r="D471" s="277" t="s">
        <v>228</v>
      </c>
      <c r="E471" s="259"/>
      <c r="F471" s="259"/>
      <c r="G471" s="259"/>
    </row>
    <row r="472" spans="1:7" hidden="1" outlineLevel="1" x14ac:dyDescent="0.2">
      <c r="A472" s="329"/>
      <c r="B472" s="333" t="s">
        <v>557</v>
      </c>
      <c r="C472" s="259"/>
      <c r="D472" s="259"/>
      <c r="E472" s="277" t="s">
        <v>228</v>
      </c>
      <c r="F472" s="259"/>
      <c r="G472" s="259"/>
    </row>
    <row r="473" spans="1:7" ht="25.5" hidden="1" outlineLevel="1" x14ac:dyDescent="0.2">
      <c r="A473" s="329"/>
      <c r="B473" s="333" t="s">
        <v>556</v>
      </c>
      <c r="C473" s="259"/>
      <c r="D473" s="259"/>
      <c r="E473" s="259"/>
      <c r="F473" s="277" t="s">
        <v>228</v>
      </c>
      <c r="G473" s="259"/>
    </row>
    <row r="474" spans="1:7" ht="15.75" collapsed="1" x14ac:dyDescent="0.2">
      <c r="A474" s="328"/>
      <c r="B474" s="260" t="s">
        <v>558</v>
      </c>
      <c r="C474" s="375"/>
      <c r="D474" s="375"/>
      <c r="E474" s="375"/>
      <c r="F474" s="375"/>
      <c r="G474" s="375"/>
    </row>
    <row r="475" spans="1:7" hidden="1" outlineLevel="1" x14ac:dyDescent="0.2">
      <c r="A475" s="329"/>
      <c r="B475" s="333" t="s">
        <v>559</v>
      </c>
      <c r="C475" s="259"/>
      <c r="D475" s="259"/>
      <c r="E475" s="277" t="s">
        <v>228</v>
      </c>
      <c r="F475" s="259"/>
      <c r="G475" s="259"/>
    </row>
    <row r="476" spans="1:7" hidden="1" outlineLevel="1" x14ac:dyDescent="0.2">
      <c r="A476" s="329"/>
      <c r="B476" s="333" t="s">
        <v>560</v>
      </c>
      <c r="C476" s="259"/>
      <c r="D476" s="259"/>
      <c r="E476" s="259"/>
      <c r="F476" s="277" t="s">
        <v>228</v>
      </c>
      <c r="G476" s="259"/>
    </row>
    <row r="477" spans="1:7" ht="15.75" collapsed="1" x14ac:dyDescent="0.2">
      <c r="A477" s="328"/>
      <c r="B477" s="260" t="s">
        <v>561</v>
      </c>
      <c r="C477" s="375"/>
      <c r="D477" s="375"/>
      <c r="E477" s="375"/>
      <c r="F477" s="375"/>
      <c r="G477" s="375"/>
    </row>
    <row r="478" spans="1:7" hidden="1" outlineLevel="1" x14ac:dyDescent="0.2">
      <c r="A478" s="329"/>
      <c r="B478" s="333" t="s">
        <v>562</v>
      </c>
      <c r="C478" s="259"/>
      <c r="D478" s="277" t="s">
        <v>228</v>
      </c>
      <c r="E478" s="259"/>
      <c r="F478" s="259"/>
      <c r="G478" s="259"/>
    </row>
    <row r="479" spans="1:7" hidden="1" outlineLevel="1" x14ac:dyDescent="0.2">
      <c r="A479" s="329"/>
      <c r="B479" s="333" t="s">
        <v>563</v>
      </c>
      <c r="C479" s="259"/>
      <c r="D479" s="259"/>
      <c r="E479" s="277" t="s">
        <v>228</v>
      </c>
      <c r="F479" s="259"/>
      <c r="G479" s="259"/>
    </row>
    <row r="480" spans="1:7" hidden="1" outlineLevel="1" x14ac:dyDescent="0.2">
      <c r="A480" s="329"/>
      <c r="B480" s="333" t="s">
        <v>564</v>
      </c>
      <c r="C480" s="259"/>
      <c r="D480" s="259"/>
      <c r="E480" s="259"/>
      <c r="F480" s="277" t="s">
        <v>228</v>
      </c>
      <c r="G480" s="259"/>
    </row>
    <row r="481" spans="1:7" hidden="1" outlineLevel="1" x14ac:dyDescent="0.2">
      <c r="A481" s="329"/>
      <c r="B481" s="333" t="s">
        <v>564</v>
      </c>
      <c r="C481" s="259"/>
      <c r="D481" s="259"/>
      <c r="E481" s="259"/>
      <c r="F481" s="259"/>
      <c r="G481" s="277" t="s">
        <v>228</v>
      </c>
    </row>
    <row r="482" spans="1:7" hidden="1" outlineLevel="1" x14ac:dyDescent="0.2">
      <c r="A482" s="329"/>
      <c r="B482" s="333" t="s">
        <v>565</v>
      </c>
      <c r="C482" s="259"/>
      <c r="D482" s="259"/>
      <c r="E482" s="259"/>
      <c r="F482" s="277" t="s">
        <v>228</v>
      </c>
      <c r="G482" s="259"/>
    </row>
    <row r="483" spans="1:7" hidden="1" outlineLevel="1" x14ac:dyDescent="0.2">
      <c r="A483" s="329"/>
      <c r="B483" s="333" t="s">
        <v>566</v>
      </c>
      <c r="C483" s="259"/>
      <c r="D483" s="259"/>
      <c r="E483" s="259"/>
      <c r="F483" s="259"/>
      <c r="G483" s="277" t="s">
        <v>228</v>
      </c>
    </row>
    <row r="484" spans="1:7" hidden="1" outlineLevel="1" x14ac:dyDescent="0.2">
      <c r="A484" s="329"/>
      <c r="B484" s="333" t="s">
        <v>567</v>
      </c>
      <c r="C484" s="259"/>
      <c r="D484" s="259"/>
      <c r="E484" s="259"/>
      <c r="F484" s="277" t="s">
        <v>228</v>
      </c>
      <c r="G484" s="259"/>
    </row>
    <row r="485" spans="1:7" hidden="1" outlineLevel="1" x14ac:dyDescent="0.2">
      <c r="A485" s="329"/>
      <c r="B485" s="333" t="s">
        <v>568</v>
      </c>
      <c r="C485" s="259"/>
      <c r="D485" s="259"/>
      <c r="E485" s="259"/>
      <c r="F485" s="259"/>
      <c r="G485" s="277" t="s">
        <v>228</v>
      </c>
    </row>
    <row r="486" spans="1:7" hidden="1" outlineLevel="1" x14ac:dyDescent="0.2">
      <c r="A486" s="329"/>
      <c r="B486" s="333" t="s">
        <v>579</v>
      </c>
      <c r="C486" s="259"/>
      <c r="D486" s="259"/>
      <c r="E486" s="259"/>
      <c r="F486" s="277" t="s">
        <v>228</v>
      </c>
      <c r="G486" s="259"/>
    </row>
    <row r="487" spans="1:7" ht="25.5" hidden="1" outlineLevel="1" x14ac:dyDescent="0.2">
      <c r="A487" s="329"/>
      <c r="B487" s="333" t="s">
        <v>580</v>
      </c>
      <c r="C487" s="259"/>
      <c r="D487" s="259"/>
      <c r="E487" s="259"/>
      <c r="F487" s="259"/>
      <c r="G487" s="277" t="s">
        <v>228</v>
      </c>
    </row>
    <row r="488" spans="1:7" hidden="1" outlineLevel="1" x14ac:dyDescent="0.2">
      <c r="A488" s="329"/>
      <c r="B488" s="333" t="s">
        <v>569</v>
      </c>
      <c r="C488" s="259"/>
      <c r="D488" s="259"/>
      <c r="E488" s="259"/>
      <c r="F488" s="277" t="s">
        <v>228</v>
      </c>
      <c r="G488" s="259"/>
    </row>
    <row r="489" spans="1:7" ht="25.5" hidden="1" outlineLevel="1" x14ac:dyDescent="0.2">
      <c r="A489" s="329"/>
      <c r="B489" s="333" t="s">
        <v>570</v>
      </c>
      <c r="C489" s="259"/>
      <c r="D489" s="259"/>
      <c r="E489" s="277" t="s">
        <v>228</v>
      </c>
      <c r="F489" s="259"/>
      <c r="G489" s="259"/>
    </row>
    <row r="490" spans="1:7" hidden="1" outlineLevel="1" x14ac:dyDescent="0.2">
      <c r="A490" s="329"/>
      <c r="B490" s="333" t="s">
        <v>571</v>
      </c>
      <c r="C490" s="259"/>
      <c r="D490" s="259"/>
      <c r="E490" s="259"/>
      <c r="F490" s="277" t="s">
        <v>228</v>
      </c>
      <c r="G490" s="259"/>
    </row>
    <row r="491" spans="1:7" hidden="1" outlineLevel="1" x14ac:dyDescent="0.2">
      <c r="A491" s="329"/>
      <c r="B491" s="338" t="s">
        <v>572</v>
      </c>
      <c r="C491" s="259"/>
      <c r="D491" s="259"/>
      <c r="E491" s="259"/>
      <c r="F491" s="259"/>
      <c r="G491" s="277" t="s">
        <v>228</v>
      </c>
    </row>
    <row r="492" spans="1:7" ht="15.75" collapsed="1" x14ac:dyDescent="0.2">
      <c r="A492" s="328"/>
      <c r="B492" s="260" t="s">
        <v>577</v>
      </c>
      <c r="C492" s="375"/>
      <c r="D492" s="375"/>
      <c r="E492" s="375"/>
      <c r="F492" s="375"/>
      <c r="G492" s="375"/>
    </row>
    <row r="493" spans="1:7" hidden="1" outlineLevel="1" x14ac:dyDescent="0.2">
      <c r="A493" s="329"/>
      <c r="B493" s="333" t="s">
        <v>573</v>
      </c>
      <c r="C493" s="259"/>
      <c r="D493" s="259"/>
      <c r="E493" s="277" t="s">
        <v>228</v>
      </c>
      <c r="F493" s="259"/>
      <c r="G493" s="259"/>
    </row>
    <row r="494" spans="1:7" ht="25.5" hidden="1" outlineLevel="1" x14ac:dyDescent="0.2">
      <c r="A494" s="329"/>
      <c r="B494" s="337" t="s">
        <v>574</v>
      </c>
      <c r="C494" s="259"/>
      <c r="D494" s="259"/>
      <c r="E494" s="259"/>
      <c r="F494" s="277" t="s">
        <v>228</v>
      </c>
      <c r="G494" s="259"/>
    </row>
    <row r="495" spans="1:7" ht="25.5" hidden="1" outlineLevel="1" x14ac:dyDescent="0.2">
      <c r="A495" s="329"/>
      <c r="B495" s="333" t="s">
        <v>575</v>
      </c>
      <c r="C495" s="259"/>
      <c r="D495" s="259"/>
      <c r="E495" s="277" t="s">
        <v>228</v>
      </c>
      <c r="F495" s="259"/>
      <c r="G495" s="259"/>
    </row>
    <row r="496" spans="1:7" hidden="1" outlineLevel="1" x14ac:dyDescent="0.2">
      <c r="A496" s="329"/>
      <c r="B496" s="333" t="s">
        <v>576</v>
      </c>
      <c r="C496" s="259"/>
      <c r="D496" s="259"/>
      <c r="E496" s="259"/>
      <c r="F496" s="277" t="s">
        <v>228</v>
      </c>
      <c r="G496" s="259"/>
    </row>
    <row r="497" spans="1:7" ht="25.5" hidden="1" outlineLevel="1" x14ac:dyDescent="0.2">
      <c r="A497" s="329"/>
      <c r="B497" s="333" t="s">
        <v>578</v>
      </c>
      <c r="C497" s="259"/>
      <c r="D497" s="259"/>
      <c r="E497" s="259"/>
      <c r="F497" s="259"/>
      <c r="G497" s="277" t="s">
        <v>228</v>
      </c>
    </row>
    <row r="498" spans="1:7" hidden="1" outlineLevel="1" x14ac:dyDescent="0.2">
      <c r="A498" s="329"/>
      <c r="B498" s="333" t="s">
        <v>581</v>
      </c>
      <c r="C498" s="259"/>
      <c r="D498" s="259"/>
      <c r="E498" s="259"/>
      <c r="F498" s="277" t="s">
        <v>228</v>
      </c>
      <c r="G498" s="259"/>
    </row>
    <row r="499" spans="1:7" hidden="1" outlineLevel="1" x14ac:dyDescent="0.2">
      <c r="A499" s="329"/>
      <c r="B499" s="333" t="s">
        <v>582</v>
      </c>
      <c r="C499" s="259"/>
      <c r="D499" s="259"/>
      <c r="E499" s="259"/>
      <c r="F499" s="259"/>
      <c r="G499" s="277" t="s">
        <v>228</v>
      </c>
    </row>
    <row r="500" spans="1:7" ht="15.75" collapsed="1" x14ac:dyDescent="0.2">
      <c r="A500" s="328"/>
      <c r="B500" s="260" t="s">
        <v>583</v>
      </c>
      <c r="C500" s="375"/>
      <c r="D500" s="375"/>
      <c r="E500" s="375"/>
      <c r="F500" s="375"/>
      <c r="G500" s="375"/>
    </row>
    <row r="501" spans="1:7" hidden="1" outlineLevel="1" x14ac:dyDescent="0.2">
      <c r="A501" s="329"/>
      <c r="B501" s="333" t="s">
        <v>584</v>
      </c>
      <c r="C501" s="259"/>
      <c r="D501" s="259"/>
      <c r="E501" s="259"/>
      <c r="F501" s="277" t="s">
        <v>228</v>
      </c>
      <c r="G501" s="259"/>
    </row>
    <row r="502" spans="1:7" hidden="1" outlineLevel="1" x14ac:dyDescent="0.2">
      <c r="A502" s="329"/>
      <c r="B502" s="333" t="s">
        <v>588</v>
      </c>
      <c r="C502" s="259"/>
      <c r="D502" s="259"/>
      <c r="E502" s="259"/>
      <c r="F502" s="259"/>
      <c r="G502" s="277" t="s">
        <v>228</v>
      </c>
    </row>
    <row r="503" spans="1:7" ht="15.75" collapsed="1" x14ac:dyDescent="0.2">
      <c r="A503" s="328"/>
      <c r="B503" s="260" t="s">
        <v>585</v>
      </c>
      <c r="C503" s="375"/>
      <c r="D503" s="375"/>
      <c r="E503" s="375"/>
      <c r="F503" s="375"/>
      <c r="G503" s="375"/>
    </row>
    <row r="504" spans="1:7" hidden="1" outlineLevel="1" x14ac:dyDescent="0.2">
      <c r="A504" s="329"/>
      <c r="B504" s="333" t="s">
        <v>586</v>
      </c>
      <c r="C504" s="259"/>
      <c r="D504" s="259"/>
      <c r="E504" s="259"/>
      <c r="F504" s="277" t="s">
        <v>228</v>
      </c>
      <c r="G504" s="259"/>
    </row>
    <row r="505" spans="1:7" hidden="1" outlineLevel="1" x14ac:dyDescent="0.2">
      <c r="A505" s="329"/>
      <c r="B505" s="333" t="s">
        <v>587</v>
      </c>
      <c r="C505" s="259"/>
      <c r="D505" s="259"/>
      <c r="E505" s="259"/>
      <c r="F505" s="259"/>
      <c r="G505" s="277" t="s">
        <v>228</v>
      </c>
    </row>
    <row r="506" spans="1:7" ht="15.75" collapsed="1" x14ac:dyDescent="0.2">
      <c r="A506" s="328"/>
      <c r="B506" s="260" t="s">
        <v>589</v>
      </c>
      <c r="C506" s="375"/>
      <c r="D506" s="375"/>
      <c r="E506" s="375"/>
      <c r="F506" s="375"/>
      <c r="G506" s="375"/>
    </row>
    <row r="507" spans="1:7" ht="25.5" hidden="1" outlineLevel="1" x14ac:dyDescent="0.2">
      <c r="A507" s="329"/>
      <c r="B507" s="333" t="s">
        <v>590</v>
      </c>
      <c r="C507" s="259"/>
      <c r="D507" s="259"/>
      <c r="E507" s="259"/>
      <c r="F507" s="277" t="s">
        <v>228</v>
      </c>
      <c r="G507" s="259"/>
    </row>
    <row r="508" spans="1:7" ht="25.5" hidden="1" outlineLevel="1" x14ac:dyDescent="0.2">
      <c r="A508" s="329"/>
      <c r="B508" s="333" t="s">
        <v>591</v>
      </c>
      <c r="C508" s="259"/>
      <c r="D508" s="259"/>
      <c r="E508" s="259"/>
      <c r="F508" s="259"/>
      <c r="G508" s="277" t="s">
        <v>228</v>
      </c>
    </row>
    <row r="509" spans="1:7" hidden="1" outlineLevel="1" x14ac:dyDescent="0.2">
      <c r="A509" s="329"/>
      <c r="B509" s="333" t="s">
        <v>592</v>
      </c>
      <c r="C509" s="259"/>
      <c r="D509" s="259"/>
      <c r="E509" s="259"/>
      <c r="F509" s="259"/>
      <c r="G509" s="277" t="s">
        <v>228</v>
      </c>
    </row>
    <row r="510" spans="1:7" ht="25.5" hidden="1" outlineLevel="1" x14ac:dyDescent="0.2">
      <c r="A510" s="329"/>
      <c r="B510" s="337" t="s">
        <v>593</v>
      </c>
      <c r="C510" s="259"/>
      <c r="D510" s="259"/>
      <c r="E510" s="259"/>
      <c r="F510" s="259"/>
      <c r="G510" s="277" t="s">
        <v>228</v>
      </c>
    </row>
    <row r="511" spans="1:7" ht="25.5" hidden="1" outlineLevel="1" x14ac:dyDescent="0.2">
      <c r="A511" s="329"/>
      <c r="B511" s="337" t="s">
        <v>594</v>
      </c>
      <c r="C511" s="259"/>
      <c r="D511" s="259"/>
      <c r="E511" s="259"/>
      <c r="F511" s="259"/>
      <c r="G511" s="277" t="s">
        <v>228</v>
      </c>
    </row>
    <row r="512" spans="1:7" ht="15.75" collapsed="1" x14ac:dyDescent="0.2">
      <c r="A512" s="328"/>
      <c r="B512" s="260" t="s">
        <v>595</v>
      </c>
      <c r="C512" s="375"/>
      <c r="D512" s="375"/>
      <c r="E512" s="375"/>
      <c r="F512" s="375"/>
      <c r="G512" s="375"/>
    </row>
    <row r="513" spans="1:7" hidden="1" outlineLevel="1" x14ac:dyDescent="0.2">
      <c r="A513" s="329"/>
      <c r="B513" s="333" t="s">
        <v>596</v>
      </c>
      <c r="C513" s="259"/>
      <c r="D513" s="259"/>
      <c r="E513" s="277" t="s">
        <v>228</v>
      </c>
      <c r="F513" s="259"/>
      <c r="G513" s="259"/>
    </row>
    <row r="514" spans="1:7" hidden="1" outlineLevel="1" x14ac:dyDescent="0.2">
      <c r="A514" s="329"/>
      <c r="B514" s="333" t="s">
        <v>597</v>
      </c>
      <c r="C514" s="259"/>
      <c r="D514" s="259"/>
      <c r="E514" s="259"/>
      <c r="F514" s="277" t="s">
        <v>228</v>
      </c>
      <c r="G514" s="259"/>
    </row>
    <row r="515" spans="1:7" hidden="1" outlineLevel="1" x14ac:dyDescent="0.2">
      <c r="A515" s="329"/>
      <c r="B515" s="333" t="s">
        <v>598</v>
      </c>
      <c r="C515" s="259"/>
      <c r="D515" s="259"/>
      <c r="E515" s="259"/>
      <c r="F515" s="259"/>
      <c r="G515" s="277" t="s">
        <v>228</v>
      </c>
    </row>
    <row r="516" spans="1:7" ht="15.75" collapsed="1" x14ac:dyDescent="0.2">
      <c r="A516" s="328"/>
      <c r="B516" s="260" t="s">
        <v>602</v>
      </c>
      <c r="C516" s="375"/>
      <c r="D516" s="375"/>
      <c r="E516" s="375"/>
      <c r="F516" s="375"/>
      <c r="G516" s="375"/>
    </row>
    <row r="517" spans="1:7" hidden="1" outlineLevel="1" x14ac:dyDescent="0.2">
      <c r="A517" s="329"/>
      <c r="B517" s="333" t="s">
        <v>599</v>
      </c>
      <c r="C517" s="258"/>
      <c r="D517" s="277" t="s">
        <v>228</v>
      </c>
      <c r="E517" s="258"/>
      <c r="F517" s="258"/>
      <c r="G517" s="258"/>
    </row>
    <row r="518" spans="1:7" hidden="1" outlineLevel="1" x14ac:dyDescent="0.2">
      <c r="A518" s="329"/>
      <c r="B518" s="333" t="s">
        <v>600</v>
      </c>
      <c r="C518" s="258"/>
      <c r="D518" s="258"/>
      <c r="E518" s="258"/>
      <c r="F518" s="277" t="s">
        <v>228</v>
      </c>
      <c r="G518" s="258"/>
    </row>
    <row r="519" spans="1:7" ht="25.5" hidden="1" outlineLevel="1" x14ac:dyDescent="0.2">
      <c r="A519" s="329"/>
      <c r="B519" s="333" t="s">
        <v>601</v>
      </c>
      <c r="C519" s="258"/>
      <c r="D519" s="258"/>
      <c r="E519" s="258"/>
      <c r="F519" s="258"/>
      <c r="G519" s="277" t="s">
        <v>228</v>
      </c>
    </row>
    <row r="525" spans="1:7" x14ac:dyDescent="0.2">
      <c r="F525"/>
      <c r="G525"/>
    </row>
    <row r="526" spans="1:7" x14ac:dyDescent="0.2">
      <c r="F526"/>
      <c r="G526"/>
    </row>
    <row r="527" spans="1:7" ht="15.75" x14ac:dyDescent="0.25">
      <c r="B527" s="265" t="s">
        <v>368</v>
      </c>
      <c r="C527" s="298" t="s">
        <v>223</v>
      </c>
      <c r="D527" s="298" t="s">
        <v>224</v>
      </c>
      <c r="E527" s="298" t="s">
        <v>225</v>
      </c>
      <c r="F527"/>
      <c r="G527"/>
    </row>
    <row r="528" spans="1:7" ht="15.75" x14ac:dyDescent="0.2">
      <c r="B528" s="260" t="s">
        <v>639</v>
      </c>
      <c r="F528"/>
      <c r="G528"/>
    </row>
    <row r="529" spans="2:7" ht="26.25" customHeight="1" outlineLevel="1" x14ac:dyDescent="0.2">
      <c r="B529" s="333" t="s">
        <v>640</v>
      </c>
      <c r="C529" s="277" t="s">
        <v>228</v>
      </c>
      <c r="D529" s="334"/>
      <c r="E529" s="334"/>
      <c r="F529"/>
      <c r="G529"/>
    </row>
    <row r="530" spans="2:7" ht="38.25" outlineLevel="1" x14ac:dyDescent="0.2">
      <c r="B530" s="333" t="s">
        <v>641</v>
      </c>
      <c r="C530" s="277"/>
      <c r="D530" s="277" t="s">
        <v>228</v>
      </c>
      <c r="E530" s="334"/>
      <c r="F530"/>
      <c r="G530"/>
    </row>
    <row r="531" spans="2:7" ht="51" outlineLevel="1" x14ac:dyDescent="0.2">
      <c r="B531" s="333" t="s">
        <v>642</v>
      </c>
      <c r="C531" s="277"/>
      <c r="D531" s="277"/>
      <c r="E531" s="277" t="s">
        <v>228</v>
      </c>
      <c r="F531"/>
      <c r="G531"/>
    </row>
    <row r="532" spans="2:7" outlineLevel="1" x14ac:dyDescent="0.2">
      <c r="B532" s="333" t="s">
        <v>643</v>
      </c>
      <c r="C532" s="277"/>
      <c r="D532" s="277"/>
      <c r="E532" s="277" t="s">
        <v>228</v>
      </c>
      <c r="F532"/>
      <c r="G532"/>
    </row>
    <row r="533" spans="2:7" outlineLevel="1" x14ac:dyDescent="0.2">
      <c r="B533" s="333" t="s">
        <v>650</v>
      </c>
      <c r="C533" s="277" t="s">
        <v>228</v>
      </c>
      <c r="D533" s="334"/>
      <c r="E533" s="334"/>
      <c r="F533"/>
      <c r="G533"/>
    </row>
    <row r="534" spans="2:7" ht="25.5" outlineLevel="1" x14ac:dyDescent="0.2">
      <c r="B534" s="333" t="s">
        <v>647</v>
      </c>
      <c r="C534" s="277"/>
      <c r="D534" s="277" t="s">
        <v>228</v>
      </c>
      <c r="E534" s="334"/>
      <c r="F534"/>
      <c r="G534"/>
    </row>
    <row r="535" spans="2:7" outlineLevel="1" x14ac:dyDescent="0.2">
      <c r="B535" s="333" t="s">
        <v>644</v>
      </c>
      <c r="C535" s="277"/>
      <c r="D535" s="277" t="s">
        <v>228</v>
      </c>
      <c r="E535" s="334"/>
      <c r="F535"/>
      <c r="G535"/>
    </row>
    <row r="536" spans="2:7" outlineLevel="1" x14ac:dyDescent="0.2">
      <c r="B536" s="333" t="s">
        <v>645</v>
      </c>
      <c r="C536" s="277"/>
      <c r="D536" s="277" t="s">
        <v>228</v>
      </c>
      <c r="E536" s="334"/>
      <c r="F536"/>
      <c r="G536"/>
    </row>
    <row r="537" spans="2:7" outlineLevel="1" x14ac:dyDescent="0.2">
      <c r="B537" s="333" t="s">
        <v>646</v>
      </c>
      <c r="C537" s="277"/>
      <c r="D537" s="277" t="s">
        <v>228</v>
      </c>
      <c r="E537" s="334"/>
      <c r="F537"/>
      <c r="G537"/>
    </row>
    <row r="538" spans="2:7" outlineLevel="1" x14ac:dyDescent="0.2">
      <c r="B538" s="333" t="s">
        <v>648</v>
      </c>
      <c r="C538" s="277"/>
      <c r="D538" s="277"/>
      <c r="E538" s="277" t="s">
        <v>228</v>
      </c>
      <c r="F538"/>
      <c r="G538"/>
    </row>
    <row r="539" spans="2:7" ht="38.25" outlineLevel="1" x14ac:dyDescent="0.2">
      <c r="B539" s="333" t="s">
        <v>649</v>
      </c>
      <c r="C539" s="277"/>
      <c r="D539" s="277"/>
      <c r="E539" s="277" t="s">
        <v>228</v>
      </c>
      <c r="F539"/>
      <c r="G539"/>
    </row>
    <row r="540" spans="2:7" outlineLevel="1" x14ac:dyDescent="0.2">
      <c r="B540" s="333" t="s">
        <v>638</v>
      </c>
      <c r="C540" s="277" t="s">
        <v>228</v>
      </c>
      <c r="D540" s="334"/>
      <c r="E540" s="334"/>
      <c r="F540"/>
      <c r="G540"/>
    </row>
    <row r="541" spans="2:7" ht="25.5" outlineLevel="1" x14ac:dyDescent="0.2">
      <c r="B541" s="333" t="s">
        <v>651</v>
      </c>
      <c r="C541" s="277"/>
      <c r="D541" s="277" t="s">
        <v>228</v>
      </c>
      <c r="E541" s="334"/>
      <c r="F541"/>
      <c r="G541"/>
    </row>
    <row r="542" spans="2:7" ht="25.5" outlineLevel="1" x14ac:dyDescent="0.2">
      <c r="B542" s="333" t="s">
        <v>652</v>
      </c>
      <c r="C542" s="277"/>
      <c r="D542" s="277"/>
      <c r="E542" s="277" t="s">
        <v>228</v>
      </c>
      <c r="F542"/>
      <c r="G542"/>
    </row>
    <row r="543" spans="2:7" ht="25.5" outlineLevel="1" x14ac:dyDescent="0.2">
      <c r="B543" s="333" t="s">
        <v>653</v>
      </c>
      <c r="C543" s="277"/>
      <c r="D543" s="277"/>
      <c r="E543" s="277" t="s">
        <v>228</v>
      </c>
      <c r="F543"/>
      <c r="G543"/>
    </row>
    <row r="544" spans="2:7" outlineLevel="1" x14ac:dyDescent="0.2">
      <c r="B544" s="333" t="s">
        <v>655</v>
      </c>
      <c r="C544" s="277"/>
      <c r="D544" s="277"/>
      <c r="E544" s="277" t="s">
        <v>228</v>
      </c>
      <c r="F544"/>
      <c r="G544"/>
    </row>
    <row r="545" spans="1:7" outlineLevel="1" x14ac:dyDescent="0.2">
      <c r="B545" s="333" t="s">
        <v>654</v>
      </c>
      <c r="C545" s="277"/>
      <c r="D545" s="277"/>
      <c r="E545" s="277" t="s">
        <v>228</v>
      </c>
      <c r="F545"/>
      <c r="G545"/>
    </row>
    <row r="546" spans="1:7" ht="15.75" x14ac:dyDescent="0.2">
      <c r="A546">
        <v>0</v>
      </c>
      <c r="B546" s="260" t="s">
        <v>656</v>
      </c>
      <c r="C546" s="277"/>
      <c r="D546" s="334"/>
      <c r="E546" s="334"/>
      <c r="F546"/>
      <c r="G546"/>
    </row>
    <row r="547" spans="1:7" ht="25.5" outlineLevel="1" x14ac:dyDescent="0.2">
      <c r="B547" s="333" t="s">
        <v>658</v>
      </c>
      <c r="C547" s="277" t="s">
        <v>228</v>
      </c>
      <c r="D547" s="334"/>
      <c r="E547" s="334"/>
      <c r="F547"/>
      <c r="G547"/>
    </row>
    <row r="548" spans="1:7" outlineLevel="1" x14ac:dyDescent="0.2">
      <c r="B548" s="333" t="s">
        <v>657</v>
      </c>
      <c r="C548" s="277" t="s">
        <v>228</v>
      </c>
      <c r="D548" s="334"/>
      <c r="E548" s="334"/>
      <c r="F548"/>
      <c r="G548"/>
    </row>
    <row r="549" spans="1:7" ht="38.25" outlineLevel="1" x14ac:dyDescent="0.2">
      <c r="B549" s="333" t="s">
        <v>659</v>
      </c>
      <c r="C549" s="334"/>
      <c r="D549" s="277" t="s">
        <v>228</v>
      </c>
      <c r="E549" s="334"/>
      <c r="F549"/>
      <c r="G549"/>
    </row>
    <row r="550" spans="1:7" ht="25.5" outlineLevel="1" x14ac:dyDescent="0.2">
      <c r="B550" s="333" t="s">
        <v>665</v>
      </c>
      <c r="C550" s="334"/>
      <c r="D550" s="277" t="s">
        <v>228</v>
      </c>
      <c r="E550" s="334"/>
      <c r="F550"/>
      <c r="G550"/>
    </row>
    <row r="551" spans="1:7" outlineLevel="1" x14ac:dyDescent="0.2">
      <c r="B551" s="333" t="s">
        <v>660</v>
      </c>
      <c r="C551" s="334"/>
      <c r="D551" s="277" t="s">
        <v>228</v>
      </c>
      <c r="E551" s="334"/>
      <c r="F551"/>
      <c r="G551"/>
    </row>
    <row r="552" spans="1:7" outlineLevel="1" x14ac:dyDescent="0.2">
      <c r="B552" s="333" t="s">
        <v>661</v>
      </c>
      <c r="C552" s="334"/>
      <c r="D552" s="277" t="s">
        <v>228</v>
      </c>
      <c r="E552" s="334"/>
      <c r="F552"/>
      <c r="G552"/>
    </row>
    <row r="553" spans="1:7" ht="25.5" outlineLevel="1" x14ac:dyDescent="0.2">
      <c r="B553" s="333" t="s">
        <v>662</v>
      </c>
      <c r="C553" s="334"/>
      <c r="D553" s="277" t="s">
        <v>228</v>
      </c>
      <c r="E553" s="334"/>
      <c r="F553"/>
      <c r="G553"/>
    </row>
    <row r="554" spans="1:7" outlineLevel="1" x14ac:dyDescent="0.2">
      <c r="B554" s="333" t="s">
        <v>663</v>
      </c>
      <c r="C554" s="334"/>
      <c r="D554" s="277" t="s">
        <v>228</v>
      </c>
      <c r="E554" s="334"/>
      <c r="F554"/>
      <c r="G554"/>
    </row>
    <row r="555" spans="1:7" ht="51" outlineLevel="1" x14ac:dyDescent="0.2">
      <c r="B555" s="333" t="s">
        <v>664</v>
      </c>
      <c r="C555" s="334"/>
      <c r="D555" s="334"/>
      <c r="E555" s="277" t="s">
        <v>228</v>
      </c>
      <c r="F555"/>
      <c r="G555"/>
    </row>
    <row r="556" spans="1:7" ht="25.5" outlineLevel="1" x14ac:dyDescent="0.2">
      <c r="B556" s="333" t="s">
        <v>666</v>
      </c>
      <c r="C556" s="334"/>
      <c r="D556" s="334"/>
      <c r="E556" s="277" t="s">
        <v>228</v>
      </c>
      <c r="F556"/>
      <c r="G556"/>
    </row>
    <row r="557" spans="1:7" ht="25.5" outlineLevel="1" x14ac:dyDescent="0.2">
      <c r="B557" s="333" t="s">
        <v>667</v>
      </c>
      <c r="C557" s="334"/>
      <c r="D557" s="334"/>
      <c r="E557" s="277" t="s">
        <v>228</v>
      </c>
      <c r="F557"/>
      <c r="G557"/>
    </row>
    <row r="558" spans="1:7" ht="25.5" outlineLevel="1" x14ac:dyDescent="0.2">
      <c r="B558" s="333" t="s">
        <v>668</v>
      </c>
      <c r="C558" s="334"/>
      <c r="D558" s="334"/>
      <c r="E558" s="277" t="s">
        <v>228</v>
      </c>
      <c r="F558"/>
      <c r="G558"/>
    </row>
    <row r="559" spans="1:7" outlineLevel="1" x14ac:dyDescent="0.2">
      <c r="B559" s="333" t="s">
        <v>669</v>
      </c>
      <c r="C559" s="277" t="s">
        <v>228</v>
      </c>
      <c r="D559" s="334"/>
      <c r="E559" s="334"/>
      <c r="F559"/>
      <c r="G559"/>
    </row>
    <row r="560" spans="1:7" outlineLevel="1" x14ac:dyDescent="0.2">
      <c r="B560" s="333" t="s">
        <v>670</v>
      </c>
      <c r="C560" s="334"/>
      <c r="D560" s="277" t="s">
        <v>228</v>
      </c>
      <c r="E560" s="334"/>
      <c r="F560"/>
      <c r="G560"/>
    </row>
    <row r="561" spans="2:7" ht="63.75" outlineLevel="1" x14ac:dyDescent="0.2">
      <c r="B561" s="333" t="s">
        <v>671</v>
      </c>
      <c r="C561" s="334"/>
      <c r="D561" s="334"/>
      <c r="E561" s="277" t="s">
        <v>228</v>
      </c>
      <c r="F561"/>
      <c r="G561"/>
    </row>
    <row r="562" spans="2:7" ht="15.75" collapsed="1" x14ac:dyDescent="0.2">
      <c r="B562" s="260" t="s">
        <v>672</v>
      </c>
      <c r="C562" s="334"/>
      <c r="D562" s="334"/>
      <c r="E562" s="334"/>
      <c r="F562"/>
      <c r="G562"/>
    </row>
    <row r="563" spans="2:7" hidden="1" outlineLevel="1" x14ac:dyDescent="0.2">
      <c r="B563" s="333" t="s">
        <v>673</v>
      </c>
      <c r="C563" s="277" t="s">
        <v>228</v>
      </c>
      <c r="D563" s="334"/>
      <c r="E563" s="334"/>
      <c r="F563"/>
      <c r="G563"/>
    </row>
    <row r="564" spans="2:7" ht="25.5" hidden="1" outlineLevel="1" x14ac:dyDescent="0.2">
      <c r="B564" s="333" t="s">
        <v>674</v>
      </c>
      <c r="C564" s="334"/>
      <c r="D564" s="277" t="s">
        <v>228</v>
      </c>
      <c r="E564" s="334"/>
      <c r="F564"/>
      <c r="G564"/>
    </row>
    <row r="565" spans="2:7" ht="25.5" hidden="1" outlineLevel="1" x14ac:dyDescent="0.2">
      <c r="B565" s="333" t="s">
        <v>675</v>
      </c>
      <c r="C565" s="334"/>
      <c r="D565" s="334"/>
      <c r="E565" s="277" t="s">
        <v>228</v>
      </c>
      <c r="F565"/>
      <c r="G565"/>
    </row>
    <row r="566" spans="2:7" ht="15.75" collapsed="1" x14ac:dyDescent="0.2">
      <c r="B566" s="260" t="s">
        <v>676</v>
      </c>
      <c r="C566" s="334"/>
      <c r="D566" s="334"/>
      <c r="E566" s="334"/>
      <c r="F566"/>
      <c r="G566"/>
    </row>
    <row r="567" spans="2:7" hidden="1" outlineLevel="1" x14ac:dyDescent="0.2">
      <c r="B567" s="333" t="s">
        <v>677</v>
      </c>
      <c r="C567" s="277" t="s">
        <v>228</v>
      </c>
      <c r="D567" s="334"/>
      <c r="E567" s="334"/>
      <c r="F567"/>
      <c r="G567"/>
    </row>
    <row r="568" spans="2:7" ht="25.5" hidden="1" outlineLevel="1" x14ac:dyDescent="0.2">
      <c r="B568" s="333" t="s">
        <v>678</v>
      </c>
      <c r="C568" s="334"/>
      <c r="D568" s="277" t="s">
        <v>228</v>
      </c>
      <c r="E568" s="334"/>
      <c r="F568"/>
      <c r="G568"/>
    </row>
    <row r="569" spans="2:7" ht="25.5" hidden="1" outlineLevel="1" x14ac:dyDescent="0.2">
      <c r="B569" s="333" t="s">
        <v>679</v>
      </c>
      <c r="C569" s="334"/>
      <c r="D569" s="277" t="s">
        <v>228</v>
      </c>
      <c r="E569" s="334"/>
      <c r="F569"/>
      <c r="G569"/>
    </row>
    <row r="570" spans="2:7" ht="51" hidden="1" outlineLevel="1" x14ac:dyDescent="0.2">
      <c r="B570" s="333" t="s">
        <v>680</v>
      </c>
      <c r="C570" s="334"/>
      <c r="D570" s="334"/>
      <c r="E570" s="277" t="s">
        <v>228</v>
      </c>
      <c r="F570"/>
      <c r="G570"/>
    </row>
    <row r="571" spans="2:7" hidden="1" outlineLevel="1" x14ac:dyDescent="0.2">
      <c r="B571" s="333" t="s">
        <v>681</v>
      </c>
      <c r="C571" s="277" t="s">
        <v>228</v>
      </c>
      <c r="D571" s="334"/>
      <c r="E571" s="334"/>
      <c r="F571"/>
      <c r="G571"/>
    </row>
    <row r="572" spans="2:7" hidden="1" outlineLevel="1" x14ac:dyDescent="0.2">
      <c r="B572" s="333" t="s">
        <v>682</v>
      </c>
      <c r="C572" s="334"/>
      <c r="D572" s="277" t="s">
        <v>228</v>
      </c>
      <c r="E572" s="334"/>
      <c r="F572"/>
      <c r="G572"/>
    </row>
    <row r="573" spans="2:7" hidden="1" outlineLevel="1" x14ac:dyDescent="0.2">
      <c r="B573" s="333" t="s">
        <v>683</v>
      </c>
      <c r="C573" s="334"/>
      <c r="D573" s="334"/>
      <c r="E573" s="277" t="s">
        <v>228</v>
      </c>
      <c r="F573"/>
      <c r="G573"/>
    </row>
    <row r="574" spans="2:7" ht="25.5" hidden="1" outlineLevel="1" x14ac:dyDescent="0.2">
      <c r="B574" s="333" t="s">
        <v>684</v>
      </c>
      <c r="C574" s="277" t="s">
        <v>228</v>
      </c>
      <c r="D574" s="334"/>
      <c r="E574" s="334"/>
      <c r="F574"/>
      <c r="G574"/>
    </row>
    <row r="575" spans="2:7" ht="38.25" hidden="1" outlineLevel="1" x14ac:dyDescent="0.2">
      <c r="B575" s="333" t="s">
        <v>685</v>
      </c>
      <c r="C575" s="334"/>
      <c r="D575" s="277" t="s">
        <v>228</v>
      </c>
      <c r="E575" s="334"/>
      <c r="F575"/>
      <c r="G575"/>
    </row>
    <row r="576" spans="2:7" ht="25.5" hidden="1" outlineLevel="1" x14ac:dyDescent="0.2">
      <c r="B576" s="333" t="s">
        <v>686</v>
      </c>
      <c r="C576" s="334"/>
      <c r="D576" s="334"/>
      <c r="E576" s="277" t="s">
        <v>228</v>
      </c>
      <c r="F576"/>
      <c r="G576"/>
    </row>
    <row r="577" spans="2:7" hidden="1" outlineLevel="1" x14ac:dyDescent="0.2">
      <c r="B577" s="333" t="s">
        <v>690</v>
      </c>
      <c r="C577" s="277" t="s">
        <v>228</v>
      </c>
      <c r="D577" s="334"/>
      <c r="E577" s="277"/>
      <c r="F577"/>
      <c r="G577"/>
    </row>
    <row r="578" spans="2:7" ht="25.5" hidden="1" outlineLevel="1" x14ac:dyDescent="0.2">
      <c r="B578" s="333" t="s">
        <v>691</v>
      </c>
      <c r="C578" s="334"/>
      <c r="D578" s="277" t="s">
        <v>228</v>
      </c>
      <c r="E578" s="277"/>
      <c r="F578"/>
      <c r="G578"/>
    </row>
    <row r="579" spans="2:7" hidden="1" outlineLevel="1" x14ac:dyDescent="0.2">
      <c r="B579" s="333" t="s">
        <v>692</v>
      </c>
      <c r="C579" s="334"/>
      <c r="D579" s="277" t="s">
        <v>228</v>
      </c>
      <c r="E579" s="277"/>
      <c r="F579"/>
      <c r="G579"/>
    </row>
    <row r="580" spans="2:7" hidden="1" outlineLevel="1" x14ac:dyDescent="0.2">
      <c r="B580" s="333" t="s">
        <v>693</v>
      </c>
      <c r="C580" s="334"/>
      <c r="D580" s="334"/>
      <c r="E580" s="277" t="s">
        <v>228</v>
      </c>
      <c r="F580"/>
      <c r="G580"/>
    </row>
    <row r="581" spans="2:7" ht="38.25" hidden="1" outlineLevel="1" x14ac:dyDescent="0.2">
      <c r="B581" s="333" t="s">
        <v>694</v>
      </c>
      <c r="C581" s="334"/>
      <c r="D581" s="334"/>
      <c r="E581" s="277" t="s">
        <v>228</v>
      </c>
      <c r="F581"/>
      <c r="G581"/>
    </row>
    <row r="582" spans="2:7" ht="25.5" hidden="1" outlineLevel="1" x14ac:dyDescent="0.2">
      <c r="B582" s="333" t="s">
        <v>695</v>
      </c>
      <c r="C582" s="334"/>
      <c r="D582" s="334"/>
      <c r="E582" s="277" t="s">
        <v>228</v>
      </c>
      <c r="F582"/>
      <c r="G582"/>
    </row>
    <row r="583" spans="2:7" ht="38.25" hidden="1" outlineLevel="1" x14ac:dyDescent="0.2">
      <c r="B583" s="333" t="s">
        <v>696</v>
      </c>
      <c r="C583" s="334"/>
      <c r="D583" s="334"/>
      <c r="E583" s="277" t="s">
        <v>228</v>
      </c>
      <c r="F583"/>
      <c r="G583"/>
    </row>
    <row r="584" spans="2:7" hidden="1" outlineLevel="1" x14ac:dyDescent="0.2">
      <c r="B584" s="333" t="s">
        <v>697</v>
      </c>
      <c r="C584" s="334"/>
      <c r="D584" s="334"/>
      <c r="E584" s="277" t="s">
        <v>228</v>
      </c>
      <c r="F584"/>
      <c r="G584"/>
    </row>
    <row r="585" spans="2:7" ht="25.5" hidden="1" outlineLevel="1" x14ac:dyDescent="0.2">
      <c r="B585" s="333" t="s">
        <v>698</v>
      </c>
      <c r="C585" s="334"/>
      <c r="D585" s="334"/>
      <c r="E585" s="277" t="s">
        <v>228</v>
      </c>
      <c r="F585"/>
      <c r="G585"/>
    </row>
    <row r="586" spans="2:7" hidden="1" outlineLevel="1" x14ac:dyDescent="0.2">
      <c r="B586" s="333" t="s">
        <v>699</v>
      </c>
      <c r="C586" s="334"/>
      <c r="D586" s="277" t="s">
        <v>228</v>
      </c>
      <c r="E586" s="334"/>
      <c r="F586"/>
      <c r="G586"/>
    </row>
    <row r="587" spans="2:7" hidden="1" outlineLevel="1" x14ac:dyDescent="0.2">
      <c r="B587" s="333" t="s">
        <v>700</v>
      </c>
      <c r="C587" s="334"/>
      <c r="D587" s="334"/>
      <c r="E587" s="277" t="s">
        <v>228</v>
      </c>
      <c r="F587"/>
      <c r="G587"/>
    </row>
    <row r="588" spans="2:7" ht="15.75" collapsed="1" x14ac:dyDescent="0.2">
      <c r="B588" s="260" t="s">
        <v>701</v>
      </c>
      <c r="C588" s="334"/>
      <c r="D588" s="334"/>
      <c r="E588" s="277"/>
      <c r="F588"/>
      <c r="G588"/>
    </row>
    <row r="589" spans="2:7" ht="38.25" hidden="1" outlineLevel="1" x14ac:dyDescent="0.2">
      <c r="B589" s="333" t="s">
        <v>702</v>
      </c>
      <c r="C589" s="334"/>
      <c r="D589" s="277" t="s">
        <v>228</v>
      </c>
      <c r="E589" s="277"/>
      <c r="F589"/>
      <c r="G589"/>
    </row>
    <row r="590" spans="2:7" ht="38.25" hidden="1" outlineLevel="1" x14ac:dyDescent="0.2">
      <c r="B590" s="333" t="s">
        <v>703</v>
      </c>
      <c r="C590" s="334"/>
      <c r="D590" s="334"/>
      <c r="E590" s="277" t="s">
        <v>228</v>
      </c>
      <c r="F590"/>
      <c r="G590"/>
    </row>
    <row r="591" spans="2:7" ht="25.5" hidden="1" outlineLevel="1" x14ac:dyDescent="0.2">
      <c r="B591" s="333" t="s">
        <v>704</v>
      </c>
      <c r="C591" s="334"/>
      <c r="D591" s="277" t="s">
        <v>228</v>
      </c>
      <c r="E591" s="277"/>
      <c r="F591"/>
      <c r="G591"/>
    </row>
    <row r="592" spans="2:7" ht="25.5" hidden="1" outlineLevel="1" x14ac:dyDescent="0.2">
      <c r="B592" s="333" t="s">
        <v>705</v>
      </c>
      <c r="C592" s="334"/>
      <c r="D592" s="334"/>
      <c r="E592" s="277" t="s">
        <v>228</v>
      </c>
      <c r="F592"/>
      <c r="G592"/>
    </row>
    <row r="593" spans="2:7" ht="25.5" hidden="1" outlineLevel="1" x14ac:dyDescent="0.2">
      <c r="B593" s="333" t="s">
        <v>706</v>
      </c>
      <c r="C593" s="334"/>
      <c r="D593" s="277" t="s">
        <v>228</v>
      </c>
      <c r="E593" s="277"/>
      <c r="F593"/>
      <c r="G593"/>
    </row>
    <row r="594" spans="2:7" hidden="1" outlineLevel="1" x14ac:dyDescent="0.2">
      <c r="B594" s="333" t="s">
        <v>707</v>
      </c>
      <c r="C594" s="334"/>
      <c r="D594" s="334"/>
      <c r="E594" s="277" t="s">
        <v>228</v>
      </c>
      <c r="F594"/>
      <c r="G594"/>
    </row>
    <row r="595" spans="2:7" hidden="1" outlineLevel="1" x14ac:dyDescent="0.2">
      <c r="B595" s="333" t="s">
        <v>708</v>
      </c>
      <c r="C595" s="334"/>
      <c r="D595" s="277" t="s">
        <v>228</v>
      </c>
      <c r="E595" s="277"/>
      <c r="F595"/>
      <c r="G595"/>
    </row>
    <row r="596" spans="2:7" hidden="1" outlineLevel="1" x14ac:dyDescent="0.2">
      <c r="B596" s="333" t="s">
        <v>709</v>
      </c>
      <c r="C596" s="334"/>
      <c r="D596" s="334"/>
      <c r="E596" s="277" t="s">
        <v>228</v>
      </c>
      <c r="F596"/>
      <c r="G596"/>
    </row>
    <row r="597" spans="2:7" hidden="1" outlineLevel="1" x14ac:dyDescent="0.2">
      <c r="B597" s="333" t="s">
        <v>710</v>
      </c>
      <c r="C597" s="334"/>
      <c r="D597" s="277" t="s">
        <v>228</v>
      </c>
      <c r="E597" s="277"/>
      <c r="F597"/>
      <c r="G597"/>
    </row>
    <row r="598" spans="2:7" hidden="1" outlineLevel="1" x14ac:dyDescent="0.2">
      <c r="B598" s="333" t="s">
        <v>711</v>
      </c>
      <c r="C598" s="334"/>
      <c r="D598" s="334"/>
      <c r="E598" s="277" t="s">
        <v>228</v>
      </c>
      <c r="F598"/>
      <c r="G598"/>
    </row>
    <row r="599" spans="2:7" hidden="1" outlineLevel="1" x14ac:dyDescent="0.2">
      <c r="B599" s="333" t="s">
        <v>712</v>
      </c>
      <c r="C599" s="334"/>
      <c r="D599" s="277" t="s">
        <v>228</v>
      </c>
      <c r="E599" s="277"/>
      <c r="F599"/>
      <c r="G599"/>
    </row>
    <row r="600" spans="2:7" hidden="1" outlineLevel="1" x14ac:dyDescent="0.2">
      <c r="B600" s="333" t="s">
        <v>713</v>
      </c>
      <c r="C600" s="334"/>
      <c r="D600" s="277" t="s">
        <v>228</v>
      </c>
      <c r="E600" s="277"/>
      <c r="F600"/>
      <c r="G600"/>
    </row>
    <row r="601" spans="2:7" hidden="1" outlineLevel="1" x14ac:dyDescent="0.2">
      <c r="B601" s="333" t="s">
        <v>714</v>
      </c>
      <c r="C601" s="334"/>
      <c r="D601" s="334"/>
      <c r="E601" s="277" t="s">
        <v>228</v>
      </c>
      <c r="F601"/>
      <c r="G601"/>
    </row>
    <row r="602" spans="2:7" ht="25.5" hidden="1" outlineLevel="1" x14ac:dyDescent="0.2">
      <c r="B602" s="333" t="s">
        <v>715</v>
      </c>
      <c r="C602" s="334"/>
      <c r="D602" s="277" t="s">
        <v>228</v>
      </c>
      <c r="E602" s="277"/>
      <c r="F602"/>
      <c r="G602"/>
    </row>
    <row r="603" spans="2:7" hidden="1" outlineLevel="1" x14ac:dyDescent="0.2">
      <c r="B603" s="333" t="s">
        <v>716</v>
      </c>
      <c r="C603" s="334"/>
      <c r="D603" s="277" t="s">
        <v>228</v>
      </c>
      <c r="E603" s="277"/>
      <c r="F603"/>
      <c r="G603"/>
    </row>
    <row r="604" spans="2:7" hidden="1" outlineLevel="1" x14ac:dyDescent="0.2">
      <c r="B604" s="333" t="s">
        <v>717</v>
      </c>
      <c r="C604" s="334"/>
      <c r="D604" s="334"/>
      <c r="E604" s="277" t="s">
        <v>228</v>
      </c>
      <c r="F604"/>
      <c r="G604"/>
    </row>
    <row r="605" spans="2:7" ht="51" hidden="1" outlineLevel="1" x14ac:dyDescent="0.2">
      <c r="B605" s="333" t="s">
        <v>718</v>
      </c>
      <c r="C605" s="334"/>
      <c r="D605" s="277" t="s">
        <v>228</v>
      </c>
      <c r="E605" s="277"/>
      <c r="F605"/>
      <c r="G605"/>
    </row>
    <row r="606" spans="2:7" ht="38.25" hidden="1" outlineLevel="1" x14ac:dyDescent="0.2">
      <c r="B606" s="333" t="s">
        <v>719</v>
      </c>
      <c r="C606" s="334"/>
      <c r="D606" s="334"/>
      <c r="E606" s="277" t="s">
        <v>228</v>
      </c>
      <c r="F606"/>
      <c r="G606"/>
    </row>
    <row r="607" spans="2:7" ht="15.75" x14ac:dyDescent="0.2">
      <c r="B607" s="260" t="s">
        <v>720</v>
      </c>
      <c r="C607" s="334"/>
      <c r="D607" s="334"/>
      <c r="E607" s="277"/>
      <c r="F607"/>
      <c r="G607"/>
    </row>
    <row r="608" spans="2:7" ht="25.5" x14ac:dyDescent="0.2">
      <c r="B608" s="333" t="s">
        <v>721</v>
      </c>
      <c r="C608" s="334"/>
      <c r="D608" s="334"/>
      <c r="E608" s="277" t="s">
        <v>228</v>
      </c>
      <c r="F608"/>
      <c r="G608"/>
    </row>
    <row r="609" spans="2:7" x14ac:dyDescent="0.2">
      <c r="C609"/>
      <c r="D609"/>
      <c r="E609"/>
      <c r="F609"/>
      <c r="G609"/>
    </row>
    <row r="610" spans="2:7" x14ac:dyDescent="0.2">
      <c r="C610"/>
      <c r="D610"/>
      <c r="E610"/>
      <c r="F610"/>
      <c r="G610"/>
    </row>
    <row r="611" spans="2:7" x14ac:dyDescent="0.2">
      <c r="C611"/>
      <c r="D611"/>
      <c r="E611"/>
      <c r="F611"/>
      <c r="G611"/>
    </row>
    <row r="612" spans="2:7" ht="15.75" x14ac:dyDescent="0.25">
      <c r="B612" s="265" t="s">
        <v>377</v>
      </c>
      <c r="C612" s="256"/>
      <c r="D612" s="256"/>
      <c r="E612" s="256"/>
      <c r="F612"/>
      <c r="G612"/>
    </row>
    <row r="613" spans="2:7" x14ac:dyDescent="0.2">
      <c r="B613" s="333" t="s">
        <v>687</v>
      </c>
      <c r="C613" s="277" t="s">
        <v>228</v>
      </c>
      <c r="D613" s="334"/>
      <c r="E613" s="334"/>
      <c r="F613"/>
      <c r="G613"/>
    </row>
    <row r="614" spans="2:7" x14ac:dyDescent="0.2">
      <c r="B614" s="333" t="s">
        <v>688</v>
      </c>
      <c r="C614" s="334"/>
      <c r="D614" s="277" t="s">
        <v>228</v>
      </c>
      <c r="E614" s="334"/>
      <c r="F614"/>
      <c r="G614"/>
    </row>
    <row r="615" spans="2:7" x14ac:dyDescent="0.2">
      <c r="B615" s="333" t="s">
        <v>689</v>
      </c>
      <c r="C615" s="334"/>
      <c r="D615" s="334"/>
      <c r="E615" s="277" t="s">
        <v>228</v>
      </c>
      <c r="F615"/>
      <c r="G615"/>
    </row>
    <row r="616" spans="2:7" x14ac:dyDescent="0.2">
      <c r="C616"/>
      <c r="D616"/>
      <c r="E616"/>
      <c r="F616"/>
      <c r="G616"/>
    </row>
    <row r="617" spans="2:7" x14ac:dyDescent="0.2">
      <c r="C617"/>
      <c r="D617"/>
      <c r="E617"/>
      <c r="F617"/>
      <c r="G617"/>
    </row>
    <row r="618" spans="2:7" x14ac:dyDescent="0.2">
      <c r="C618"/>
      <c r="D618"/>
      <c r="E618"/>
      <c r="F618"/>
      <c r="G618"/>
    </row>
    <row r="619" spans="2:7" ht="15.75" x14ac:dyDescent="0.25">
      <c r="B619" s="265" t="s">
        <v>375</v>
      </c>
      <c r="C619" s="256"/>
      <c r="D619" s="256"/>
      <c r="E619" s="256"/>
      <c r="F619"/>
      <c r="G619"/>
    </row>
    <row r="620" spans="2:7" x14ac:dyDescent="0.2">
      <c r="B620" s="254" t="s">
        <v>476</v>
      </c>
      <c r="F620"/>
      <c r="G620"/>
    </row>
    <row r="621" spans="2:7" x14ac:dyDescent="0.2">
      <c r="F621"/>
      <c r="G621"/>
    </row>
    <row r="622" spans="2:7" x14ac:dyDescent="0.2">
      <c r="F622"/>
      <c r="G622"/>
    </row>
    <row r="624" spans="2:7" ht="15.75" x14ac:dyDescent="0.25">
      <c r="B624" s="265" t="s">
        <v>69</v>
      </c>
      <c r="C624" s="298" t="s">
        <v>223</v>
      </c>
      <c r="D624" s="298" t="s">
        <v>224</v>
      </c>
      <c r="E624" s="298" t="s">
        <v>225</v>
      </c>
      <c r="F624"/>
      <c r="G624"/>
    </row>
    <row r="625" spans="2:7" ht="25.5" x14ac:dyDescent="0.2">
      <c r="B625" s="242" t="s">
        <v>332</v>
      </c>
      <c r="C625" s="287" t="s">
        <v>228</v>
      </c>
      <c r="D625" s="287"/>
      <c r="E625" s="287"/>
      <c r="F625"/>
      <c r="G625"/>
    </row>
    <row r="626" spans="2:7" x14ac:dyDescent="0.2">
      <c r="B626" s="243" t="s">
        <v>333</v>
      </c>
      <c r="C626" s="277"/>
      <c r="D626" s="277" t="s">
        <v>228</v>
      </c>
      <c r="E626" s="277"/>
      <c r="F626"/>
      <c r="G626"/>
    </row>
    <row r="627" spans="2:7" x14ac:dyDescent="0.2">
      <c r="B627" s="243" t="s">
        <v>334</v>
      </c>
      <c r="C627" s="277"/>
      <c r="D627" s="277" t="s">
        <v>228</v>
      </c>
      <c r="E627" s="277"/>
      <c r="F627"/>
      <c r="G627"/>
    </row>
    <row r="628" spans="2:7" x14ac:dyDescent="0.2">
      <c r="B628" s="243" t="s">
        <v>335</v>
      </c>
      <c r="C628" s="277"/>
      <c r="D628" s="277" t="s">
        <v>228</v>
      </c>
      <c r="E628" s="277"/>
      <c r="F628"/>
      <c r="G628"/>
    </row>
    <row r="629" spans="2:7" x14ac:dyDescent="0.2">
      <c r="B629" s="243" t="s">
        <v>336</v>
      </c>
      <c r="C629" s="277"/>
      <c r="D629" s="277" t="s">
        <v>228</v>
      </c>
      <c r="E629" s="277"/>
      <c r="F629"/>
      <c r="G629"/>
    </row>
    <row r="630" spans="2:7" x14ac:dyDescent="0.2">
      <c r="B630" s="243" t="s">
        <v>337</v>
      </c>
      <c r="C630" s="277"/>
      <c r="D630" s="277" t="s">
        <v>228</v>
      </c>
      <c r="E630" s="277"/>
      <c r="F630"/>
      <c r="G630"/>
    </row>
    <row r="631" spans="2:7" x14ac:dyDescent="0.2">
      <c r="B631" s="243" t="s">
        <v>338</v>
      </c>
      <c r="C631" s="277"/>
      <c r="D631" s="277" t="s">
        <v>228</v>
      </c>
      <c r="E631" s="277"/>
      <c r="F631"/>
      <c r="G631"/>
    </row>
    <row r="632" spans="2:7" x14ac:dyDescent="0.2">
      <c r="B632" s="243" t="s">
        <v>339</v>
      </c>
      <c r="C632" s="277"/>
      <c r="D632" s="277" t="s">
        <v>228</v>
      </c>
      <c r="E632" s="277"/>
      <c r="F632"/>
      <c r="G632"/>
    </row>
    <row r="633" spans="2:7" x14ac:dyDescent="0.2">
      <c r="B633" s="243" t="s">
        <v>340</v>
      </c>
      <c r="C633" s="277"/>
      <c r="D633" s="277" t="s">
        <v>228</v>
      </c>
      <c r="E633" s="277"/>
      <c r="F633"/>
      <c r="G633"/>
    </row>
    <row r="634" spans="2:7" x14ac:dyDescent="0.2">
      <c r="B634" s="243" t="s">
        <v>341</v>
      </c>
      <c r="C634" s="277"/>
      <c r="D634" s="277" t="s">
        <v>228</v>
      </c>
      <c r="E634" s="277"/>
      <c r="F634"/>
      <c r="G634"/>
    </row>
    <row r="635" spans="2:7" x14ac:dyDescent="0.2">
      <c r="B635" s="243" t="s">
        <v>342</v>
      </c>
      <c r="C635" s="277"/>
      <c r="D635" s="277"/>
      <c r="E635" s="277" t="s">
        <v>228</v>
      </c>
      <c r="F635"/>
      <c r="G635"/>
    </row>
    <row r="636" spans="2:7" x14ac:dyDescent="0.2">
      <c r="B636" s="243" t="s">
        <v>343</v>
      </c>
      <c r="C636" s="277"/>
      <c r="D636" s="277"/>
      <c r="E636" s="277" t="s">
        <v>228</v>
      </c>
      <c r="F636"/>
      <c r="G636"/>
    </row>
    <row r="637" spans="2:7" ht="25.5" x14ac:dyDescent="0.2">
      <c r="B637" s="243" t="s">
        <v>344</v>
      </c>
      <c r="C637" s="277"/>
      <c r="D637" s="277"/>
      <c r="E637" s="277" t="s">
        <v>228</v>
      </c>
      <c r="F637"/>
      <c r="G637"/>
    </row>
    <row r="638" spans="2:7" ht="25.5" x14ac:dyDescent="0.2">
      <c r="B638" s="243" t="s">
        <v>345</v>
      </c>
      <c r="C638" s="277"/>
      <c r="D638" s="277"/>
      <c r="E638" s="277" t="s">
        <v>228</v>
      </c>
      <c r="F638"/>
      <c r="G638"/>
    </row>
    <row r="639" spans="2:7" x14ac:dyDescent="0.2">
      <c r="B639" s="243" t="s">
        <v>346</v>
      </c>
      <c r="C639" s="277"/>
      <c r="D639" s="277"/>
      <c r="E639" s="277" t="s">
        <v>228</v>
      </c>
      <c r="F639"/>
      <c r="G639"/>
    </row>
    <row r="640" spans="2:7" x14ac:dyDescent="0.2">
      <c r="B640" s="237"/>
      <c r="C640" s="239"/>
      <c r="D640" s="239"/>
      <c r="E640" s="239"/>
      <c r="F640"/>
      <c r="G640"/>
    </row>
    <row r="641" spans="2:7" x14ac:dyDescent="0.2">
      <c r="F641"/>
      <c r="G641"/>
    </row>
    <row r="643" spans="2:7" ht="15.75" x14ac:dyDescent="0.25">
      <c r="B643" s="265" t="s">
        <v>376</v>
      </c>
      <c r="C643" s="298" t="s">
        <v>223</v>
      </c>
      <c r="D643" s="298" t="s">
        <v>224</v>
      </c>
      <c r="E643" s="298" t="s">
        <v>225</v>
      </c>
      <c r="F643" s="298" t="s">
        <v>226</v>
      </c>
      <c r="G643" s="298" t="s">
        <v>227</v>
      </c>
    </row>
    <row r="644" spans="2:7" x14ac:dyDescent="0.2">
      <c r="B644" s="279" t="s">
        <v>347</v>
      </c>
      <c r="C644" s="288" t="s">
        <v>228</v>
      </c>
      <c r="D644" s="288"/>
      <c r="E644" s="288"/>
      <c r="F644" s="288"/>
      <c r="G644" s="288"/>
    </row>
    <row r="645" spans="2:7" x14ac:dyDescent="0.2">
      <c r="B645" s="280" t="s">
        <v>348</v>
      </c>
      <c r="C645" s="270"/>
      <c r="D645" s="270" t="s">
        <v>228</v>
      </c>
      <c r="E645" s="270"/>
      <c r="F645" s="270"/>
      <c r="G645" s="270"/>
    </row>
    <row r="646" spans="2:7" x14ac:dyDescent="0.2">
      <c r="B646" s="280" t="s">
        <v>349</v>
      </c>
      <c r="C646" s="270"/>
      <c r="D646" s="270"/>
      <c r="E646" s="270"/>
      <c r="F646" s="270"/>
      <c r="G646" s="270"/>
    </row>
    <row r="647" spans="2:7" x14ac:dyDescent="0.2">
      <c r="B647" s="297" t="s">
        <v>350</v>
      </c>
      <c r="C647" s="270"/>
      <c r="D647" s="270" t="s">
        <v>228</v>
      </c>
      <c r="E647" s="270"/>
      <c r="F647" s="270"/>
      <c r="G647" s="270"/>
    </row>
    <row r="648" spans="2:7" x14ac:dyDescent="0.2">
      <c r="B648" s="297" t="s">
        <v>351</v>
      </c>
      <c r="C648" s="270"/>
      <c r="D648" s="270"/>
      <c r="E648" s="270" t="s">
        <v>228</v>
      </c>
      <c r="F648" s="270"/>
      <c r="G648" s="270"/>
    </row>
    <row r="649" spans="2:7" x14ac:dyDescent="0.2">
      <c r="B649" s="297" t="s">
        <v>352</v>
      </c>
      <c r="C649" s="270"/>
      <c r="D649" s="270"/>
      <c r="E649" s="270"/>
      <c r="F649" s="270" t="s">
        <v>228</v>
      </c>
      <c r="G649" s="270"/>
    </row>
    <row r="650" spans="2:7" x14ac:dyDescent="0.2">
      <c r="B650" s="280" t="s">
        <v>353</v>
      </c>
      <c r="C650" s="270"/>
      <c r="D650" s="270"/>
      <c r="E650" s="270"/>
      <c r="F650" s="270"/>
      <c r="G650" s="270"/>
    </row>
    <row r="651" spans="2:7" x14ac:dyDescent="0.2">
      <c r="B651" s="297" t="s">
        <v>354</v>
      </c>
      <c r="C651" s="270"/>
      <c r="D651" s="270" t="s">
        <v>228</v>
      </c>
      <c r="E651" s="270"/>
      <c r="F651" s="270"/>
      <c r="G651" s="270"/>
    </row>
    <row r="652" spans="2:7" x14ac:dyDescent="0.2">
      <c r="B652" s="297" t="s">
        <v>355</v>
      </c>
      <c r="C652" s="270"/>
      <c r="D652" s="270"/>
      <c r="E652" s="270" t="s">
        <v>228</v>
      </c>
      <c r="F652" s="270"/>
      <c r="G652" s="270"/>
    </row>
    <row r="653" spans="2:7" x14ac:dyDescent="0.2">
      <c r="B653" s="297" t="s">
        <v>356</v>
      </c>
      <c r="C653" s="270"/>
      <c r="D653" s="270"/>
      <c r="E653" s="270"/>
      <c r="F653" s="270" t="s">
        <v>228</v>
      </c>
      <c r="G653" s="270"/>
    </row>
    <row r="654" spans="2:7" x14ac:dyDescent="0.2">
      <c r="B654" s="280" t="s">
        <v>357</v>
      </c>
      <c r="C654" s="270"/>
      <c r="D654" s="270"/>
      <c r="E654" s="270"/>
      <c r="F654" s="270"/>
      <c r="G654" s="270"/>
    </row>
    <row r="655" spans="2:7" x14ac:dyDescent="0.2">
      <c r="B655" s="297" t="s">
        <v>354</v>
      </c>
      <c r="C655" s="270"/>
      <c r="D655" s="270" t="s">
        <v>228</v>
      </c>
      <c r="E655" s="270"/>
      <c r="F655" s="270"/>
      <c r="G655" s="270"/>
    </row>
    <row r="656" spans="2:7" x14ac:dyDescent="0.2">
      <c r="B656" s="297" t="s">
        <v>355</v>
      </c>
      <c r="C656" s="270"/>
      <c r="D656" s="270"/>
      <c r="E656" s="270" t="s">
        <v>228</v>
      </c>
      <c r="F656" s="270"/>
      <c r="G656" s="270"/>
    </row>
    <row r="657" spans="2:7" x14ac:dyDescent="0.2">
      <c r="B657" s="297" t="s">
        <v>356</v>
      </c>
      <c r="C657" s="270"/>
      <c r="D657" s="270"/>
      <c r="E657" s="270"/>
      <c r="F657" s="270" t="s">
        <v>228</v>
      </c>
      <c r="G657" s="270"/>
    </row>
    <row r="658" spans="2:7" x14ac:dyDescent="0.2">
      <c r="B658" s="280" t="s">
        <v>358</v>
      </c>
      <c r="C658" s="270"/>
      <c r="D658" s="270"/>
      <c r="E658" s="270"/>
      <c r="F658" s="270"/>
      <c r="G658" s="270"/>
    </row>
    <row r="659" spans="2:7" x14ac:dyDescent="0.2">
      <c r="B659" s="297" t="s">
        <v>359</v>
      </c>
      <c r="C659" s="270"/>
      <c r="D659" s="270" t="s">
        <v>228</v>
      </c>
      <c r="E659" s="270"/>
      <c r="F659" s="270"/>
      <c r="G659" s="270"/>
    </row>
    <row r="660" spans="2:7" x14ac:dyDescent="0.2">
      <c r="B660" s="297" t="s">
        <v>360</v>
      </c>
      <c r="C660" s="270"/>
      <c r="D660" s="270"/>
      <c r="E660" s="270" t="s">
        <v>228</v>
      </c>
      <c r="F660" s="270"/>
      <c r="G660" s="270"/>
    </row>
    <row r="661" spans="2:7" x14ac:dyDescent="0.2">
      <c r="B661" s="280" t="s">
        <v>361</v>
      </c>
      <c r="C661" s="270"/>
      <c r="D661" s="270"/>
      <c r="E661" s="270"/>
      <c r="F661" s="270"/>
      <c r="G661" s="270"/>
    </row>
    <row r="662" spans="2:7" x14ac:dyDescent="0.2">
      <c r="B662" s="297" t="s">
        <v>362</v>
      </c>
      <c r="C662" s="270"/>
      <c r="D662" s="270"/>
      <c r="E662" s="270"/>
      <c r="F662" s="270" t="s">
        <v>228</v>
      </c>
      <c r="G662" s="270"/>
    </row>
    <row r="663" spans="2:7" x14ac:dyDescent="0.2">
      <c r="B663" s="297" t="s">
        <v>356</v>
      </c>
      <c r="C663" s="270"/>
      <c r="D663" s="270"/>
      <c r="E663" s="270"/>
      <c r="F663" s="270"/>
      <c r="G663" s="270" t="s">
        <v>228</v>
      </c>
    </row>
    <row r="664" spans="2:7" x14ac:dyDescent="0.2">
      <c r="B664" s="280" t="s">
        <v>363</v>
      </c>
      <c r="C664" s="270"/>
      <c r="D664" s="270"/>
      <c r="E664" s="270"/>
      <c r="F664" s="270"/>
      <c r="G664" s="270" t="s">
        <v>228</v>
      </c>
    </row>
    <row r="665" spans="2:7" x14ac:dyDescent="0.2">
      <c r="B665" s="280" t="s">
        <v>364</v>
      </c>
      <c r="C665" s="270"/>
      <c r="D665" s="270"/>
      <c r="E665" s="270"/>
      <c r="F665" s="270"/>
      <c r="G665" s="270" t="s">
        <v>228</v>
      </c>
    </row>
    <row r="668" spans="2:7" x14ac:dyDescent="0.2">
      <c r="C668"/>
      <c r="D668"/>
    </row>
    <row r="669" spans="2:7" x14ac:dyDescent="0.2">
      <c r="C669"/>
      <c r="D669"/>
    </row>
    <row r="670" spans="2:7" x14ac:dyDescent="0.2">
      <c r="C670"/>
      <c r="D670"/>
    </row>
    <row r="671" spans="2:7" x14ac:dyDescent="0.2">
      <c r="C671"/>
      <c r="D671"/>
    </row>
    <row r="672" spans="2:7" x14ac:dyDescent="0.2">
      <c r="C672"/>
      <c r="D672"/>
    </row>
    <row r="673" spans="3:4" x14ac:dyDescent="0.2">
      <c r="C673"/>
      <c r="D673"/>
    </row>
  </sheetData>
  <sheetProtection algorithmName="SHA-512" hashValue="eCIr1gHQkrQX11w9ms2j72ieHhxf4q4WpaztXRO9myUbq4WcJBkYn+auhMeoiYmicymMRAhoMCdjePof+CkBFA==" saltValue="1F1TjTwOZJJhhpzEMfTELQ==" spinCount="100000" sheet="1" objects="1" scenarios="1" formatCells="0" formatColumns="0" formatRows="0"/>
  <mergeCells count="6">
    <mergeCell ref="B261:G261"/>
    <mergeCell ref="B267:G267"/>
    <mergeCell ref="B317:G317"/>
    <mergeCell ref="B4:G4"/>
    <mergeCell ref="B259:G259"/>
    <mergeCell ref="B315:G315"/>
  </mergeCells>
  <phoneticPr fontId="6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00B0F0"/>
    <outlinePr summaryBelow="0"/>
    <pageSetUpPr fitToPage="1"/>
  </sheetPr>
  <dimension ref="A1:S1502"/>
  <sheetViews>
    <sheetView showGridLines="0" zoomScaleNormal="100" workbookViewId="0">
      <selection activeCell="N81" sqref="N81"/>
    </sheetView>
    <sheetView workbookViewId="1"/>
  </sheetViews>
  <sheetFormatPr defaultColWidth="9.140625" defaultRowHeight="14.25" outlineLevelRow="2" x14ac:dyDescent="0.25"/>
  <cols>
    <col min="1" max="1" width="10.7109375" style="14" customWidth="1"/>
    <col min="2" max="2" width="43.42578125" style="12" customWidth="1"/>
    <col min="3" max="3" width="8.7109375" style="15" customWidth="1"/>
    <col min="4" max="6" width="8.7109375" style="12" customWidth="1"/>
    <col min="7" max="7" width="10" style="12" customWidth="1"/>
    <col min="8" max="8" width="12" style="12" customWidth="1"/>
    <col min="9" max="9" width="15.7109375" style="12" customWidth="1"/>
    <col min="10" max="10" width="10.5703125" style="12" customWidth="1"/>
    <col min="11" max="15" width="8.7109375" style="12" customWidth="1"/>
    <col min="16" max="17" width="12.28515625" style="12" customWidth="1"/>
    <col min="18" max="18" width="8.7109375" style="12" customWidth="1"/>
    <col min="19" max="16384" width="9.140625" style="12"/>
  </cols>
  <sheetData>
    <row r="1" spans="1:10" s="16" customFormat="1" ht="18" customHeight="1" x14ac:dyDescent="0.2"/>
    <row r="2" spans="1:10" s="17" customFormat="1" ht="18" customHeight="1" x14ac:dyDescent="0.3"/>
    <row r="3" spans="1:10" s="16" customFormat="1" ht="26.25" x14ac:dyDescent="0.4">
      <c r="A3" s="17"/>
      <c r="B3" s="236" t="str">
        <f>'OSNOVNI PODATKI'!B3</f>
        <v>ARHIGRAM 6</v>
      </c>
      <c r="C3" s="17"/>
      <c r="D3" s="17"/>
      <c r="E3" s="17"/>
      <c r="F3" s="17"/>
      <c r="G3" s="17"/>
      <c r="H3" s="17"/>
      <c r="I3" s="18"/>
      <c r="J3" s="17"/>
    </row>
    <row r="4" spans="1:10" s="18" customFormat="1" ht="26.25" customHeight="1" x14ac:dyDescent="0.25">
      <c r="B4" s="1331" t="str">
        <f>'OSNOVNI PODATKI'!B4</f>
        <v>Vrednotenje storitev na področju arhitekturnega 
in krajinskoarhitekturnega projektiranja</v>
      </c>
      <c r="C4" s="1331"/>
    </row>
    <row r="5" spans="1:10" s="16" customFormat="1" ht="12.75" x14ac:dyDescent="0.2">
      <c r="A5" s="38" t="str">
        <f>'OSNOVNI PODATKI'!A5</f>
        <v>V 6.12</v>
      </c>
      <c r="B5" s="615" t="str">
        <f>'OSNOVNI PODATKI'!B5</f>
        <v>julij 2023</v>
      </c>
    </row>
    <row r="6" spans="1:10" s="16" customFormat="1" ht="18.75" x14ac:dyDescent="0.3">
      <c r="A6" s="19"/>
      <c r="B6" s="20"/>
      <c r="C6" s="17"/>
      <c r="D6" s="17"/>
      <c r="E6" s="17"/>
      <c r="F6" s="17"/>
      <c r="G6" s="17"/>
      <c r="H6" s="17"/>
      <c r="I6" s="17"/>
      <c r="J6" s="17"/>
    </row>
    <row r="7" spans="1:10" s="18" customFormat="1" ht="15.75" x14ac:dyDescent="0.25">
      <c r="A7" s="408" t="s">
        <v>58</v>
      </c>
      <c r="B7" s="616">
        <f>'OSNOVNI PODATKI'!E1</f>
        <v>0</v>
      </c>
      <c r="C7" s="45"/>
    </row>
    <row r="8" spans="1:10" s="18" customFormat="1" ht="15.75" x14ac:dyDescent="0.25">
      <c r="A8" s="408"/>
      <c r="B8" s="616">
        <f>'OSNOVNI PODATKI'!E2</f>
        <v>0</v>
      </c>
      <c r="C8" s="45"/>
    </row>
    <row r="9" spans="1:10" s="18" customFormat="1" ht="15.75" x14ac:dyDescent="0.25">
      <c r="A9" s="408" t="s">
        <v>59</v>
      </c>
      <c r="B9" s="616">
        <f>'OSNOVNI PODATKI'!E3</f>
        <v>0</v>
      </c>
      <c r="C9" s="45"/>
    </row>
    <row r="10" spans="1:10" s="18" customFormat="1" ht="15.75" x14ac:dyDescent="0.25">
      <c r="A10" s="408" t="s">
        <v>60</v>
      </c>
      <c r="B10" s="616">
        <f>'OSNOVNI PODATKI'!E4</f>
        <v>0</v>
      </c>
      <c r="C10" s="45"/>
      <c r="D10" s="41"/>
      <c r="E10" s="41"/>
      <c r="F10" s="41"/>
      <c r="G10" s="41"/>
      <c r="H10" s="41"/>
      <c r="J10" s="41"/>
    </row>
    <row r="11" spans="1:10" s="18" customFormat="1" ht="15.75" x14ac:dyDescent="0.25">
      <c r="A11" s="409" t="s">
        <v>61</v>
      </c>
      <c r="B11" s="619">
        <f ca="1">'OSNOVNI PODATKI'!E5</f>
        <v>45125</v>
      </c>
      <c r="C11" s="62"/>
      <c r="D11" s="41"/>
      <c r="E11" s="41"/>
      <c r="F11" s="41"/>
      <c r="G11" s="41"/>
      <c r="H11" s="41"/>
      <c r="J11" s="41"/>
    </row>
    <row r="12" spans="1:10" s="18" customFormat="1" ht="15.75" x14ac:dyDescent="0.25"/>
    <row r="13" spans="1:10" s="65" customFormat="1" ht="26.25" x14ac:dyDescent="0.2">
      <c r="A13" s="230" t="s">
        <v>747</v>
      </c>
      <c r="B13" s="230"/>
      <c r="C13" s="230"/>
      <c r="D13" s="230"/>
      <c r="E13" s="230"/>
      <c r="F13" s="230"/>
      <c r="G13" s="230"/>
      <c r="H13" s="230"/>
      <c r="I13" s="230"/>
    </row>
    <row r="14" spans="1:10" s="18" customFormat="1" ht="15.75" x14ac:dyDescent="0.25">
      <c r="A14" s="77"/>
      <c r="B14" s="22"/>
      <c r="C14" s="23"/>
      <c r="E14" s="23"/>
      <c r="F14" s="23"/>
      <c r="G14" s="24"/>
      <c r="H14" s="24"/>
      <c r="I14" s="25"/>
    </row>
    <row r="15" spans="1:10" s="227" customFormat="1" ht="15.75" x14ac:dyDescent="0.2"/>
    <row r="16" spans="1:10" s="41" customFormat="1" ht="18.75" x14ac:dyDescent="0.2">
      <c r="A16" s="431" t="s">
        <v>850</v>
      </c>
      <c r="B16" s="432"/>
      <c r="C16" s="432"/>
      <c r="D16" s="432"/>
      <c r="E16" s="432"/>
      <c r="F16" s="432"/>
      <c r="G16" s="432"/>
      <c r="H16" s="432"/>
      <c r="I16" s="1339">
        <v>46</v>
      </c>
    </row>
    <row r="17" spans="1:9" s="228" customFormat="1" ht="17.25" customHeight="1" x14ac:dyDescent="0.3">
      <c r="I17" s="468" t="s">
        <v>215</v>
      </c>
    </row>
    <row r="18" spans="1:9" s="18" customFormat="1" ht="15.75" x14ac:dyDescent="0.25"/>
    <row r="19" spans="1:9" ht="24.75" x14ac:dyDescent="0.25">
      <c r="A19" s="411"/>
      <c r="B19" s="412"/>
      <c r="C19" s="412"/>
      <c r="D19" s="412"/>
      <c r="E19" s="422"/>
      <c r="F19" s="413"/>
      <c r="G19" s="466" t="s">
        <v>849</v>
      </c>
      <c r="H19" s="467" t="s">
        <v>57</v>
      </c>
      <c r="I19" s="466" t="s">
        <v>70</v>
      </c>
    </row>
    <row r="20" spans="1:9" s="705" customFormat="1" ht="16.5" x14ac:dyDescent="0.2">
      <c r="A20" s="716" t="s">
        <v>33</v>
      </c>
      <c r="B20" s="707" t="s">
        <v>34</v>
      </c>
      <c r="C20" s="707"/>
      <c r="D20" s="707"/>
      <c r="E20" s="708"/>
      <c r="F20" s="709"/>
      <c r="G20" s="1015"/>
      <c r="H20" s="710">
        <f>+H21+H35+H49</f>
        <v>0</v>
      </c>
      <c r="I20" s="711">
        <f>+I21+I35+I49</f>
        <v>0</v>
      </c>
    </row>
    <row r="21" spans="1:9" s="484" customFormat="1" ht="16.5" customHeight="1" outlineLevel="1" collapsed="1" x14ac:dyDescent="0.2">
      <c r="A21" s="486" t="s">
        <v>35</v>
      </c>
      <c r="B21" s="513" t="s">
        <v>67</v>
      </c>
      <c r="C21" s="513"/>
      <c r="D21" s="513"/>
      <c r="E21" s="517"/>
      <c r="F21" s="518"/>
      <c r="G21" s="1016" t="b">
        <v>0</v>
      </c>
      <c r="H21" s="519">
        <f>SUM(H22:H34)</f>
        <v>0</v>
      </c>
      <c r="I21" s="485">
        <f>+H21*$I$16</f>
        <v>0</v>
      </c>
    </row>
    <row r="22" spans="1:9" s="219" customFormat="1" hidden="1" outlineLevel="2" x14ac:dyDescent="0.2">
      <c r="A22" s="1329"/>
      <c r="B22" s="456" t="s">
        <v>971</v>
      </c>
      <c r="C22" s="457"/>
      <c r="D22" s="457"/>
      <c r="E22" s="458"/>
      <c r="F22" s="459"/>
      <c r="G22" s="1017" t="b">
        <v>1</v>
      </c>
      <c r="H22" s="511">
        <f>IFERROR(IF(G21=TRUE,STAVBE!Q139+'NOTRANJA OPREMA'!Q193+'ODPRTI PROSTOR'!Q139,0),0)</f>
        <v>0</v>
      </c>
      <c r="I22" s="460">
        <f t="shared" ref="I22:I23" si="0">+H22*$I$16</f>
        <v>0</v>
      </c>
    </row>
    <row r="23" spans="1:9" s="461" customFormat="1" ht="12.6" hidden="1" customHeight="1" outlineLevel="2" x14ac:dyDescent="0.2">
      <c r="A23" s="1329"/>
      <c r="B23" s="456" t="s">
        <v>972</v>
      </c>
      <c r="C23" s="457"/>
      <c r="D23" s="457"/>
      <c r="E23" s="458"/>
      <c r="F23" s="459"/>
      <c r="G23" s="1017" t="b">
        <v>1</v>
      </c>
      <c r="H23" s="511">
        <f>IFERROR(IF(G21=TRUE,STAVBE!G139,0),0)</f>
        <v>0</v>
      </c>
      <c r="I23" s="460">
        <f t="shared" si="0"/>
        <v>0</v>
      </c>
    </row>
    <row r="24" spans="1:9" s="461" customFormat="1" ht="12.75" hidden="1" outlineLevel="2" x14ac:dyDescent="0.2">
      <c r="A24" s="1329"/>
      <c r="B24" s="456" t="s">
        <v>2</v>
      </c>
      <c r="C24" s="462"/>
      <c r="D24" s="462"/>
      <c r="E24" s="463"/>
      <c r="F24" s="464"/>
      <c r="G24" s="1018" t="b">
        <v>1</v>
      </c>
      <c r="H24" s="511">
        <f>IFERROR(IF(G21=TRUE,'NOTRANJA OPREMA'!G193,0),0)</f>
        <v>0</v>
      </c>
      <c r="I24" s="465">
        <f>+H24*$I$16</f>
        <v>0</v>
      </c>
    </row>
    <row r="25" spans="1:9" s="461" customFormat="1" ht="12.75" hidden="1" outlineLevel="2" x14ac:dyDescent="0.2">
      <c r="A25" s="1329"/>
      <c r="B25" s="456" t="s">
        <v>973</v>
      </c>
      <c r="C25" s="462"/>
      <c r="D25" s="462"/>
      <c r="E25" s="463"/>
      <c r="F25" s="464"/>
      <c r="G25" s="1018" t="b">
        <v>1</v>
      </c>
      <c r="H25" s="511">
        <f>IFERROR(IF(G21=TRUE,'ODPRTI PROSTOR'!G139*'OSNOVNI PODATKI'!$F$396,0),0)</f>
        <v>0</v>
      </c>
      <c r="I25" s="465">
        <f>+H25*$I$16</f>
        <v>0</v>
      </c>
    </row>
    <row r="26" spans="1:9" s="461" customFormat="1" ht="12.75" hidden="1" outlineLevel="2" x14ac:dyDescent="0.2">
      <c r="A26" s="1329"/>
      <c r="B26" s="456" t="s">
        <v>974</v>
      </c>
      <c r="C26" s="462"/>
      <c r="D26" s="462"/>
      <c r="E26" s="463"/>
      <c r="F26" s="464"/>
      <c r="G26" s="1018" t="b">
        <v>1</v>
      </c>
      <c r="H26" s="512">
        <f>IFERROR(IF(G21=TRUE,'ODPRTI PROSTOR'!G139*(100%-'OSNOVNI PODATKI'!$F$396),0),0)</f>
        <v>0</v>
      </c>
      <c r="I26" s="465">
        <f t="shared" ref="I26:I34" si="1">+H26*$I$16</f>
        <v>0</v>
      </c>
    </row>
    <row r="27" spans="1:9" s="473" customFormat="1" ht="12.75" hidden="1" outlineLevel="2" x14ac:dyDescent="0.2">
      <c r="A27" s="1329"/>
      <c r="B27" s="900" t="s">
        <v>372</v>
      </c>
      <c r="C27" s="901"/>
      <c r="D27" s="901"/>
      <c r="E27" s="902"/>
      <c r="F27" s="903"/>
      <c r="G27" s="1019" t="b">
        <v>1</v>
      </c>
      <c r="H27" s="905">
        <f>IFERROR(IF(G21=TRUE,'GRADBENE KONSTRUKCIJE'!G135,0),0)</f>
        <v>0</v>
      </c>
      <c r="I27" s="906">
        <f t="shared" si="1"/>
        <v>0</v>
      </c>
    </row>
    <row r="28" spans="1:9" s="473" customFormat="1" ht="12.75" hidden="1" outlineLevel="2" x14ac:dyDescent="0.2">
      <c r="A28" s="1329"/>
      <c r="B28" s="900" t="s">
        <v>975</v>
      </c>
      <c r="C28" s="901"/>
      <c r="D28" s="901"/>
      <c r="E28" s="902"/>
      <c r="F28" s="903"/>
      <c r="G28" s="1019" t="b">
        <v>1</v>
      </c>
      <c r="H28" s="905">
        <f>IFERROR(IF(G21=TRUE,'TEHNIČNA OPREMA'!G138,0),0)</f>
        <v>0</v>
      </c>
      <c r="I28" s="906">
        <f t="shared" si="1"/>
        <v>0</v>
      </c>
    </row>
    <row r="29" spans="1:9" s="473" customFormat="1" ht="12.75" hidden="1" outlineLevel="2" x14ac:dyDescent="0.2">
      <c r="A29" s="1329"/>
      <c r="B29" s="900" t="s">
        <v>976</v>
      </c>
      <c r="C29" s="901"/>
      <c r="D29" s="901"/>
      <c r="E29" s="902"/>
      <c r="F29" s="903"/>
      <c r="G29" s="1019" t="b">
        <v>1</v>
      </c>
      <c r="H29" s="905">
        <f>IFERROR(IF(G21=TRUE,'TEHNIČNA OPREMA'!G191,0),0)</f>
        <v>0</v>
      </c>
      <c r="I29" s="906">
        <f t="shared" si="1"/>
        <v>0</v>
      </c>
    </row>
    <row r="30" spans="1:9" s="473" customFormat="1" ht="12.75" hidden="1" outlineLevel="2" x14ac:dyDescent="0.2">
      <c r="A30" s="1329"/>
      <c r="B30" s="900" t="s">
        <v>365</v>
      </c>
      <c r="C30" s="901"/>
      <c r="D30" s="901"/>
      <c r="E30" s="902"/>
      <c r="F30" s="903"/>
      <c r="G30" s="1019" t="b">
        <v>1</v>
      </c>
      <c r="H30" s="905">
        <f>IFERROR(IF(G21=TRUE,'TEHNIČNA OPREMA'!G241,0),0)</f>
        <v>0</v>
      </c>
      <c r="I30" s="906">
        <f t="shared" si="1"/>
        <v>0</v>
      </c>
    </row>
    <row r="31" spans="1:9" s="473" customFormat="1" ht="12.75" hidden="1" outlineLevel="2" x14ac:dyDescent="0.2">
      <c r="A31" s="1329"/>
      <c r="B31" s="900" t="s">
        <v>377</v>
      </c>
      <c r="C31" s="901"/>
      <c r="D31" s="901"/>
      <c r="E31" s="902"/>
      <c r="F31" s="903"/>
      <c r="G31" s="1019" t="b">
        <v>1</v>
      </c>
      <c r="H31" s="905">
        <f>IFERROR(IF(G21=TRUE,'POŽARNA VARNOST'!G150,0),0)</f>
        <v>0</v>
      </c>
      <c r="I31" s="906">
        <f t="shared" si="1"/>
        <v>0</v>
      </c>
    </row>
    <row r="32" spans="1:9" s="473" customFormat="1" ht="12.75" hidden="1" outlineLevel="2" x14ac:dyDescent="0.2">
      <c r="A32" s="1329"/>
      <c r="B32" s="901" t="s">
        <v>375</v>
      </c>
      <c r="C32" s="901"/>
      <c r="D32" s="901"/>
      <c r="E32" s="902"/>
      <c r="F32" s="903"/>
      <c r="G32" s="1019" t="b">
        <v>1</v>
      </c>
      <c r="H32" s="905">
        <f>IFERROR(IF(G21=TRUE,'GRADBENA FIZIKA'!G140,0),0)</f>
        <v>0</v>
      </c>
      <c r="I32" s="906">
        <f t="shared" si="1"/>
        <v>0</v>
      </c>
    </row>
    <row r="33" spans="1:9" s="473" customFormat="1" ht="12.75" hidden="1" outlineLevel="2" x14ac:dyDescent="0.2">
      <c r="A33" s="1329"/>
      <c r="B33" s="907" t="s">
        <v>69</v>
      </c>
      <c r="C33" s="907"/>
      <c r="D33" s="907"/>
      <c r="E33" s="902"/>
      <c r="F33" s="903"/>
      <c r="G33" s="1019" t="b">
        <v>1</v>
      </c>
      <c r="H33" s="905">
        <f>IFERROR(IF(G21=TRUE,'GRADBENA FIZIKA'!G185,0),0)</f>
        <v>0</v>
      </c>
      <c r="I33" s="906">
        <f t="shared" si="1"/>
        <v>0</v>
      </c>
    </row>
    <row r="34" spans="1:9" s="473" customFormat="1" ht="12.75" hidden="1" outlineLevel="2" x14ac:dyDescent="0.2">
      <c r="A34" s="1330"/>
      <c r="B34" s="908" t="s">
        <v>376</v>
      </c>
      <c r="C34" s="908"/>
      <c r="D34" s="908"/>
      <c r="E34" s="909"/>
      <c r="F34" s="910"/>
      <c r="G34" s="1020" t="b">
        <v>1</v>
      </c>
      <c r="H34" s="911">
        <f>IFERROR(IF(G21=TRUE,'GRADBENA FIZIKA'!G230,0),0)</f>
        <v>0</v>
      </c>
      <c r="I34" s="912">
        <f t="shared" si="1"/>
        <v>0</v>
      </c>
    </row>
    <row r="35" spans="1:9" s="484" customFormat="1" ht="16.5" customHeight="1" outlineLevel="1" collapsed="1" x14ac:dyDescent="0.2">
      <c r="A35" s="486" t="s">
        <v>36</v>
      </c>
      <c r="B35" s="513" t="s">
        <v>68</v>
      </c>
      <c r="C35" s="513"/>
      <c r="D35" s="513"/>
      <c r="E35" s="517"/>
      <c r="F35" s="518"/>
      <c r="G35" s="1016" t="b">
        <v>0</v>
      </c>
      <c r="H35" s="519">
        <f>SUM(H36:H48)</f>
        <v>0</v>
      </c>
      <c r="I35" s="485">
        <f>+H35*$I$16</f>
        <v>0</v>
      </c>
    </row>
    <row r="36" spans="1:9" s="219" customFormat="1" hidden="1" outlineLevel="2" x14ac:dyDescent="0.2">
      <c r="A36" s="1329"/>
      <c r="B36" s="456" t="s">
        <v>971</v>
      </c>
      <c r="C36" s="457"/>
      <c r="D36" s="457"/>
      <c r="E36" s="458"/>
      <c r="F36" s="459"/>
      <c r="G36" s="1017" t="b">
        <v>1</v>
      </c>
      <c r="H36" s="511">
        <f>IFERROR(IF(G35=TRUE,STAVBE!Q140+'NOTRANJA OPREMA'!Q194+'ODPRTI PROSTOR'!Q140,0),0)</f>
        <v>0</v>
      </c>
      <c r="I36" s="460">
        <f t="shared" ref="I36:I37" si="2">+H36*$I$16</f>
        <v>0</v>
      </c>
    </row>
    <row r="37" spans="1:9" s="461" customFormat="1" ht="12.6" hidden="1" customHeight="1" outlineLevel="2" x14ac:dyDescent="0.2">
      <c r="A37" s="1329"/>
      <c r="B37" s="456" t="s">
        <v>972</v>
      </c>
      <c r="C37" s="457"/>
      <c r="D37" s="457"/>
      <c r="E37" s="458"/>
      <c r="F37" s="459"/>
      <c r="G37" s="1017" t="b">
        <v>1</v>
      </c>
      <c r="H37" s="511">
        <f>IFERROR(IF(G35=TRUE,STAVBE!G140,0),0)</f>
        <v>0</v>
      </c>
      <c r="I37" s="460">
        <f t="shared" si="2"/>
        <v>0</v>
      </c>
    </row>
    <row r="38" spans="1:9" s="461" customFormat="1" ht="12.75" hidden="1" outlineLevel="2" x14ac:dyDescent="0.2">
      <c r="A38" s="1329"/>
      <c r="B38" s="456" t="s">
        <v>2</v>
      </c>
      <c r="C38" s="462"/>
      <c r="D38" s="462"/>
      <c r="E38" s="463"/>
      <c r="F38" s="464"/>
      <c r="G38" s="1018" t="b">
        <v>1</v>
      </c>
      <c r="H38" s="511">
        <f>IFERROR(IF(G35=TRUE,'NOTRANJA OPREMA'!G194,0),0)</f>
        <v>0</v>
      </c>
      <c r="I38" s="465">
        <f>+H38*$I$16</f>
        <v>0</v>
      </c>
    </row>
    <row r="39" spans="1:9" s="461" customFormat="1" ht="12.75" hidden="1" outlineLevel="2" x14ac:dyDescent="0.2">
      <c r="A39" s="1329"/>
      <c r="B39" s="456" t="s">
        <v>973</v>
      </c>
      <c r="C39" s="462"/>
      <c r="D39" s="462"/>
      <c r="E39" s="463"/>
      <c r="F39" s="464"/>
      <c r="G39" s="1018" t="b">
        <v>1</v>
      </c>
      <c r="H39" s="511">
        <f>IFERROR(IF(G35=TRUE,'ODPRTI PROSTOR'!G140*'OSNOVNI PODATKI'!$F$396,0),0)</f>
        <v>0</v>
      </c>
      <c r="I39" s="465">
        <f>+H39*$I$16</f>
        <v>0</v>
      </c>
    </row>
    <row r="40" spans="1:9" s="461" customFormat="1" ht="12.75" hidden="1" outlineLevel="2" x14ac:dyDescent="0.2">
      <c r="A40" s="1329"/>
      <c r="B40" s="456" t="s">
        <v>974</v>
      </c>
      <c r="C40" s="462"/>
      <c r="D40" s="462"/>
      <c r="E40" s="463"/>
      <c r="F40" s="464"/>
      <c r="G40" s="1018" t="b">
        <v>1</v>
      </c>
      <c r="H40" s="512">
        <f>IFERROR(IF(G35=TRUE,'ODPRTI PROSTOR'!G140*(100%-'OSNOVNI PODATKI'!$F$396),0),0)</f>
        <v>0</v>
      </c>
      <c r="I40" s="465">
        <f t="shared" ref="I40:I48" si="3">+H40*$I$16</f>
        <v>0</v>
      </c>
    </row>
    <row r="41" spans="1:9" s="473" customFormat="1" ht="12.75" hidden="1" outlineLevel="2" x14ac:dyDescent="0.2">
      <c r="A41" s="1329"/>
      <c r="B41" s="900" t="s">
        <v>372</v>
      </c>
      <c r="C41" s="901"/>
      <c r="D41" s="901"/>
      <c r="E41" s="902"/>
      <c r="F41" s="903"/>
      <c r="G41" s="1019" t="b">
        <v>1</v>
      </c>
      <c r="H41" s="905">
        <f>IFERROR(IF(G35=TRUE,'GRADBENE KONSTRUKCIJE'!G136,0),0)</f>
        <v>0</v>
      </c>
      <c r="I41" s="906">
        <f t="shared" si="3"/>
        <v>0</v>
      </c>
    </row>
    <row r="42" spans="1:9" s="473" customFormat="1" ht="12.75" hidden="1" outlineLevel="2" x14ac:dyDescent="0.2">
      <c r="A42" s="1329"/>
      <c r="B42" s="900" t="s">
        <v>975</v>
      </c>
      <c r="C42" s="901"/>
      <c r="D42" s="901"/>
      <c r="E42" s="902"/>
      <c r="F42" s="903"/>
      <c r="G42" s="1019" t="b">
        <v>1</v>
      </c>
      <c r="H42" s="905">
        <f>IFERROR(IF(G35=TRUE,'TEHNIČNA OPREMA'!G139,0),0)</f>
        <v>0</v>
      </c>
      <c r="I42" s="906">
        <f t="shared" si="3"/>
        <v>0</v>
      </c>
    </row>
    <row r="43" spans="1:9" s="473" customFormat="1" ht="12.75" hidden="1" outlineLevel="2" x14ac:dyDescent="0.2">
      <c r="A43" s="1329"/>
      <c r="B43" s="900" t="s">
        <v>976</v>
      </c>
      <c r="C43" s="901"/>
      <c r="D43" s="901"/>
      <c r="E43" s="902"/>
      <c r="F43" s="903"/>
      <c r="G43" s="1019" t="b">
        <v>1</v>
      </c>
      <c r="H43" s="905">
        <f>IFERROR(IF(G35=TRUE,'TEHNIČNA OPREMA'!G192,0),0)</f>
        <v>0</v>
      </c>
      <c r="I43" s="906">
        <f t="shared" si="3"/>
        <v>0</v>
      </c>
    </row>
    <row r="44" spans="1:9" s="473" customFormat="1" ht="12.75" hidden="1" outlineLevel="2" x14ac:dyDescent="0.2">
      <c r="A44" s="1329"/>
      <c r="B44" s="900" t="s">
        <v>365</v>
      </c>
      <c r="C44" s="901"/>
      <c r="D44" s="901"/>
      <c r="E44" s="902"/>
      <c r="F44" s="903"/>
      <c r="G44" s="1019" t="b">
        <v>1</v>
      </c>
      <c r="H44" s="905">
        <f>IFERROR(IF(G35=TRUE,'TEHNIČNA OPREMA'!G242,0),0)</f>
        <v>0</v>
      </c>
      <c r="I44" s="906">
        <f t="shared" si="3"/>
        <v>0</v>
      </c>
    </row>
    <row r="45" spans="1:9" s="473" customFormat="1" ht="12.75" hidden="1" outlineLevel="2" x14ac:dyDescent="0.2">
      <c r="A45" s="1329"/>
      <c r="B45" s="900" t="s">
        <v>377</v>
      </c>
      <c r="C45" s="901"/>
      <c r="D45" s="901"/>
      <c r="E45" s="902"/>
      <c r="F45" s="903"/>
      <c r="G45" s="1019" t="b">
        <v>1</v>
      </c>
      <c r="H45" s="905">
        <f>IFERROR(IF(G35=TRUE,'POŽARNA VARNOST'!G151,0),0)</f>
        <v>0</v>
      </c>
      <c r="I45" s="906">
        <f t="shared" si="3"/>
        <v>0</v>
      </c>
    </row>
    <row r="46" spans="1:9" s="473" customFormat="1" ht="12.75" hidden="1" outlineLevel="2" x14ac:dyDescent="0.2">
      <c r="A46" s="1329"/>
      <c r="B46" s="901" t="s">
        <v>375</v>
      </c>
      <c r="C46" s="901"/>
      <c r="D46" s="901"/>
      <c r="E46" s="902"/>
      <c r="F46" s="903"/>
      <c r="G46" s="1019" t="b">
        <v>1</v>
      </c>
      <c r="H46" s="905">
        <f>IFERROR(IF(G35=TRUE,'GRADBENA FIZIKA'!G141,0),0)</f>
        <v>0</v>
      </c>
      <c r="I46" s="906">
        <f t="shared" si="3"/>
        <v>0</v>
      </c>
    </row>
    <row r="47" spans="1:9" s="473" customFormat="1" ht="12.75" hidden="1" outlineLevel="2" x14ac:dyDescent="0.2">
      <c r="A47" s="1329"/>
      <c r="B47" s="907" t="s">
        <v>69</v>
      </c>
      <c r="C47" s="907"/>
      <c r="D47" s="907"/>
      <c r="E47" s="902"/>
      <c r="F47" s="903"/>
      <c r="G47" s="1019" t="b">
        <v>1</v>
      </c>
      <c r="H47" s="905">
        <f>IFERROR(IF(G35=TRUE,'GRADBENA FIZIKA'!G186,0),0)</f>
        <v>0</v>
      </c>
      <c r="I47" s="906">
        <f t="shared" si="3"/>
        <v>0</v>
      </c>
    </row>
    <row r="48" spans="1:9" s="473" customFormat="1" ht="12.75" hidden="1" outlineLevel="2" x14ac:dyDescent="0.2">
      <c r="A48" s="1330"/>
      <c r="B48" s="908" t="s">
        <v>376</v>
      </c>
      <c r="C48" s="908"/>
      <c r="D48" s="908"/>
      <c r="E48" s="909"/>
      <c r="F48" s="910"/>
      <c r="G48" s="1020" t="b">
        <v>1</v>
      </c>
      <c r="H48" s="911">
        <f>IFERROR(IF(G35=TRUE,'GRADBENA FIZIKA'!G231,0),0)</f>
        <v>0</v>
      </c>
      <c r="I48" s="912">
        <f t="shared" si="3"/>
        <v>0</v>
      </c>
    </row>
    <row r="49" spans="1:9" s="484" customFormat="1" ht="16.5" customHeight="1" outlineLevel="1" x14ac:dyDescent="0.2">
      <c r="A49" s="718" t="s">
        <v>37</v>
      </c>
      <c r="B49" s="717" t="s">
        <v>844</v>
      </c>
      <c r="C49" s="717"/>
      <c r="D49" s="717"/>
      <c r="E49" s="521"/>
      <c r="F49" s="522"/>
      <c r="G49" s="1021" t="b">
        <v>0</v>
      </c>
      <c r="H49" s="523">
        <f>IFERROR(IF(G49=TRUE,(STAVBE!Q141+'NOTRANJA OPREMA'!Q195+'ODPRTI PROSTOR'!Q141),0),0)</f>
        <v>0</v>
      </c>
      <c r="I49" s="520">
        <f>+H49*$I$16</f>
        <v>0</v>
      </c>
    </row>
    <row r="50" spans="1:9" s="705" customFormat="1" ht="16.5" x14ac:dyDescent="0.2">
      <c r="A50" s="713">
        <v>2</v>
      </c>
      <c r="B50" s="707" t="s">
        <v>38</v>
      </c>
      <c r="C50" s="707"/>
      <c r="D50" s="707"/>
      <c r="E50" s="708"/>
      <c r="F50" s="708"/>
      <c r="G50" s="1022"/>
      <c r="H50" s="714">
        <f>+H51+H65+H79+H83+H97</f>
        <v>0</v>
      </c>
      <c r="I50" s="715">
        <f>+I51+I65+I79+I83+I97</f>
        <v>0</v>
      </c>
    </row>
    <row r="51" spans="1:9" s="219" customFormat="1" ht="16.5" customHeight="1" outlineLevel="1" collapsed="1" x14ac:dyDescent="0.2">
      <c r="A51" s="486" t="s">
        <v>51</v>
      </c>
      <c r="B51" s="513" t="s">
        <v>95</v>
      </c>
      <c r="C51" s="513"/>
      <c r="D51" s="513"/>
      <c r="E51" s="514"/>
      <c r="F51" s="514"/>
      <c r="G51" s="1023" t="b">
        <v>1</v>
      </c>
      <c r="H51" s="516">
        <f>SUM(H52:H64)</f>
        <v>0</v>
      </c>
      <c r="I51" s="485">
        <f>SUM(I52:I64)</f>
        <v>0</v>
      </c>
    </row>
    <row r="52" spans="1:9" s="219" customFormat="1" hidden="1" outlineLevel="2" x14ac:dyDescent="0.2">
      <c r="A52" s="1329" t="s">
        <v>881</v>
      </c>
      <c r="B52" s="456" t="s">
        <v>971</v>
      </c>
      <c r="C52" s="457"/>
      <c r="D52" s="457"/>
      <c r="E52" s="458"/>
      <c r="F52" s="459"/>
      <c r="G52" s="1017" t="b">
        <v>1</v>
      </c>
      <c r="H52" s="511">
        <f>IFERROR(IF(G51=TRUE,STAVBE!Q143+'NOTRANJA OPREMA'!Q197+'ODPRTI PROSTOR'!Q143,0),0)</f>
        <v>0</v>
      </c>
      <c r="I52" s="460">
        <f t="shared" ref="I52" si="4">+H52*$I$16</f>
        <v>0</v>
      </c>
    </row>
    <row r="53" spans="1:9" s="461" customFormat="1" ht="12.6" hidden="1" customHeight="1" outlineLevel="2" x14ac:dyDescent="0.2">
      <c r="A53" s="1329"/>
      <c r="B53" s="456" t="s">
        <v>972</v>
      </c>
      <c r="C53" s="457"/>
      <c r="D53" s="457"/>
      <c r="E53" s="458"/>
      <c r="F53" s="459"/>
      <c r="G53" s="1017" t="b">
        <v>1</v>
      </c>
      <c r="H53" s="511">
        <f>IFERROR(IF(G51=TRUE,STAVBE!G143,0),0)</f>
        <v>0</v>
      </c>
      <c r="I53" s="460">
        <f t="shared" ref="I53" si="5">+H53*$I$16</f>
        <v>0</v>
      </c>
    </row>
    <row r="54" spans="1:9" s="461" customFormat="1" ht="12.75" hidden="1" outlineLevel="2" x14ac:dyDescent="0.2">
      <c r="A54" s="1329"/>
      <c r="B54" s="456" t="s">
        <v>2</v>
      </c>
      <c r="C54" s="462"/>
      <c r="D54" s="462"/>
      <c r="E54" s="463"/>
      <c r="F54" s="464"/>
      <c r="G54" s="1018" t="b">
        <v>1</v>
      </c>
      <c r="H54" s="511">
        <f>IFERROR(IF(G51=TRUE,'NOTRANJA OPREMA'!G197,0),0)</f>
        <v>0</v>
      </c>
      <c r="I54" s="465">
        <f>+H54*$I$16</f>
        <v>0</v>
      </c>
    </row>
    <row r="55" spans="1:9" s="461" customFormat="1" ht="12.75" hidden="1" outlineLevel="2" x14ac:dyDescent="0.2">
      <c r="A55" s="1329"/>
      <c r="B55" s="456" t="s">
        <v>973</v>
      </c>
      <c r="C55" s="462"/>
      <c r="D55" s="462"/>
      <c r="E55" s="463"/>
      <c r="F55" s="464"/>
      <c r="G55" s="1018" t="b">
        <v>1</v>
      </c>
      <c r="H55" s="511">
        <f>IFERROR(IF(G51=TRUE,'ODPRTI PROSTOR'!G143*'OSNOVNI PODATKI'!$F$396,0),0)</f>
        <v>0</v>
      </c>
      <c r="I55" s="465">
        <f>+H55*$I$16</f>
        <v>0</v>
      </c>
    </row>
    <row r="56" spans="1:9" s="461" customFormat="1" ht="12.75" hidden="1" outlineLevel="2" x14ac:dyDescent="0.2">
      <c r="A56" s="1329"/>
      <c r="B56" s="456" t="s">
        <v>974</v>
      </c>
      <c r="C56" s="462"/>
      <c r="D56" s="462"/>
      <c r="E56" s="463"/>
      <c r="F56" s="464"/>
      <c r="G56" s="1018" t="b">
        <v>1</v>
      </c>
      <c r="H56" s="512">
        <f>IFERROR(IF(G51=TRUE,'ODPRTI PROSTOR'!G143*(100%-'OSNOVNI PODATKI'!$F$396),0),0)</f>
        <v>0</v>
      </c>
      <c r="I56" s="465">
        <f t="shared" ref="I56:I64" si="6">+H56*$I$16</f>
        <v>0</v>
      </c>
    </row>
    <row r="57" spans="1:9" s="473" customFormat="1" ht="12.75" hidden="1" outlineLevel="2" x14ac:dyDescent="0.2">
      <c r="A57" s="1329"/>
      <c r="B57" s="900" t="s">
        <v>372</v>
      </c>
      <c r="C57" s="901"/>
      <c r="D57" s="901"/>
      <c r="E57" s="902"/>
      <c r="F57" s="903"/>
      <c r="G57" s="1019" t="b">
        <v>1</v>
      </c>
      <c r="H57" s="905">
        <f>IFERROR(IF(G51=TRUE,'GRADBENE KONSTRUKCIJE'!G139,0),0)</f>
        <v>0</v>
      </c>
      <c r="I57" s="906">
        <f t="shared" si="6"/>
        <v>0</v>
      </c>
    </row>
    <row r="58" spans="1:9" s="473" customFormat="1" ht="12.75" hidden="1" outlineLevel="2" x14ac:dyDescent="0.2">
      <c r="A58" s="1329"/>
      <c r="B58" s="900" t="s">
        <v>975</v>
      </c>
      <c r="C58" s="901"/>
      <c r="D58" s="901"/>
      <c r="E58" s="902"/>
      <c r="F58" s="903"/>
      <c r="G58" s="1019" t="b">
        <v>1</v>
      </c>
      <c r="H58" s="905">
        <f>IFERROR(IF(G51=TRUE,'TEHNIČNA OPREMA'!G142,0),0)</f>
        <v>0</v>
      </c>
      <c r="I58" s="906">
        <f t="shared" si="6"/>
        <v>0</v>
      </c>
    </row>
    <row r="59" spans="1:9" s="473" customFormat="1" ht="12.75" hidden="1" outlineLevel="2" x14ac:dyDescent="0.2">
      <c r="A59" s="1329"/>
      <c r="B59" s="900" t="s">
        <v>976</v>
      </c>
      <c r="C59" s="901"/>
      <c r="D59" s="901"/>
      <c r="E59" s="902"/>
      <c r="F59" s="903"/>
      <c r="G59" s="1019" t="b">
        <v>1</v>
      </c>
      <c r="H59" s="905">
        <f>IFERROR(IF(G51=TRUE,'TEHNIČNA OPREMA'!G195,0),0)</f>
        <v>0</v>
      </c>
      <c r="I59" s="906">
        <f t="shared" si="6"/>
        <v>0</v>
      </c>
    </row>
    <row r="60" spans="1:9" s="473" customFormat="1" ht="12.75" hidden="1" outlineLevel="2" x14ac:dyDescent="0.2">
      <c r="A60" s="1329"/>
      <c r="B60" s="900" t="s">
        <v>365</v>
      </c>
      <c r="C60" s="901"/>
      <c r="D60" s="901"/>
      <c r="E60" s="902"/>
      <c r="F60" s="903"/>
      <c r="G60" s="1019" t="b">
        <v>1</v>
      </c>
      <c r="H60" s="905">
        <f>IFERROR(IF(G51=TRUE,'TEHNIČNA OPREMA'!G245,0),0)</f>
        <v>0</v>
      </c>
      <c r="I60" s="906">
        <f t="shared" si="6"/>
        <v>0</v>
      </c>
    </row>
    <row r="61" spans="1:9" s="473" customFormat="1" ht="12.75" hidden="1" outlineLevel="2" x14ac:dyDescent="0.2">
      <c r="A61" s="1329"/>
      <c r="B61" s="900" t="s">
        <v>377</v>
      </c>
      <c r="C61" s="901"/>
      <c r="D61" s="901"/>
      <c r="E61" s="902"/>
      <c r="F61" s="903"/>
      <c r="G61" s="1019" t="b">
        <v>1</v>
      </c>
      <c r="H61" s="905">
        <f>IFERROR(IF(G51=TRUE,'POŽARNA VARNOST'!G154,0),0)</f>
        <v>0</v>
      </c>
      <c r="I61" s="906">
        <f t="shared" si="6"/>
        <v>0</v>
      </c>
    </row>
    <row r="62" spans="1:9" s="473" customFormat="1" ht="12.75" hidden="1" outlineLevel="2" x14ac:dyDescent="0.2">
      <c r="A62" s="1329"/>
      <c r="B62" s="901" t="s">
        <v>375</v>
      </c>
      <c r="C62" s="901"/>
      <c r="D62" s="901"/>
      <c r="E62" s="902"/>
      <c r="F62" s="903"/>
      <c r="G62" s="1019" t="b">
        <v>1</v>
      </c>
      <c r="H62" s="905">
        <f>IFERROR(IF(G51=TRUE,'GRADBENA FIZIKA'!G144,0),0)</f>
        <v>0</v>
      </c>
      <c r="I62" s="906">
        <f t="shared" si="6"/>
        <v>0</v>
      </c>
    </row>
    <row r="63" spans="1:9" s="473" customFormat="1" ht="12.75" hidden="1" outlineLevel="2" x14ac:dyDescent="0.2">
      <c r="A63" s="1329"/>
      <c r="B63" s="907" t="s">
        <v>69</v>
      </c>
      <c r="C63" s="907"/>
      <c r="D63" s="907"/>
      <c r="E63" s="902"/>
      <c r="F63" s="903"/>
      <c r="G63" s="1019" t="b">
        <v>1</v>
      </c>
      <c r="H63" s="905">
        <f>IFERROR(IF(G51=TRUE,'GRADBENA FIZIKA'!G189,0),0)</f>
        <v>0</v>
      </c>
      <c r="I63" s="906">
        <f t="shared" si="6"/>
        <v>0</v>
      </c>
    </row>
    <row r="64" spans="1:9" s="473" customFormat="1" ht="12.75" hidden="1" outlineLevel="2" x14ac:dyDescent="0.2">
      <c r="A64" s="1330"/>
      <c r="B64" s="908" t="s">
        <v>376</v>
      </c>
      <c r="C64" s="908"/>
      <c r="D64" s="908"/>
      <c r="E64" s="909"/>
      <c r="F64" s="910"/>
      <c r="G64" s="1020" t="b">
        <v>1</v>
      </c>
      <c r="H64" s="911">
        <f>IFERROR(IF(G51=TRUE,'GRADBENA FIZIKA'!G234,0),0)</f>
        <v>0</v>
      </c>
      <c r="I64" s="912">
        <f t="shared" si="6"/>
        <v>0</v>
      </c>
    </row>
    <row r="65" spans="1:9" s="219" customFormat="1" ht="16.5" customHeight="1" outlineLevel="1" collapsed="1" x14ac:dyDescent="0.2">
      <c r="A65" s="487" t="s">
        <v>52</v>
      </c>
      <c r="B65" s="515" t="s">
        <v>744</v>
      </c>
      <c r="C65" s="515"/>
      <c r="D65" s="515"/>
      <c r="E65" s="514"/>
      <c r="F65" s="514"/>
      <c r="G65" s="1023" t="b">
        <v>1</v>
      </c>
      <c r="H65" s="516">
        <f>SUM(H66:H78)</f>
        <v>0</v>
      </c>
      <c r="I65" s="485">
        <f>SUM(I66:I78)</f>
        <v>0</v>
      </c>
    </row>
    <row r="66" spans="1:9" s="219" customFormat="1" hidden="1" outlineLevel="2" x14ac:dyDescent="0.2">
      <c r="A66" s="1329" t="s">
        <v>882</v>
      </c>
      <c r="B66" s="456" t="s">
        <v>971</v>
      </c>
      <c r="C66" s="457"/>
      <c r="D66" s="457"/>
      <c r="E66" s="458"/>
      <c r="F66" s="459"/>
      <c r="G66" s="1017" t="b">
        <v>1</v>
      </c>
      <c r="H66" s="511">
        <f>IFERROR(IF(G65=TRUE,STAVBE!Q144+'NOTRANJA OPREMA'!Q198+'ODPRTI PROSTOR'!Q144,0),0)</f>
        <v>0</v>
      </c>
      <c r="I66" s="460">
        <f t="shared" ref="I66" si="7">+H66*$I$16</f>
        <v>0</v>
      </c>
    </row>
    <row r="67" spans="1:9" s="461" customFormat="1" ht="12.6" hidden="1" customHeight="1" outlineLevel="2" x14ac:dyDescent="0.2">
      <c r="A67" s="1329"/>
      <c r="B67" s="456" t="s">
        <v>972</v>
      </c>
      <c r="C67" s="457"/>
      <c r="D67" s="457"/>
      <c r="E67" s="458"/>
      <c r="F67" s="459"/>
      <c r="G67" s="1017" t="b">
        <v>1</v>
      </c>
      <c r="H67" s="511">
        <f>IFERROR(IF((G65=TRUE),STAVBE!G144,0),0)</f>
        <v>0</v>
      </c>
      <c r="I67" s="460">
        <f>+H67*$I$16</f>
        <v>0</v>
      </c>
    </row>
    <row r="68" spans="1:9" s="461" customFormat="1" ht="12.75" hidden="1" outlineLevel="2" x14ac:dyDescent="0.2">
      <c r="A68" s="1329"/>
      <c r="B68" s="456" t="s">
        <v>2</v>
      </c>
      <c r="C68" s="462"/>
      <c r="D68" s="462"/>
      <c r="E68" s="463"/>
      <c r="F68" s="464"/>
      <c r="G68" s="1018" t="b">
        <v>1</v>
      </c>
      <c r="H68" s="511">
        <f>IFERROR(IF((G65=TRUE),'NOTRANJA OPREMA'!G198,0),0)</f>
        <v>0</v>
      </c>
      <c r="I68" s="465">
        <f>+H68*$I$16</f>
        <v>0</v>
      </c>
    </row>
    <row r="69" spans="1:9" s="461" customFormat="1" ht="12.75" hidden="1" outlineLevel="2" x14ac:dyDescent="0.2">
      <c r="A69" s="1329"/>
      <c r="B69" s="456" t="s">
        <v>973</v>
      </c>
      <c r="C69" s="462"/>
      <c r="D69" s="462"/>
      <c r="E69" s="463"/>
      <c r="F69" s="464"/>
      <c r="G69" s="1018" t="b">
        <v>1</v>
      </c>
      <c r="H69" s="511">
        <f>IFERROR(IF(G65=TRUE,'ODPRTI PROSTOR'!G144*'OSNOVNI PODATKI'!$F$396,0),0)</f>
        <v>0</v>
      </c>
      <c r="I69" s="465">
        <f>+H69*$I$16</f>
        <v>0</v>
      </c>
    </row>
    <row r="70" spans="1:9" s="461" customFormat="1" ht="12.75" hidden="1" outlineLevel="2" x14ac:dyDescent="0.2">
      <c r="A70" s="1329"/>
      <c r="B70" s="456" t="s">
        <v>974</v>
      </c>
      <c r="C70" s="462"/>
      <c r="D70" s="462"/>
      <c r="E70" s="463"/>
      <c r="F70" s="464"/>
      <c r="G70" s="1018" t="b">
        <v>1</v>
      </c>
      <c r="H70" s="512">
        <f>IFERROR(IF(G65=TRUE,'ODPRTI PROSTOR'!G144*(100%-'OSNOVNI PODATKI'!$F$396),0),0)</f>
        <v>0</v>
      </c>
      <c r="I70" s="465">
        <f t="shared" ref="I70:I78" si="8">+H70*$I$16</f>
        <v>0</v>
      </c>
    </row>
    <row r="71" spans="1:9" s="473" customFormat="1" ht="12.75" hidden="1" outlineLevel="2" x14ac:dyDescent="0.2">
      <c r="A71" s="1329"/>
      <c r="B71" s="900" t="s">
        <v>372</v>
      </c>
      <c r="C71" s="901"/>
      <c r="D71" s="901"/>
      <c r="E71" s="902"/>
      <c r="F71" s="903"/>
      <c r="G71" s="1019" t="b">
        <v>1</v>
      </c>
      <c r="H71" s="905">
        <f>IFERROR(IF(G65=TRUE,'GRADBENE KONSTRUKCIJE'!G140,0),0)</f>
        <v>0</v>
      </c>
      <c r="I71" s="906">
        <f t="shared" si="8"/>
        <v>0</v>
      </c>
    </row>
    <row r="72" spans="1:9" s="473" customFormat="1" ht="12.75" hidden="1" outlineLevel="2" x14ac:dyDescent="0.2">
      <c r="A72" s="1329"/>
      <c r="B72" s="900" t="s">
        <v>975</v>
      </c>
      <c r="C72" s="901"/>
      <c r="D72" s="901"/>
      <c r="E72" s="902"/>
      <c r="F72" s="903"/>
      <c r="G72" s="1019" t="b">
        <v>1</v>
      </c>
      <c r="H72" s="905">
        <f>IFERROR(IF(G65=TRUE,'TEHNIČNA OPREMA'!G143,0),0)</f>
        <v>0</v>
      </c>
      <c r="I72" s="906">
        <f t="shared" si="8"/>
        <v>0</v>
      </c>
    </row>
    <row r="73" spans="1:9" s="473" customFormat="1" ht="12.75" hidden="1" outlineLevel="2" x14ac:dyDescent="0.2">
      <c r="A73" s="1329"/>
      <c r="B73" s="900" t="s">
        <v>976</v>
      </c>
      <c r="C73" s="901"/>
      <c r="D73" s="901"/>
      <c r="E73" s="902"/>
      <c r="F73" s="903"/>
      <c r="G73" s="1019" t="b">
        <v>1</v>
      </c>
      <c r="H73" s="905">
        <f>IFERROR(IF(G65=TRUE,'TEHNIČNA OPREMA'!G196,0),0)</f>
        <v>0</v>
      </c>
      <c r="I73" s="906">
        <f t="shared" si="8"/>
        <v>0</v>
      </c>
    </row>
    <row r="74" spans="1:9" s="473" customFormat="1" ht="12.75" hidden="1" outlineLevel="2" x14ac:dyDescent="0.2">
      <c r="A74" s="1329"/>
      <c r="B74" s="900" t="s">
        <v>365</v>
      </c>
      <c r="C74" s="901"/>
      <c r="D74" s="901"/>
      <c r="E74" s="902"/>
      <c r="F74" s="903"/>
      <c r="G74" s="1019" t="b">
        <v>1</v>
      </c>
      <c r="H74" s="905">
        <f>IFERROR(IF(G65=TRUE,'TEHNIČNA OPREMA'!G246,0),0)</f>
        <v>0</v>
      </c>
      <c r="I74" s="906">
        <f t="shared" si="8"/>
        <v>0</v>
      </c>
    </row>
    <row r="75" spans="1:9" s="473" customFormat="1" ht="12.75" hidden="1" outlineLevel="2" x14ac:dyDescent="0.2">
      <c r="A75" s="1329"/>
      <c r="B75" s="900" t="s">
        <v>377</v>
      </c>
      <c r="C75" s="901"/>
      <c r="D75" s="901"/>
      <c r="E75" s="902"/>
      <c r="F75" s="903"/>
      <c r="G75" s="1019" t="b">
        <v>1</v>
      </c>
      <c r="H75" s="905">
        <f>IFERROR(IF(G65=TRUE,'POŽARNA VARNOST'!G155,0),0)</f>
        <v>0</v>
      </c>
      <c r="I75" s="906">
        <f t="shared" si="8"/>
        <v>0</v>
      </c>
    </row>
    <row r="76" spans="1:9" s="473" customFormat="1" ht="12.75" hidden="1" outlineLevel="2" x14ac:dyDescent="0.2">
      <c r="A76" s="1329"/>
      <c r="B76" s="901" t="s">
        <v>375</v>
      </c>
      <c r="C76" s="901"/>
      <c r="D76" s="901"/>
      <c r="E76" s="902"/>
      <c r="F76" s="903"/>
      <c r="G76" s="1019" t="b">
        <v>1</v>
      </c>
      <c r="H76" s="905">
        <f>IFERROR(IF(G65=TRUE,'GRADBENA FIZIKA'!G145,0),0)</f>
        <v>0</v>
      </c>
      <c r="I76" s="906">
        <f t="shared" si="8"/>
        <v>0</v>
      </c>
    </row>
    <row r="77" spans="1:9" s="473" customFormat="1" ht="12.75" hidden="1" outlineLevel="2" x14ac:dyDescent="0.2">
      <c r="A77" s="1329"/>
      <c r="B77" s="907" t="s">
        <v>69</v>
      </c>
      <c r="C77" s="907"/>
      <c r="D77" s="907"/>
      <c r="E77" s="902"/>
      <c r="F77" s="903"/>
      <c r="G77" s="1019" t="b">
        <v>1</v>
      </c>
      <c r="H77" s="905">
        <f>IFERROR(IF(G65=TRUE,'GRADBENA FIZIKA'!G190,0),0)</f>
        <v>0</v>
      </c>
      <c r="I77" s="906">
        <f t="shared" si="8"/>
        <v>0</v>
      </c>
    </row>
    <row r="78" spans="1:9" s="473" customFormat="1" ht="12.75" hidden="1" outlineLevel="2" x14ac:dyDescent="0.2">
      <c r="A78" s="1330"/>
      <c r="B78" s="908" t="s">
        <v>376</v>
      </c>
      <c r="C78" s="908"/>
      <c r="D78" s="908"/>
      <c r="E78" s="909"/>
      <c r="F78" s="910"/>
      <c r="G78" s="1024" t="b">
        <v>1</v>
      </c>
      <c r="H78" s="911">
        <f>IFERROR(IF(G65=TRUE,'GRADBENA FIZIKA'!G235,0),0)</f>
        <v>0</v>
      </c>
      <c r="I78" s="912">
        <f t="shared" si="8"/>
        <v>0</v>
      </c>
    </row>
    <row r="79" spans="1:9" s="219" customFormat="1" ht="16.5" customHeight="1" outlineLevel="1" x14ac:dyDescent="0.2">
      <c r="A79" s="487" t="s">
        <v>53</v>
      </c>
      <c r="B79" s="515" t="s">
        <v>1138</v>
      </c>
      <c r="C79" s="515"/>
      <c r="D79" s="515"/>
      <c r="E79" s="514"/>
      <c r="F79" s="514"/>
      <c r="G79" s="1025"/>
      <c r="H79" s="516">
        <f>SUM(H80:H82)</f>
        <v>0</v>
      </c>
      <c r="I79" s="485">
        <f>SUM(I80:I82)</f>
        <v>0</v>
      </c>
    </row>
    <row r="80" spans="1:9" s="461" customFormat="1" ht="16.5" customHeight="1" outlineLevel="1" x14ac:dyDescent="0.2">
      <c r="A80" s="474"/>
      <c r="B80" s="457" t="s">
        <v>851</v>
      </c>
      <c r="C80" s="457"/>
      <c r="D80" s="457"/>
      <c r="E80" s="458"/>
      <c r="F80" s="459"/>
      <c r="G80" s="1026" t="b">
        <v>1</v>
      </c>
      <c r="H80" s="511">
        <f>IFERROR(IF(G80=TRUE,(STAVBE!$Q$146+'ODPRTI PROSTOR'!Q146),0),0)</f>
        <v>0</v>
      </c>
      <c r="I80" s="460">
        <f>+H80*$I$16</f>
        <v>0</v>
      </c>
    </row>
    <row r="81" spans="1:9" s="461" customFormat="1" ht="16.5" customHeight="1" outlineLevel="1" x14ac:dyDescent="0.2">
      <c r="A81" s="475"/>
      <c r="B81" s="462" t="s">
        <v>852</v>
      </c>
      <c r="C81" s="462"/>
      <c r="D81" s="462"/>
      <c r="E81" s="463"/>
      <c r="F81" s="464"/>
      <c r="G81" s="1027" t="b">
        <v>1</v>
      </c>
      <c r="H81" s="728">
        <f>IFERROR(IF(G81=TRUE,(STAVBE!$Q$147+'ODPRTI PROSTOR'!Q147),0),0)</f>
        <v>0</v>
      </c>
      <c r="I81" s="465">
        <f>+H81*$I$16</f>
        <v>0</v>
      </c>
    </row>
    <row r="82" spans="1:9" s="461" customFormat="1" ht="16.5" customHeight="1" outlineLevel="1" x14ac:dyDescent="0.2">
      <c r="A82" s="455"/>
      <c r="B82" s="916" t="s">
        <v>1053</v>
      </c>
      <c r="C82" s="916"/>
      <c r="D82" s="916"/>
      <c r="E82" s="917"/>
      <c r="F82" s="918"/>
      <c r="G82" s="1028" t="b">
        <v>1</v>
      </c>
      <c r="H82" s="920">
        <f>IFERROR(IF(G82=TRUE,(STAVBE!$Q$148+'ODPRTI PROSTOR'!Q148),0),0)</f>
        <v>0</v>
      </c>
      <c r="I82" s="919">
        <f>+H82*$I$16</f>
        <v>0</v>
      </c>
    </row>
    <row r="83" spans="1:9" s="219" customFormat="1" ht="16.5" customHeight="1" outlineLevel="1" collapsed="1" x14ac:dyDescent="0.2">
      <c r="A83" s="487" t="s">
        <v>96</v>
      </c>
      <c r="B83" s="515" t="s">
        <v>745</v>
      </c>
      <c r="C83" s="515"/>
      <c r="D83" s="515"/>
      <c r="E83" s="514"/>
      <c r="F83" s="514"/>
      <c r="G83" s="1027" t="b">
        <v>1</v>
      </c>
      <c r="H83" s="719">
        <f>SUM(H84:H96)</f>
        <v>0</v>
      </c>
      <c r="I83" s="485">
        <f>SUM(I84:I96)</f>
        <v>0</v>
      </c>
    </row>
    <row r="84" spans="1:9" s="219" customFormat="1" hidden="1" outlineLevel="2" x14ac:dyDescent="0.2">
      <c r="A84" s="1327" t="s">
        <v>970</v>
      </c>
      <c r="B84" s="456" t="s">
        <v>971</v>
      </c>
      <c r="C84" s="457"/>
      <c r="D84" s="457"/>
      <c r="E84" s="458"/>
      <c r="F84" s="459"/>
      <c r="G84" s="1017" t="b">
        <v>1</v>
      </c>
      <c r="H84" s="511">
        <f>IFERROR(IF(G83=TRUE,STAVBE!Q149+'NOTRANJA OPREMA'!Q200+'ODPRTI PROSTOR'!Q149,0),0)</f>
        <v>0</v>
      </c>
      <c r="I84" s="460">
        <f t="shared" ref="I84" si="9">+H84*$I$16</f>
        <v>0</v>
      </c>
    </row>
    <row r="85" spans="1:9" s="461" customFormat="1" ht="12.6" hidden="1" customHeight="1" outlineLevel="2" x14ac:dyDescent="0.2">
      <c r="A85" s="1327"/>
      <c r="B85" s="456" t="s">
        <v>972</v>
      </c>
      <c r="C85" s="457"/>
      <c r="D85" s="457"/>
      <c r="E85" s="458"/>
      <c r="F85" s="459"/>
      <c r="G85" s="1017" t="b">
        <v>1</v>
      </c>
      <c r="H85" s="511">
        <f>IFERROR(IF(G83=TRUE,STAVBE!G149,0),0)</f>
        <v>0</v>
      </c>
      <c r="I85" s="460">
        <f t="shared" ref="I85:I96" si="10">+H85*$I$16</f>
        <v>0</v>
      </c>
    </row>
    <row r="86" spans="1:9" s="461" customFormat="1" ht="12.75" hidden="1" outlineLevel="2" x14ac:dyDescent="0.2">
      <c r="A86" s="1327"/>
      <c r="B86" s="456" t="s">
        <v>2</v>
      </c>
      <c r="C86" s="462"/>
      <c r="D86" s="462"/>
      <c r="E86" s="463"/>
      <c r="F86" s="464"/>
      <c r="G86" s="1018" t="b">
        <v>1</v>
      </c>
      <c r="H86" s="511">
        <f>IFERROR(IF(G83=TRUE,'NOTRANJA OPREMA'!G200,0),0)</f>
        <v>0</v>
      </c>
      <c r="I86" s="465">
        <f>+H86*$I$16</f>
        <v>0</v>
      </c>
    </row>
    <row r="87" spans="1:9" s="461" customFormat="1" ht="12.75" hidden="1" outlineLevel="2" x14ac:dyDescent="0.2">
      <c r="A87" s="1327"/>
      <c r="B87" s="456" t="s">
        <v>973</v>
      </c>
      <c r="C87" s="462"/>
      <c r="D87" s="462"/>
      <c r="E87" s="463"/>
      <c r="F87" s="464"/>
      <c r="G87" s="1018" t="b">
        <v>1</v>
      </c>
      <c r="H87" s="511">
        <f>IFERROR(IF(G83=TRUE,'ODPRTI PROSTOR'!G149*'OSNOVNI PODATKI'!$F$396,0),0)</f>
        <v>0</v>
      </c>
      <c r="I87" s="465">
        <f>+H87*$I$16</f>
        <v>0</v>
      </c>
    </row>
    <row r="88" spans="1:9" s="461" customFormat="1" ht="12.75" hidden="1" outlineLevel="2" x14ac:dyDescent="0.2">
      <c r="A88" s="1327"/>
      <c r="B88" s="456" t="s">
        <v>974</v>
      </c>
      <c r="C88" s="462"/>
      <c r="D88" s="462"/>
      <c r="E88" s="463"/>
      <c r="F88" s="464"/>
      <c r="G88" s="1018" t="b">
        <v>1</v>
      </c>
      <c r="H88" s="512">
        <f>IFERROR(IF(G83=TRUE,'ODPRTI PROSTOR'!G149*(100%-'OSNOVNI PODATKI'!$F$396),0),0)</f>
        <v>0</v>
      </c>
      <c r="I88" s="465">
        <f t="shared" ref="I88" si="11">+H88*$I$16</f>
        <v>0</v>
      </c>
    </row>
    <row r="89" spans="1:9" s="473" customFormat="1" ht="12.75" hidden="1" outlineLevel="2" x14ac:dyDescent="0.2">
      <c r="A89" s="1327"/>
      <c r="B89" s="900" t="s">
        <v>372</v>
      </c>
      <c r="C89" s="901"/>
      <c r="D89" s="901"/>
      <c r="E89" s="902"/>
      <c r="F89" s="903"/>
      <c r="G89" s="1019" t="b">
        <v>1</v>
      </c>
      <c r="H89" s="905">
        <f>IFERROR(IF(G83=TRUE,'GRADBENE KONSTRUKCIJE'!G142,0),0)</f>
        <v>0</v>
      </c>
      <c r="I89" s="906">
        <f t="shared" si="10"/>
        <v>0</v>
      </c>
    </row>
    <row r="90" spans="1:9" s="473" customFormat="1" ht="12.75" hidden="1" outlineLevel="2" x14ac:dyDescent="0.2">
      <c r="A90" s="1327"/>
      <c r="B90" s="900" t="s">
        <v>975</v>
      </c>
      <c r="C90" s="901"/>
      <c r="D90" s="901"/>
      <c r="E90" s="902"/>
      <c r="F90" s="903"/>
      <c r="G90" s="1019" t="b">
        <v>1</v>
      </c>
      <c r="H90" s="905">
        <f>IFERROR(IF(G83=TRUE,'TEHNIČNA OPREMA'!G145,0),0)</f>
        <v>0</v>
      </c>
      <c r="I90" s="906">
        <f t="shared" si="10"/>
        <v>0</v>
      </c>
    </row>
    <row r="91" spans="1:9" s="473" customFormat="1" ht="12.75" hidden="1" outlineLevel="2" x14ac:dyDescent="0.2">
      <c r="A91" s="1327"/>
      <c r="B91" s="900" t="s">
        <v>976</v>
      </c>
      <c r="C91" s="901"/>
      <c r="D91" s="901"/>
      <c r="E91" s="902"/>
      <c r="F91" s="903"/>
      <c r="G91" s="1019" t="b">
        <v>1</v>
      </c>
      <c r="H91" s="905">
        <f>IFERROR(IF(G83=TRUE,'TEHNIČNA OPREMA'!G198,0),0)</f>
        <v>0</v>
      </c>
      <c r="I91" s="906">
        <f t="shared" si="10"/>
        <v>0</v>
      </c>
    </row>
    <row r="92" spans="1:9" s="473" customFormat="1" ht="12.75" hidden="1" outlineLevel="2" x14ac:dyDescent="0.2">
      <c r="A92" s="1327"/>
      <c r="B92" s="900" t="s">
        <v>365</v>
      </c>
      <c r="C92" s="901"/>
      <c r="D92" s="901"/>
      <c r="E92" s="902"/>
      <c r="F92" s="903"/>
      <c r="G92" s="1019" t="b">
        <v>1</v>
      </c>
      <c r="H92" s="905">
        <f>IFERROR(IF(G83=TRUE,'TEHNIČNA OPREMA'!G248,0),0)</f>
        <v>0</v>
      </c>
      <c r="I92" s="906">
        <f t="shared" si="10"/>
        <v>0</v>
      </c>
    </row>
    <row r="93" spans="1:9" s="473" customFormat="1" ht="12.75" hidden="1" outlineLevel="2" x14ac:dyDescent="0.2">
      <c r="A93" s="1327"/>
      <c r="B93" s="900" t="s">
        <v>377</v>
      </c>
      <c r="C93" s="901"/>
      <c r="D93" s="901"/>
      <c r="E93" s="902"/>
      <c r="F93" s="903"/>
      <c r="G93" s="1019" t="b">
        <v>1</v>
      </c>
      <c r="H93" s="905">
        <f>IFERROR(IF(G83=TRUE,'POŽARNA VARNOST'!G157,0),0)</f>
        <v>0</v>
      </c>
      <c r="I93" s="906">
        <f t="shared" si="10"/>
        <v>0</v>
      </c>
    </row>
    <row r="94" spans="1:9" s="473" customFormat="1" ht="12.75" hidden="1" outlineLevel="2" x14ac:dyDescent="0.2">
      <c r="A94" s="1327"/>
      <c r="B94" s="901" t="s">
        <v>375</v>
      </c>
      <c r="C94" s="901"/>
      <c r="D94" s="901"/>
      <c r="E94" s="902"/>
      <c r="F94" s="903"/>
      <c r="G94" s="1019" t="b">
        <v>1</v>
      </c>
      <c r="H94" s="905">
        <f>IFERROR(IF(G83=TRUE,'GRADBENA FIZIKA'!G147,0),0)</f>
        <v>0</v>
      </c>
      <c r="I94" s="906">
        <f t="shared" si="10"/>
        <v>0</v>
      </c>
    </row>
    <row r="95" spans="1:9" s="473" customFormat="1" ht="12.75" hidden="1" outlineLevel="2" x14ac:dyDescent="0.2">
      <c r="A95" s="1327"/>
      <c r="B95" s="907" t="s">
        <v>69</v>
      </c>
      <c r="C95" s="907"/>
      <c r="D95" s="907"/>
      <c r="E95" s="902"/>
      <c r="F95" s="903"/>
      <c r="G95" s="1019" t="b">
        <v>1</v>
      </c>
      <c r="H95" s="905">
        <f>IFERROR(IF(G83=TRUE,'GRADBENA FIZIKA'!G192,0),0)</f>
        <v>0</v>
      </c>
      <c r="I95" s="906">
        <f t="shared" si="10"/>
        <v>0</v>
      </c>
    </row>
    <row r="96" spans="1:9" s="473" customFormat="1" ht="12.75" hidden="1" outlineLevel="2" x14ac:dyDescent="0.2">
      <c r="A96" s="1333"/>
      <c r="B96" s="908" t="s">
        <v>376</v>
      </c>
      <c r="C96" s="908"/>
      <c r="D96" s="908"/>
      <c r="E96" s="909"/>
      <c r="F96" s="910"/>
      <c r="G96" s="1024" t="b">
        <v>1</v>
      </c>
      <c r="H96" s="911">
        <f>IFERROR(IF(G83=TRUE,'GRADBENA FIZIKA'!G237,0),0)</f>
        <v>0</v>
      </c>
      <c r="I96" s="906">
        <f t="shared" si="10"/>
        <v>0</v>
      </c>
    </row>
    <row r="97" spans="1:9" s="219" customFormat="1" ht="16.5" customHeight="1" outlineLevel="1" collapsed="1" x14ac:dyDescent="0.2">
      <c r="A97" s="487" t="s">
        <v>97</v>
      </c>
      <c r="B97" s="515" t="s">
        <v>845</v>
      </c>
      <c r="C97" s="515"/>
      <c r="D97" s="515"/>
      <c r="E97" s="514"/>
      <c r="F97" s="514"/>
      <c r="G97" s="1029" t="b">
        <v>1</v>
      </c>
      <c r="H97" s="516">
        <f>SUM(H98:H115)</f>
        <v>0</v>
      </c>
      <c r="I97" s="485">
        <f>+H97*$I$16</f>
        <v>0</v>
      </c>
    </row>
    <row r="98" spans="1:9" s="219" customFormat="1" hidden="1" outlineLevel="2" x14ac:dyDescent="0.2">
      <c r="A98" s="1326" t="s">
        <v>1126</v>
      </c>
      <c r="B98" s="456" t="s">
        <v>1145</v>
      </c>
      <c r="C98" s="457"/>
      <c r="D98" s="457"/>
      <c r="E98" s="458"/>
      <c r="F98" s="459"/>
      <c r="G98" s="1017" t="b">
        <v>1</v>
      </c>
      <c r="H98" s="511"/>
      <c r="I98" s="460"/>
    </row>
    <row r="99" spans="1:9" s="219" customFormat="1" ht="14.25" hidden="1" customHeight="1" outlineLevel="2" x14ac:dyDescent="0.2">
      <c r="A99" s="1327"/>
      <c r="B99" s="456" t="s">
        <v>971</v>
      </c>
      <c r="C99" s="457"/>
      <c r="D99" s="457"/>
      <c r="E99" s="458"/>
      <c r="F99" s="459"/>
      <c r="G99" s="1017" t="b">
        <v>1</v>
      </c>
      <c r="H99" s="511">
        <f>IFERROR(IF(G97=TRUE,STAVBE!Q150+'NOTRANJA OPREMA'!Q201+'ODPRTI PROSTOR'!Q150,0),0)</f>
        <v>0</v>
      </c>
      <c r="I99" s="460">
        <f t="shared" ref="I99:I100" si="12">+H99*$I$16</f>
        <v>0</v>
      </c>
    </row>
    <row r="100" spans="1:9" s="461" customFormat="1" ht="12.6" hidden="1" customHeight="1" outlineLevel="2" x14ac:dyDescent="0.2">
      <c r="A100" s="1327"/>
      <c r="B100" s="456" t="s">
        <v>972</v>
      </c>
      <c r="C100" s="457"/>
      <c r="D100" s="457"/>
      <c r="E100" s="458"/>
      <c r="F100" s="459"/>
      <c r="G100" s="1017" t="b">
        <v>1</v>
      </c>
      <c r="H100" s="511">
        <f>IFERROR(IF(G97=TRUE,STAVBE!G150,0),0)</f>
        <v>0</v>
      </c>
      <c r="I100" s="460">
        <f t="shared" si="12"/>
        <v>0</v>
      </c>
    </row>
    <row r="101" spans="1:9" s="461" customFormat="1" ht="12.75" hidden="1" outlineLevel="2" x14ac:dyDescent="0.2">
      <c r="A101" s="1327"/>
      <c r="B101" s="456" t="s">
        <v>2</v>
      </c>
      <c r="C101" s="462"/>
      <c r="D101" s="462"/>
      <c r="E101" s="463"/>
      <c r="F101" s="464"/>
      <c r="G101" s="1018" t="b">
        <v>1</v>
      </c>
      <c r="H101" s="511">
        <f>IFERROR(IF(G97=TRUE,'NOTRANJA OPREMA'!G201,0),0)</f>
        <v>0</v>
      </c>
      <c r="I101" s="465">
        <f>+H101*$I$16</f>
        <v>0</v>
      </c>
    </row>
    <row r="102" spans="1:9" s="461" customFormat="1" ht="12.75" hidden="1" outlineLevel="2" x14ac:dyDescent="0.2">
      <c r="A102" s="1327"/>
      <c r="B102" s="456" t="s">
        <v>973</v>
      </c>
      <c r="C102" s="462"/>
      <c r="D102" s="462"/>
      <c r="E102" s="463"/>
      <c r="F102" s="464"/>
      <c r="G102" s="1018" t="b">
        <v>1</v>
      </c>
      <c r="H102" s="511">
        <f>IFERROR(IF(G97=TRUE,'ODPRTI PROSTOR'!G150*'OSNOVNI PODATKI'!$F$396,0),0)</f>
        <v>0</v>
      </c>
      <c r="I102" s="465">
        <f>+H102*$I$16</f>
        <v>0</v>
      </c>
    </row>
    <row r="103" spans="1:9" s="461" customFormat="1" ht="12.75" hidden="1" outlineLevel="2" x14ac:dyDescent="0.2">
      <c r="A103" s="1327"/>
      <c r="B103" s="456" t="s">
        <v>974</v>
      </c>
      <c r="C103" s="462"/>
      <c r="D103" s="462"/>
      <c r="E103" s="463"/>
      <c r="F103" s="464"/>
      <c r="G103" s="1018" t="b">
        <v>1</v>
      </c>
      <c r="H103" s="512">
        <f>IFERROR(IF(G97=TRUE,'ODPRTI PROSTOR'!G150*(100%-'OSNOVNI PODATKI'!$F$396),0),0)</f>
        <v>0</v>
      </c>
      <c r="I103" s="465">
        <f t="shared" ref="I103:I106" si="13">+H103*$I$16</f>
        <v>0</v>
      </c>
    </row>
    <row r="104" spans="1:9" s="473" customFormat="1" ht="12.75" hidden="1" outlineLevel="2" x14ac:dyDescent="0.2">
      <c r="A104" s="1327"/>
      <c r="B104" s="900" t="s">
        <v>975</v>
      </c>
      <c r="C104" s="901"/>
      <c r="D104" s="901"/>
      <c r="E104" s="902"/>
      <c r="F104" s="903"/>
      <c r="G104" s="1019" t="b">
        <v>1</v>
      </c>
      <c r="H104" s="905">
        <f>IFERROR(IF(G97=TRUE,'TEHNIČNA OPREMA'!G146,0),0)</f>
        <v>0</v>
      </c>
      <c r="I104" s="906">
        <f t="shared" si="13"/>
        <v>0</v>
      </c>
    </row>
    <row r="105" spans="1:9" s="473" customFormat="1" ht="12.75" hidden="1" outlineLevel="2" x14ac:dyDescent="0.2">
      <c r="A105" s="1327"/>
      <c r="B105" s="900" t="s">
        <v>976</v>
      </c>
      <c r="C105" s="901"/>
      <c r="D105" s="901"/>
      <c r="E105" s="902"/>
      <c r="F105" s="903"/>
      <c r="G105" s="1019" t="b">
        <v>1</v>
      </c>
      <c r="H105" s="905">
        <f>IFERROR(IF(G97=TRUE,'TEHNIČNA OPREMA'!G199,0),0)</f>
        <v>0</v>
      </c>
      <c r="I105" s="906">
        <f t="shared" si="13"/>
        <v>0</v>
      </c>
    </row>
    <row r="106" spans="1:9" s="473" customFormat="1" ht="12.75" hidden="1" outlineLevel="2" x14ac:dyDescent="0.2">
      <c r="A106" s="1333"/>
      <c r="B106" s="921" t="s">
        <v>365</v>
      </c>
      <c r="C106" s="922"/>
      <c r="D106" s="922"/>
      <c r="E106" s="923"/>
      <c r="F106" s="924"/>
      <c r="G106" s="1020" t="b">
        <v>1</v>
      </c>
      <c r="H106" s="925">
        <f>IFERROR(IF(G97=TRUE,'TEHNIČNA OPREMA'!G249,0),0)</f>
        <v>0</v>
      </c>
      <c r="I106" s="912">
        <f t="shared" si="13"/>
        <v>0</v>
      </c>
    </row>
    <row r="107" spans="1:9" s="461" customFormat="1" ht="16.5" customHeight="1" outlineLevel="1" collapsed="1" x14ac:dyDescent="0.2">
      <c r="A107" s="455"/>
      <c r="B107" s="926" t="s">
        <v>965</v>
      </c>
      <c r="C107" s="457"/>
      <c r="D107" s="457"/>
      <c r="E107" s="458"/>
      <c r="F107" s="459"/>
      <c r="G107" s="1026" t="b">
        <v>1</v>
      </c>
      <c r="H107" s="893"/>
      <c r="I107" s="836"/>
    </row>
    <row r="108" spans="1:9" s="461" customFormat="1" ht="12.6" hidden="1" customHeight="1" outlineLevel="2" x14ac:dyDescent="0.2">
      <c r="A108" s="455"/>
      <c r="B108" s="927" t="s">
        <v>972</v>
      </c>
      <c r="C108" s="457"/>
      <c r="D108" s="457"/>
      <c r="E108" s="458"/>
      <c r="F108" s="459"/>
      <c r="G108" s="1017" t="b">
        <v>1</v>
      </c>
      <c r="H108" s="936">
        <f>IFERROR(IF(G107=TRUE,(STAVBE!$G151),0),0)</f>
        <v>0</v>
      </c>
      <c r="I108" s="930">
        <f t="shared" ref="I108" si="14">+H108*$I$16</f>
        <v>0</v>
      </c>
    </row>
    <row r="109" spans="1:9" s="461" customFormat="1" ht="12.75" hidden="1" outlineLevel="2" x14ac:dyDescent="0.2">
      <c r="A109" s="455"/>
      <c r="B109" s="927" t="s">
        <v>2</v>
      </c>
      <c r="C109" s="462"/>
      <c r="D109" s="462"/>
      <c r="E109" s="463"/>
      <c r="F109" s="464"/>
      <c r="G109" s="1018" t="b">
        <v>1</v>
      </c>
      <c r="H109" s="936">
        <f>IFERROR(IF(G107=TRUE,('NOTRANJA OPREMA'!G202),0),0)</f>
        <v>0</v>
      </c>
      <c r="I109" s="931">
        <f>+H109*$I$16</f>
        <v>0</v>
      </c>
    </row>
    <row r="110" spans="1:9" s="461" customFormat="1" ht="12.75" hidden="1" outlineLevel="2" x14ac:dyDescent="0.2">
      <c r="A110" s="455"/>
      <c r="B110" s="927" t="s">
        <v>973</v>
      </c>
      <c r="C110" s="462"/>
      <c r="D110" s="462"/>
      <c r="E110" s="463"/>
      <c r="F110" s="464"/>
      <c r="G110" s="1018" t="b">
        <v>1</v>
      </c>
      <c r="H110" s="936">
        <f>IFERROR(IF(G107=TRUE,('ODPRTI PROSTOR'!G151*'OSNOVNI PODATKI'!$F$396),0),0)</f>
        <v>0</v>
      </c>
      <c r="I110" s="931">
        <f>+H110*$I$16</f>
        <v>0</v>
      </c>
    </row>
    <row r="111" spans="1:9" s="461" customFormat="1" ht="12.75" hidden="1" outlineLevel="2" x14ac:dyDescent="0.2">
      <c r="A111" s="455"/>
      <c r="B111" s="927" t="s">
        <v>974</v>
      </c>
      <c r="C111" s="462"/>
      <c r="D111" s="462"/>
      <c r="E111" s="463"/>
      <c r="F111" s="464"/>
      <c r="G111" s="1018" t="b">
        <v>1</v>
      </c>
      <c r="H111" s="937">
        <f>IFERROR(IF(G107=TRUE,('ODPRTI PROSTOR'!G151*(100%-'OSNOVNI PODATKI'!$F$396)),0),0)</f>
        <v>0</v>
      </c>
      <c r="I111" s="931">
        <f t="shared" ref="I111:I114" si="15">+H111*$I$16</f>
        <v>0</v>
      </c>
    </row>
    <row r="112" spans="1:9" s="473" customFormat="1" ht="12.75" hidden="1" outlineLevel="2" x14ac:dyDescent="0.2">
      <c r="A112" s="455"/>
      <c r="B112" s="928" t="s">
        <v>975</v>
      </c>
      <c r="C112" s="470"/>
      <c r="D112" s="470"/>
      <c r="E112" s="471"/>
      <c r="F112" s="472"/>
      <c r="G112" s="1030" t="b">
        <v>1</v>
      </c>
      <c r="H112" s="938">
        <f>IFERROR(IF(G107=TRUE,('TEHNIČNA OPREMA'!G147),0),0)</f>
        <v>0</v>
      </c>
      <c r="I112" s="932">
        <f t="shared" si="15"/>
        <v>0</v>
      </c>
    </row>
    <row r="113" spans="1:9" s="473" customFormat="1" ht="12.75" hidden="1" outlineLevel="2" x14ac:dyDescent="0.2">
      <c r="A113" s="455"/>
      <c r="B113" s="928" t="s">
        <v>976</v>
      </c>
      <c r="C113" s="470"/>
      <c r="D113" s="470"/>
      <c r="E113" s="471"/>
      <c r="F113" s="472"/>
      <c r="G113" s="1030" t="b">
        <v>1</v>
      </c>
      <c r="H113" s="938">
        <f>IFERROR(IF(G107=TRUE,('TEHNIČNA OPREMA'!G200),0),0)</f>
        <v>0</v>
      </c>
      <c r="I113" s="932">
        <f t="shared" si="15"/>
        <v>0</v>
      </c>
    </row>
    <row r="114" spans="1:9" s="473" customFormat="1" ht="12.75" hidden="1" outlineLevel="2" x14ac:dyDescent="0.2">
      <c r="A114" s="843"/>
      <c r="B114" s="929" t="s">
        <v>365</v>
      </c>
      <c r="C114" s="476"/>
      <c r="D114" s="476"/>
      <c r="E114" s="477"/>
      <c r="F114" s="478"/>
      <c r="G114" s="1031" t="b">
        <v>1</v>
      </c>
      <c r="H114" s="939">
        <f>IFERROR(IF(G107=TRUE,('TEHNIČNA OPREMA'!G250),0),0)</f>
        <v>0</v>
      </c>
      <c r="I114" s="933">
        <f t="shared" si="15"/>
        <v>0</v>
      </c>
    </row>
    <row r="115" spans="1:9" s="461" customFormat="1" ht="16.5" customHeight="1" outlineLevel="1" x14ac:dyDescent="0.2">
      <c r="A115" s="455"/>
      <c r="B115" s="935" t="s">
        <v>1041</v>
      </c>
      <c r="C115" s="819"/>
      <c r="D115" s="819"/>
      <c r="E115" s="820"/>
      <c r="F115" s="821"/>
      <c r="G115" s="1032" t="b">
        <v>1</v>
      </c>
      <c r="H115" s="940">
        <f>IFERROR(IF(G115=TRUE,(STAVBE!$Q152+'NOTRANJA OPREMA'!Q203+'ODPRTI PROSTOR'!Q152),0),0)</f>
        <v>0</v>
      </c>
      <c r="I115" s="934">
        <f>+H115*$I$16</f>
        <v>0</v>
      </c>
    </row>
    <row r="116" spans="1:9" s="705" customFormat="1" ht="16.5" x14ac:dyDescent="0.2">
      <c r="A116" s="712" t="s">
        <v>39</v>
      </c>
      <c r="B116" s="707" t="s">
        <v>122</v>
      </c>
      <c r="C116" s="707"/>
      <c r="D116" s="707"/>
      <c r="E116" s="708"/>
      <c r="F116" s="709"/>
      <c r="G116" s="1015"/>
      <c r="H116" s="710">
        <f>+H117+H127</f>
        <v>0</v>
      </c>
      <c r="I116" s="711">
        <f>+I117+I127</f>
        <v>0</v>
      </c>
    </row>
    <row r="117" spans="1:9" s="220" customFormat="1" ht="16.5" customHeight="1" outlineLevel="1" collapsed="1" x14ac:dyDescent="0.2">
      <c r="A117" s="487" t="s">
        <v>40</v>
      </c>
      <c r="B117" s="485" t="s">
        <v>846</v>
      </c>
      <c r="C117" s="485"/>
      <c r="D117" s="485"/>
      <c r="E117" s="517"/>
      <c r="F117" s="518"/>
      <c r="G117" s="1023" t="b">
        <v>0</v>
      </c>
      <c r="H117" s="519">
        <f>SUM(H118:H126)</f>
        <v>0</v>
      </c>
      <c r="I117" s="485">
        <f>+H117*$I$16</f>
        <v>0</v>
      </c>
    </row>
    <row r="118" spans="1:9" s="219" customFormat="1" hidden="1" outlineLevel="2" x14ac:dyDescent="0.2">
      <c r="A118" s="668"/>
      <c r="B118" s="456" t="s">
        <v>971</v>
      </c>
      <c r="C118" s="457"/>
      <c r="D118" s="457"/>
      <c r="E118" s="458"/>
      <c r="F118" s="459"/>
      <c r="G118" s="1017" t="b">
        <v>1</v>
      </c>
      <c r="H118" s="511">
        <f>IFERROR(IF(G117=TRUE,STAVBE!Q154+'NOTRANJA OPREMA'!Q205+'ODPRTI PROSTOR'!Q154,0),0)</f>
        <v>0</v>
      </c>
      <c r="I118" s="460">
        <f t="shared" ref="I118:I119" si="16">+H118*$I$16</f>
        <v>0</v>
      </c>
    </row>
    <row r="119" spans="1:9" s="461" customFormat="1" ht="12.75" hidden="1" outlineLevel="2" x14ac:dyDescent="0.2">
      <c r="A119" s="1332"/>
      <c r="B119" s="456" t="s">
        <v>972</v>
      </c>
      <c r="C119" s="457"/>
      <c r="D119" s="457"/>
      <c r="E119" s="458"/>
      <c r="F119" s="459"/>
      <c r="G119" s="1017" t="b">
        <v>1</v>
      </c>
      <c r="H119" s="511">
        <f>IFERROR(IF(G117=TRUE,STAVBE!G154,0),0)</f>
        <v>0</v>
      </c>
      <c r="I119" s="460">
        <f t="shared" si="16"/>
        <v>0</v>
      </c>
    </row>
    <row r="120" spans="1:9" s="461" customFormat="1" ht="12.75" hidden="1" outlineLevel="2" x14ac:dyDescent="0.2">
      <c r="A120" s="1332"/>
      <c r="B120" s="456" t="s">
        <v>2</v>
      </c>
      <c r="C120" s="462"/>
      <c r="D120" s="462"/>
      <c r="E120" s="463"/>
      <c r="F120" s="464"/>
      <c r="G120" s="1018" t="b">
        <v>1</v>
      </c>
      <c r="H120" s="511">
        <f>IFERROR(IF(G117=TRUE,'NOTRANJA OPREMA'!G205,0),0)</f>
        <v>0</v>
      </c>
      <c r="I120" s="465">
        <f>+H120*$I$16</f>
        <v>0</v>
      </c>
    </row>
    <row r="121" spans="1:9" s="461" customFormat="1" ht="12.75" hidden="1" outlineLevel="2" x14ac:dyDescent="0.2">
      <c r="A121" s="1332"/>
      <c r="B121" s="456" t="s">
        <v>973</v>
      </c>
      <c r="C121" s="462"/>
      <c r="D121" s="462"/>
      <c r="E121" s="463"/>
      <c r="F121" s="464"/>
      <c r="G121" s="1017" t="b">
        <v>1</v>
      </c>
      <c r="H121" s="511">
        <f>IFERROR(IF(G117=TRUE,'ODPRTI PROSTOR'!G154*'OSNOVNI PODATKI'!$F$396,0),0)</f>
        <v>0</v>
      </c>
      <c r="I121" s="465">
        <f t="shared" ref="I121:I125" si="17">+H121*$I$16</f>
        <v>0</v>
      </c>
    </row>
    <row r="122" spans="1:9" s="461" customFormat="1" ht="12.75" hidden="1" outlineLevel="2" x14ac:dyDescent="0.2">
      <c r="A122" s="1332"/>
      <c r="B122" s="456" t="s">
        <v>974</v>
      </c>
      <c r="C122" s="462"/>
      <c r="D122" s="462"/>
      <c r="E122" s="463"/>
      <c r="F122" s="464"/>
      <c r="G122" s="1017" t="b">
        <v>1</v>
      </c>
      <c r="H122" s="512">
        <f>IFERROR(IF(G117=TRUE,'ODPRTI PROSTOR'!G154*(100%-'OSNOVNI PODATKI'!$F$396),0),0)</f>
        <v>0</v>
      </c>
      <c r="I122" s="465">
        <f t="shared" si="17"/>
        <v>0</v>
      </c>
    </row>
    <row r="123" spans="1:9" s="473" customFormat="1" ht="12.75" hidden="1" outlineLevel="2" x14ac:dyDescent="0.2">
      <c r="A123" s="1332"/>
      <c r="B123" s="900" t="s">
        <v>975</v>
      </c>
      <c r="C123" s="901"/>
      <c r="D123" s="901"/>
      <c r="E123" s="902"/>
      <c r="F123" s="903"/>
      <c r="G123" s="1033" t="b">
        <v>1</v>
      </c>
      <c r="H123" s="905">
        <f>IFERROR(IF(G117=TRUE,'TEHNIČNA OPREMA'!G149,0),0)</f>
        <v>0</v>
      </c>
      <c r="I123" s="906">
        <f t="shared" si="17"/>
        <v>0</v>
      </c>
    </row>
    <row r="124" spans="1:9" s="473" customFormat="1" ht="12.75" hidden="1" outlineLevel="2" x14ac:dyDescent="0.2">
      <c r="A124" s="1332"/>
      <c r="B124" s="900" t="s">
        <v>976</v>
      </c>
      <c r="C124" s="901"/>
      <c r="D124" s="901"/>
      <c r="E124" s="902"/>
      <c r="F124" s="903"/>
      <c r="G124" s="1033" t="b">
        <v>1</v>
      </c>
      <c r="H124" s="905">
        <f>IFERROR(IF(G117=TRUE,'TEHNIČNA OPREMA'!G202,0),0)</f>
        <v>0</v>
      </c>
      <c r="I124" s="906">
        <f t="shared" si="17"/>
        <v>0</v>
      </c>
    </row>
    <row r="125" spans="1:9" s="473" customFormat="1" ht="12.75" hidden="1" outlineLevel="2" x14ac:dyDescent="0.2">
      <c r="A125" s="1332"/>
      <c r="B125" s="941" t="s">
        <v>365</v>
      </c>
      <c r="C125" s="901"/>
      <c r="D125" s="901"/>
      <c r="E125" s="902"/>
      <c r="F125" s="903"/>
      <c r="G125" s="1034" t="b">
        <v>1</v>
      </c>
      <c r="H125" s="905">
        <f>IFERROR(IF(G117=TRUE,'TEHNIČNA OPREMA'!G252,0),0)</f>
        <v>0</v>
      </c>
      <c r="I125" s="906">
        <f t="shared" si="17"/>
        <v>0</v>
      </c>
    </row>
    <row r="126" spans="1:9" s="461" customFormat="1" ht="16.5" customHeight="1" outlineLevel="1" x14ac:dyDescent="0.2">
      <c r="A126" s="843"/>
      <c r="B126" s="935" t="s">
        <v>1042</v>
      </c>
      <c r="C126" s="913"/>
      <c r="D126" s="913"/>
      <c r="E126" s="914"/>
      <c r="F126" s="915"/>
      <c r="G126" s="1035" t="b">
        <v>0</v>
      </c>
      <c r="H126" s="943">
        <f>IFERROR(IF(G126=TRUE,(STAVBE!$Q155+'ODPRTI PROSTOR'!Q155),0),0)</f>
        <v>0</v>
      </c>
      <c r="I126" s="942">
        <f>+H126*$I$16</f>
        <v>0</v>
      </c>
    </row>
    <row r="127" spans="1:9" s="220" customFormat="1" ht="16.5" customHeight="1" outlineLevel="1" x14ac:dyDescent="0.2">
      <c r="A127" s="487" t="s">
        <v>41</v>
      </c>
      <c r="B127" s="485" t="s">
        <v>202</v>
      </c>
      <c r="C127" s="485"/>
      <c r="D127" s="485"/>
      <c r="E127" s="517"/>
      <c r="F127" s="518"/>
      <c r="G127" s="1023" t="b">
        <v>0</v>
      </c>
      <c r="H127" s="519">
        <f>SUM(H128:H136)</f>
        <v>0</v>
      </c>
      <c r="I127" s="485">
        <f>+H127*$I$16</f>
        <v>0</v>
      </c>
    </row>
    <row r="128" spans="1:9" s="219" customFormat="1" outlineLevel="2" x14ac:dyDescent="0.2">
      <c r="A128" s="668"/>
      <c r="B128" s="456" t="s">
        <v>971</v>
      </c>
      <c r="C128" s="457"/>
      <c r="D128" s="457"/>
      <c r="E128" s="458"/>
      <c r="F128" s="459"/>
      <c r="G128" s="1017" t="b">
        <v>0</v>
      </c>
      <c r="H128" s="511">
        <f>IFERROR(IF(G127=TRUE,STAVBE!Q156+'NOTRANJA OPREMA'!Q207+'ODPRTI PROSTOR'!Q156,0),0)</f>
        <v>0</v>
      </c>
      <c r="I128" s="460">
        <f t="shared" ref="I128:I129" si="18">+H128*$I$16</f>
        <v>0</v>
      </c>
    </row>
    <row r="129" spans="1:9" s="461" customFormat="1" ht="12.75" outlineLevel="2" x14ac:dyDescent="0.2">
      <c r="A129" s="1332"/>
      <c r="B129" s="456" t="s">
        <v>972</v>
      </c>
      <c r="C129" s="457"/>
      <c r="D129" s="457"/>
      <c r="E129" s="458"/>
      <c r="F129" s="459"/>
      <c r="G129" s="1017" t="b">
        <v>0</v>
      </c>
      <c r="H129" s="511">
        <f>IFERROR(IF(G127=TRUE,STAVBE!G156,0),0)</f>
        <v>0</v>
      </c>
      <c r="I129" s="460">
        <f t="shared" si="18"/>
        <v>0</v>
      </c>
    </row>
    <row r="130" spans="1:9" s="461" customFormat="1" ht="12.75" outlineLevel="2" x14ac:dyDescent="0.2">
      <c r="A130" s="1332"/>
      <c r="B130" s="456" t="s">
        <v>2</v>
      </c>
      <c r="C130" s="462"/>
      <c r="D130" s="462"/>
      <c r="E130" s="463"/>
      <c r="F130" s="464"/>
      <c r="G130" s="1018" t="b">
        <v>0</v>
      </c>
      <c r="H130" s="511">
        <f>IFERROR(IF(G127=TRUE,'NOTRANJA OPREMA'!G207,0),0)</f>
        <v>0</v>
      </c>
      <c r="I130" s="465">
        <f>+H130*$I$16</f>
        <v>0</v>
      </c>
    </row>
    <row r="131" spans="1:9" s="461" customFormat="1" ht="12.75" outlineLevel="2" x14ac:dyDescent="0.2">
      <c r="A131" s="1332"/>
      <c r="B131" s="456" t="s">
        <v>973</v>
      </c>
      <c r="C131" s="462"/>
      <c r="D131" s="462"/>
      <c r="E131" s="463"/>
      <c r="F131" s="464"/>
      <c r="G131" s="1018" t="b">
        <v>0</v>
      </c>
      <c r="H131" s="511">
        <f>IFERROR(IF(G127=TRUE,'ODPRTI PROSTOR'!G156*'OSNOVNI PODATKI'!$F$396,0),0)</f>
        <v>0</v>
      </c>
      <c r="I131" s="465">
        <f t="shared" ref="I131:I135" si="19">+H131*$I$16</f>
        <v>0</v>
      </c>
    </row>
    <row r="132" spans="1:9" s="461" customFormat="1" ht="12.75" outlineLevel="2" x14ac:dyDescent="0.2">
      <c r="A132" s="1332"/>
      <c r="B132" s="456" t="s">
        <v>974</v>
      </c>
      <c r="C132" s="462"/>
      <c r="D132" s="462"/>
      <c r="E132" s="463"/>
      <c r="F132" s="464"/>
      <c r="G132" s="1017" t="b">
        <v>0</v>
      </c>
      <c r="H132" s="512">
        <f>IFERROR(IF(G127=TRUE,'ODPRTI PROSTOR'!G156*(100%-'OSNOVNI PODATKI'!$F$396),0),0)</f>
        <v>0</v>
      </c>
      <c r="I132" s="465">
        <f t="shared" si="19"/>
        <v>0</v>
      </c>
    </row>
    <row r="133" spans="1:9" s="473" customFormat="1" ht="12.75" outlineLevel="2" x14ac:dyDescent="0.2">
      <c r="A133" s="1332"/>
      <c r="B133" s="900" t="s">
        <v>975</v>
      </c>
      <c r="C133" s="901"/>
      <c r="D133" s="901"/>
      <c r="E133" s="902"/>
      <c r="F133" s="903"/>
      <c r="G133" s="1033" t="b">
        <v>0</v>
      </c>
      <c r="H133" s="905">
        <f>IFERROR(IF(G127=TRUE,'TEHNIČNA OPREMA'!G150,0),0)</f>
        <v>0</v>
      </c>
      <c r="I133" s="906">
        <f t="shared" si="19"/>
        <v>0</v>
      </c>
    </row>
    <row r="134" spans="1:9" s="473" customFormat="1" ht="12.75" outlineLevel="2" x14ac:dyDescent="0.2">
      <c r="A134" s="1332"/>
      <c r="B134" s="900" t="s">
        <v>976</v>
      </c>
      <c r="C134" s="901"/>
      <c r="D134" s="901"/>
      <c r="E134" s="902"/>
      <c r="F134" s="903"/>
      <c r="G134" s="1033" t="b">
        <v>0</v>
      </c>
      <c r="H134" s="905">
        <f>IFERROR(IF(G127=TRUE,'TEHNIČNA OPREMA'!G203,0),0)</f>
        <v>0</v>
      </c>
      <c r="I134" s="906">
        <f t="shared" si="19"/>
        <v>0</v>
      </c>
    </row>
    <row r="135" spans="1:9" s="473" customFormat="1" ht="12.75" outlineLevel="2" x14ac:dyDescent="0.2">
      <c r="A135" s="1332"/>
      <c r="B135" s="941" t="s">
        <v>365</v>
      </c>
      <c r="C135" s="901"/>
      <c r="D135" s="901"/>
      <c r="E135" s="902"/>
      <c r="F135" s="903"/>
      <c r="G135" s="1034" t="b">
        <v>0</v>
      </c>
      <c r="H135" s="905">
        <f>IFERROR(IF(G127=TRUE,'TEHNIČNA OPREMA'!G253,0),0)</f>
        <v>0</v>
      </c>
      <c r="I135" s="906">
        <f t="shared" si="19"/>
        <v>0</v>
      </c>
    </row>
    <row r="136" spans="1:9" s="461" customFormat="1" ht="16.5" customHeight="1" outlineLevel="1" x14ac:dyDescent="0.2">
      <c r="A136" s="455"/>
      <c r="B136" s="935" t="s">
        <v>1042</v>
      </c>
      <c r="C136" s="913"/>
      <c r="D136" s="913"/>
      <c r="E136" s="914"/>
      <c r="F136" s="915"/>
      <c r="G136" s="1035" t="b">
        <v>0</v>
      </c>
      <c r="H136" s="943">
        <f>IFERROR(IF(G136=TRUE,(STAVBE!$Q157+'NOTRANJA OPREMA'!Q208+'ODPRTI PROSTOR'!Q157),0),0)</f>
        <v>0</v>
      </c>
      <c r="I136" s="942">
        <f>+H136*$I$16</f>
        <v>0</v>
      </c>
    </row>
    <row r="137" spans="1:9" s="705" customFormat="1" ht="16.5" x14ac:dyDescent="0.2">
      <c r="A137" s="706">
        <v>4</v>
      </c>
      <c r="B137" s="707" t="s">
        <v>60</v>
      </c>
      <c r="C137" s="707"/>
      <c r="D137" s="707"/>
      <c r="E137" s="708"/>
      <c r="F137" s="709"/>
      <c r="G137" s="1015"/>
      <c r="H137" s="710">
        <f>H138+H139+H157+H173+H191</f>
        <v>0</v>
      </c>
      <c r="I137" s="711">
        <f>+I138+I139+I157+I173+I191</f>
        <v>0</v>
      </c>
    </row>
    <row r="138" spans="1:9" s="220" customFormat="1" ht="16.5" customHeight="1" outlineLevel="1" x14ac:dyDescent="0.2">
      <c r="A138" s="487" t="s">
        <v>42</v>
      </c>
      <c r="B138" s="485" t="s">
        <v>203</v>
      </c>
      <c r="C138" s="485"/>
      <c r="D138" s="485"/>
      <c r="E138" s="517"/>
      <c r="F138" s="518"/>
      <c r="G138" s="1016" t="b">
        <v>0</v>
      </c>
      <c r="H138" s="519">
        <f>IFERROR(IF(G138=TRUE,(STAVBE!Q159+'NOTRANJA OPREMA'!Q210+'ODPRTI PROSTOR'!Q159),0),0)</f>
        <v>0</v>
      </c>
      <c r="I138" s="485">
        <f>+H138*$I$16</f>
        <v>0</v>
      </c>
    </row>
    <row r="139" spans="1:9" s="220" customFormat="1" ht="16.5" customHeight="1" outlineLevel="1" collapsed="1" x14ac:dyDescent="0.2">
      <c r="A139" s="487" t="s">
        <v>43</v>
      </c>
      <c r="B139" s="485" t="s">
        <v>865</v>
      </c>
      <c r="C139" s="485"/>
      <c r="D139" s="485"/>
      <c r="E139" s="517"/>
      <c r="F139" s="518"/>
      <c r="G139" s="1036" t="b">
        <v>1</v>
      </c>
      <c r="H139" s="519">
        <f>SUM(H140:H156)</f>
        <v>0</v>
      </c>
      <c r="I139" s="485">
        <f>+H139*$I$16</f>
        <v>0</v>
      </c>
    </row>
    <row r="140" spans="1:9" s="219" customFormat="1" hidden="1" outlineLevel="2" x14ac:dyDescent="0.2">
      <c r="A140" s="668"/>
      <c r="B140" s="456" t="s">
        <v>971</v>
      </c>
      <c r="C140" s="457"/>
      <c r="D140" s="457"/>
      <c r="E140" s="458"/>
      <c r="F140" s="459"/>
      <c r="G140" s="1037" t="b">
        <v>1</v>
      </c>
      <c r="H140" s="511">
        <f>IFERROR(IF(G139=TRUE,(STAVBE!Q160+'NOTRANJA OPREMA'!Q211+'ODPRTI PROSTOR'!Q160),0),0)</f>
        <v>0</v>
      </c>
      <c r="I140" s="460">
        <f t="shared" ref="I140" si="20">+H140*$I$16</f>
        <v>0</v>
      </c>
    </row>
    <row r="141" spans="1:9" s="461" customFormat="1" ht="12.75" hidden="1" outlineLevel="2" x14ac:dyDescent="0.2">
      <c r="A141" s="455"/>
      <c r="B141" s="456" t="s">
        <v>972</v>
      </c>
      <c r="C141" s="457"/>
      <c r="D141" s="457"/>
      <c r="E141" s="458"/>
      <c r="F141" s="459"/>
      <c r="G141" s="1017" t="b">
        <v>1</v>
      </c>
      <c r="H141" s="511">
        <f>IFERROR(IF(G139=TRUE,STAVBE!G160,0),0)</f>
        <v>0</v>
      </c>
      <c r="I141" s="460">
        <f t="shared" ref="I141" si="21">+H141*$I$16</f>
        <v>0</v>
      </c>
    </row>
    <row r="142" spans="1:9" s="461" customFormat="1" ht="12.75" hidden="1" outlineLevel="2" x14ac:dyDescent="0.2">
      <c r="A142" s="455"/>
      <c r="B142" s="456" t="s">
        <v>2</v>
      </c>
      <c r="C142" s="462"/>
      <c r="D142" s="462"/>
      <c r="E142" s="463"/>
      <c r="F142" s="464"/>
      <c r="G142" s="1018" t="b">
        <v>1</v>
      </c>
      <c r="H142" s="511">
        <f>IFERROR(IF(G139=TRUE,'NOTRANJA OPREMA'!G211,0),0)</f>
        <v>0</v>
      </c>
      <c r="I142" s="465">
        <f>+H142*$I$16</f>
        <v>0</v>
      </c>
    </row>
    <row r="143" spans="1:9" s="461" customFormat="1" ht="12.75" hidden="1" outlineLevel="2" x14ac:dyDescent="0.2">
      <c r="A143" s="455"/>
      <c r="B143" s="456" t="s">
        <v>973</v>
      </c>
      <c r="C143" s="462"/>
      <c r="D143" s="462"/>
      <c r="E143" s="463"/>
      <c r="F143" s="464"/>
      <c r="G143" s="1018" t="b">
        <v>1</v>
      </c>
      <c r="H143" s="511">
        <f>IFERROR(IF(G139=TRUE,'ODPRTI PROSTOR'!G160*'OSNOVNI PODATKI'!$F$396,0),0)</f>
        <v>0</v>
      </c>
      <c r="I143" s="465">
        <f>+H143*$I$16</f>
        <v>0</v>
      </c>
    </row>
    <row r="144" spans="1:9" s="461" customFormat="1" ht="12.75" hidden="1" outlineLevel="2" x14ac:dyDescent="0.2">
      <c r="A144" s="455"/>
      <c r="B144" s="456" t="s">
        <v>974</v>
      </c>
      <c r="C144" s="462"/>
      <c r="D144" s="462"/>
      <c r="E144" s="463"/>
      <c r="F144" s="464"/>
      <c r="G144" s="1018" t="b">
        <v>1</v>
      </c>
      <c r="H144" s="512">
        <f>IFERROR(IF(G139=TRUE,'ODPRTI PROSTOR'!G160*(100%-'OSNOVNI PODATKI'!$F$396),0),0)</f>
        <v>0</v>
      </c>
      <c r="I144" s="465">
        <f t="shared" ref="I144:I147" si="22">+H144*$I$16</f>
        <v>0</v>
      </c>
    </row>
    <row r="145" spans="1:9" s="473" customFormat="1" ht="12.75" hidden="1" outlineLevel="2" x14ac:dyDescent="0.2">
      <c r="A145" s="469"/>
      <c r="B145" s="900" t="s">
        <v>975</v>
      </c>
      <c r="C145" s="901"/>
      <c r="D145" s="901"/>
      <c r="E145" s="902"/>
      <c r="F145" s="903"/>
      <c r="G145" s="1019" t="b">
        <v>1</v>
      </c>
      <c r="H145" s="905">
        <f>IFERROR(IF(G139=TRUE,'TEHNIČNA OPREMA'!G153,0),0)</f>
        <v>0</v>
      </c>
      <c r="I145" s="906">
        <f t="shared" si="22"/>
        <v>0</v>
      </c>
    </row>
    <row r="146" spans="1:9" s="473" customFormat="1" ht="12.75" hidden="1" outlineLevel="2" x14ac:dyDescent="0.2">
      <c r="A146" s="469"/>
      <c r="B146" s="900" t="s">
        <v>976</v>
      </c>
      <c r="C146" s="901"/>
      <c r="D146" s="901"/>
      <c r="E146" s="902"/>
      <c r="F146" s="903"/>
      <c r="G146" s="1019" t="b">
        <v>1</v>
      </c>
      <c r="H146" s="905">
        <f>IFERROR(IF(G139=TRUE,'TEHNIČNA OPREMA'!G206,0),0)</f>
        <v>0</v>
      </c>
      <c r="I146" s="906">
        <f t="shared" si="22"/>
        <v>0</v>
      </c>
    </row>
    <row r="147" spans="1:9" s="473" customFormat="1" ht="12.75" hidden="1" outlineLevel="2" x14ac:dyDescent="0.2">
      <c r="A147" s="891"/>
      <c r="B147" s="944" t="s">
        <v>365</v>
      </c>
      <c r="C147" s="922"/>
      <c r="D147" s="922"/>
      <c r="E147" s="923"/>
      <c r="F147" s="924"/>
      <c r="G147" s="1020" t="b">
        <v>1</v>
      </c>
      <c r="H147" s="925">
        <f>IFERROR(IF(G139=TRUE,'TEHNIČNA OPREMA'!G256,0),0)</f>
        <v>0</v>
      </c>
      <c r="I147" s="912">
        <f t="shared" si="22"/>
        <v>0</v>
      </c>
    </row>
    <row r="148" spans="1:9" s="461" customFormat="1" ht="16.5" customHeight="1" outlineLevel="1" collapsed="1" x14ac:dyDescent="0.2">
      <c r="A148" s="455"/>
      <c r="B148" s="957" t="s">
        <v>1125</v>
      </c>
      <c r="C148" s="945"/>
      <c r="D148" s="945"/>
      <c r="E148" s="946"/>
      <c r="F148" s="947"/>
      <c r="G148" s="1038" t="b">
        <v>0</v>
      </c>
      <c r="H148" s="841"/>
      <c r="I148" s="842"/>
    </row>
    <row r="149" spans="1:9" s="823" customFormat="1" ht="12.75" hidden="1" outlineLevel="2" x14ac:dyDescent="0.2">
      <c r="A149" s="822"/>
      <c r="B149" s="927" t="s">
        <v>971</v>
      </c>
      <c r="C149" s="892"/>
      <c r="D149" s="892"/>
      <c r="E149" s="948"/>
      <c r="F149" s="949"/>
      <c r="G149" s="1039" t="b">
        <v>1</v>
      </c>
      <c r="H149" s="960">
        <f>IFERROR(IF(G148=TRUE,(STAVBE!Q161+'NOTRANJA OPREMA'!Q212+'ODPRTI PROSTOR'!Q161),0),0)</f>
        <v>0</v>
      </c>
      <c r="I149" s="958">
        <f t="shared" ref="I149:I150" si="23">+H149*$I$16</f>
        <v>0</v>
      </c>
    </row>
    <row r="150" spans="1:9" s="823" customFormat="1" ht="12.75" hidden="1" outlineLevel="2" x14ac:dyDescent="0.2">
      <c r="A150" s="824"/>
      <c r="B150" s="927" t="s">
        <v>972</v>
      </c>
      <c r="C150" s="892"/>
      <c r="D150" s="892"/>
      <c r="E150" s="948"/>
      <c r="F150" s="949"/>
      <c r="G150" s="1039" t="b">
        <v>1</v>
      </c>
      <c r="H150" s="960">
        <f>IFERROR(IF(G148=TRUE,STAVBE!G161,0),0)</f>
        <v>0</v>
      </c>
      <c r="I150" s="958">
        <f t="shared" si="23"/>
        <v>0</v>
      </c>
    </row>
    <row r="151" spans="1:9" s="823" customFormat="1" ht="12.75" hidden="1" outlineLevel="2" x14ac:dyDescent="0.2">
      <c r="A151" s="824"/>
      <c r="B151" s="927" t="s">
        <v>2</v>
      </c>
      <c r="C151" s="837"/>
      <c r="D151" s="837"/>
      <c r="E151" s="950"/>
      <c r="F151" s="951"/>
      <c r="G151" s="1040" t="b">
        <v>1</v>
      </c>
      <c r="H151" s="960">
        <f>IFERROR(IF(G148=TRUE,'NOTRANJA OPREMA'!G212,0),0)</f>
        <v>0</v>
      </c>
      <c r="I151" s="959">
        <f>+H151*$I$16</f>
        <v>0</v>
      </c>
    </row>
    <row r="152" spans="1:9" s="823" customFormat="1" ht="12.75" hidden="1" outlineLevel="2" x14ac:dyDescent="0.2">
      <c r="A152" s="824"/>
      <c r="B152" s="927" t="s">
        <v>973</v>
      </c>
      <c r="C152" s="837"/>
      <c r="D152" s="837"/>
      <c r="E152" s="950"/>
      <c r="F152" s="951"/>
      <c r="G152" s="1040" t="b">
        <v>1</v>
      </c>
      <c r="H152" s="960">
        <f>IFERROR(IF(G148=TRUE,'ODPRTI PROSTOR'!G161*'OSNOVNI PODATKI'!$F$396,0),0)</f>
        <v>0</v>
      </c>
      <c r="I152" s="959">
        <f>+H152*$I$16</f>
        <v>0</v>
      </c>
    </row>
    <row r="153" spans="1:9" s="823" customFormat="1" ht="12.75" hidden="1" outlineLevel="2" x14ac:dyDescent="0.2">
      <c r="A153" s="824"/>
      <c r="B153" s="927" t="s">
        <v>974</v>
      </c>
      <c r="C153" s="837"/>
      <c r="D153" s="837"/>
      <c r="E153" s="950"/>
      <c r="F153" s="951"/>
      <c r="G153" s="1040" t="b">
        <v>1</v>
      </c>
      <c r="H153" s="961">
        <f>IFERROR(IF(G148=TRUE,'ODPRTI PROSTOR'!G161*(100%-'OSNOVNI PODATKI'!$F$396),0),0)</f>
        <v>0</v>
      </c>
      <c r="I153" s="959">
        <f t="shared" ref="I153:I156" si="24">+H153*$I$16</f>
        <v>0</v>
      </c>
    </row>
    <row r="154" spans="1:9" s="826" customFormat="1" ht="12.75" hidden="1" outlineLevel="2" x14ac:dyDescent="0.2">
      <c r="A154" s="825"/>
      <c r="B154" s="928" t="s">
        <v>975</v>
      </c>
      <c r="C154" s="673"/>
      <c r="D154" s="673"/>
      <c r="E154" s="952"/>
      <c r="F154" s="953"/>
      <c r="G154" s="1041" t="b">
        <v>1</v>
      </c>
      <c r="H154" s="962">
        <f>IFERROR(IF(G148=TRUE,'TEHNIČNA OPREMA'!G154,0),0)</f>
        <v>0</v>
      </c>
      <c r="I154" s="932">
        <f t="shared" si="24"/>
        <v>0</v>
      </c>
    </row>
    <row r="155" spans="1:9" s="826" customFormat="1" ht="12.75" hidden="1" outlineLevel="2" x14ac:dyDescent="0.2">
      <c r="A155" s="825"/>
      <c r="B155" s="928" t="s">
        <v>976</v>
      </c>
      <c r="C155" s="673"/>
      <c r="D155" s="673"/>
      <c r="E155" s="952"/>
      <c r="F155" s="953"/>
      <c r="G155" s="1041" t="b">
        <v>1</v>
      </c>
      <c r="H155" s="962">
        <f>IFERROR(IF(G148=TRUE,'TEHNIČNA OPREMA'!G207,0),0)</f>
        <v>0</v>
      </c>
      <c r="I155" s="932">
        <f t="shared" si="24"/>
        <v>0</v>
      </c>
    </row>
    <row r="156" spans="1:9" s="826" customFormat="1" ht="12.75" hidden="1" outlineLevel="2" x14ac:dyDescent="0.2">
      <c r="A156" s="827"/>
      <c r="B156" s="928" t="s">
        <v>365</v>
      </c>
      <c r="C156" s="954"/>
      <c r="D156" s="954"/>
      <c r="E156" s="955"/>
      <c r="F156" s="956"/>
      <c r="G156" s="1041" t="b">
        <v>1</v>
      </c>
      <c r="H156" s="962">
        <f>IFERROR(IF(G148=TRUE,'TEHNIČNA OPREMA'!G257,0),0)</f>
        <v>0</v>
      </c>
      <c r="I156" s="933">
        <f t="shared" si="24"/>
        <v>0</v>
      </c>
    </row>
    <row r="157" spans="1:9" s="220" customFormat="1" ht="16.5" customHeight="1" outlineLevel="1" x14ac:dyDescent="0.2">
      <c r="A157" s="487" t="s">
        <v>44</v>
      </c>
      <c r="B157" s="485" t="s">
        <v>963</v>
      </c>
      <c r="C157" s="485"/>
      <c r="D157" s="485"/>
      <c r="E157" s="517"/>
      <c r="F157" s="518"/>
      <c r="G157" s="1016" t="b">
        <v>0</v>
      </c>
      <c r="H157" s="519">
        <f>SUM(H158:H172)</f>
        <v>0</v>
      </c>
      <c r="I157" s="485">
        <f>SUM(I158:I172)</f>
        <v>0</v>
      </c>
    </row>
    <row r="158" spans="1:9" s="219" customFormat="1" outlineLevel="2" x14ac:dyDescent="0.2">
      <c r="A158" s="668"/>
      <c r="B158" s="456" t="s">
        <v>971</v>
      </c>
      <c r="C158" s="457"/>
      <c r="D158" s="457"/>
      <c r="E158" s="458"/>
      <c r="F158" s="459"/>
      <c r="G158" s="1037" t="b">
        <v>1</v>
      </c>
      <c r="H158" s="511">
        <f>IFERROR(IF(G157=TRUE,(STAVBE!Q162+'ODPRTI PROSTOR'!Q162),0),0)</f>
        <v>0</v>
      </c>
      <c r="I158" s="460">
        <f t="shared" ref="I158:I159" si="25">+H158*$I$16</f>
        <v>0</v>
      </c>
    </row>
    <row r="159" spans="1:9" s="461" customFormat="1" ht="12.75" outlineLevel="2" x14ac:dyDescent="0.2">
      <c r="A159" s="455"/>
      <c r="B159" s="456" t="s">
        <v>972</v>
      </c>
      <c r="C159" s="457"/>
      <c r="D159" s="457"/>
      <c r="E159" s="458"/>
      <c r="F159" s="459"/>
      <c r="G159" s="1017" t="b">
        <v>1</v>
      </c>
      <c r="H159" s="511">
        <f>IFERROR(IF(G157=TRUE,STAVBE!G162,0),0)</f>
        <v>0</v>
      </c>
      <c r="I159" s="460">
        <f t="shared" si="25"/>
        <v>0</v>
      </c>
    </row>
    <row r="160" spans="1:9" s="461" customFormat="1" ht="12.75" outlineLevel="2" x14ac:dyDescent="0.2">
      <c r="A160" s="455"/>
      <c r="B160" s="456" t="s">
        <v>973</v>
      </c>
      <c r="C160" s="462"/>
      <c r="D160" s="462"/>
      <c r="E160" s="463"/>
      <c r="F160" s="464"/>
      <c r="G160" s="1018" t="b">
        <v>1</v>
      </c>
      <c r="H160" s="511">
        <f>IFERROR(IF(G157=TRUE,'ODPRTI PROSTOR'!G162*'OSNOVNI PODATKI'!$F$396,0),0)</f>
        <v>0</v>
      </c>
      <c r="I160" s="465">
        <f>+H160*$I$16</f>
        <v>0</v>
      </c>
    </row>
    <row r="161" spans="1:9" s="461" customFormat="1" ht="12.75" outlineLevel="2" x14ac:dyDescent="0.2">
      <c r="A161" s="455"/>
      <c r="B161" s="456" t="s">
        <v>974</v>
      </c>
      <c r="C161" s="462"/>
      <c r="D161" s="462"/>
      <c r="E161" s="463"/>
      <c r="F161" s="464"/>
      <c r="G161" s="1018" t="b">
        <v>1</v>
      </c>
      <c r="H161" s="512">
        <f>IFERROR(IF(G157=TRUE,'ODPRTI PROSTOR'!G162*(100%-'OSNOVNI PODATKI'!$F$396),0),0)</f>
        <v>0</v>
      </c>
      <c r="I161" s="465">
        <f t="shared" ref="I161:I164" si="26">+H161*$I$16</f>
        <v>0</v>
      </c>
    </row>
    <row r="162" spans="1:9" s="473" customFormat="1" ht="12.75" outlineLevel="2" x14ac:dyDescent="0.2">
      <c r="A162" s="469"/>
      <c r="B162" s="900" t="s">
        <v>975</v>
      </c>
      <c r="C162" s="901"/>
      <c r="D162" s="901"/>
      <c r="E162" s="902"/>
      <c r="F162" s="903"/>
      <c r="G162" s="1019" t="b">
        <v>1</v>
      </c>
      <c r="H162" s="905">
        <f>IFERROR(IF(G157=TRUE,'TEHNIČNA OPREMA'!G155,0),0)</f>
        <v>0</v>
      </c>
      <c r="I162" s="906">
        <f t="shared" si="26"/>
        <v>0</v>
      </c>
    </row>
    <row r="163" spans="1:9" s="473" customFormat="1" ht="12.75" outlineLevel="2" x14ac:dyDescent="0.2">
      <c r="A163" s="469"/>
      <c r="B163" s="900" t="s">
        <v>976</v>
      </c>
      <c r="C163" s="901"/>
      <c r="D163" s="901"/>
      <c r="E163" s="902"/>
      <c r="F163" s="903"/>
      <c r="G163" s="1019" t="b">
        <v>1</v>
      </c>
      <c r="H163" s="905">
        <f>IFERROR(IF(G157=TRUE,'TEHNIČNA OPREMA'!G208,0),0)</f>
        <v>0</v>
      </c>
      <c r="I163" s="906">
        <f t="shared" si="26"/>
        <v>0</v>
      </c>
    </row>
    <row r="164" spans="1:9" s="473" customFormat="1" ht="12.75" outlineLevel="2" x14ac:dyDescent="0.2">
      <c r="A164" s="891"/>
      <c r="B164" s="944" t="s">
        <v>365</v>
      </c>
      <c r="C164" s="922"/>
      <c r="D164" s="922"/>
      <c r="E164" s="923"/>
      <c r="F164" s="924"/>
      <c r="G164" s="1020" t="b">
        <v>1</v>
      </c>
      <c r="H164" s="925">
        <f>IFERROR(IF(G157=TRUE,'TEHNIČNA OPREMA'!G258,0),0)</f>
        <v>0</v>
      </c>
      <c r="I164" s="912">
        <f t="shared" si="26"/>
        <v>0</v>
      </c>
    </row>
    <row r="165" spans="1:9" s="461" customFormat="1" ht="16.5" customHeight="1" outlineLevel="1" x14ac:dyDescent="0.2">
      <c r="A165" s="455"/>
      <c r="B165" s="957" t="s">
        <v>1152</v>
      </c>
      <c r="C165" s="838"/>
      <c r="D165" s="838"/>
      <c r="E165" s="839"/>
      <c r="F165" s="840"/>
      <c r="G165" s="1042" t="b">
        <v>0</v>
      </c>
      <c r="H165" s="841"/>
      <c r="I165" s="842"/>
    </row>
    <row r="166" spans="1:9" s="823" customFormat="1" ht="12.75" outlineLevel="2" x14ac:dyDescent="0.2">
      <c r="A166" s="822"/>
      <c r="B166" s="927" t="s">
        <v>971</v>
      </c>
      <c r="C166" s="892"/>
      <c r="D166" s="892"/>
      <c r="E166" s="948"/>
      <c r="F166" s="949"/>
      <c r="G166" s="1039" t="b">
        <v>1</v>
      </c>
      <c r="H166" s="960">
        <f>IFERROR(IF(G165=TRUE,(STAVBE!Q163+'ODPRTI PROSTOR'!Q163),0),0)</f>
        <v>0</v>
      </c>
      <c r="I166" s="958">
        <f t="shared" ref="I166:I167" si="27">+H166*$I$16</f>
        <v>0</v>
      </c>
    </row>
    <row r="167" spans="1:9" s="823" customFormat="1" ht="12.75" outlineLevel="2" x14ac:dyDescent="0.2">
      <c r="A167" s="824"/>
      <c r="B167" s="927" t="s">
        <v>972</v>
      </c>
      <c r="C167" s="892"/>
      <c r="D167" s="892"/>
      <c r="E167" s="948"/>
      <c r="F167" s="949"/>
      <c r="G167" s="1039" t="b">
        <v>1</v>
      </c>
      <c r="H167" s="960">
        <f>IFERROR(IF(G165=TRUE,STAVBE!G163,0),0)</f>
        <v>0</v>
      </c>
      <c r="I167" s="958">
        <f t="shared" si="27"/>
        <v>0</v>
      </c>
    </row>
    <row r="168" spans="1:9" s="823" customFormat="1" ht="12.75" outlineLevel="2" x14ac:dyDescent="0.2">
      <c r="A168" s="824"/>
      <c r="B168" s="927" t="s">
        <v>973</v>
      </c>
      <c r="C168" s="837"/>
      <c r="D168" s="837"/>
      <c r="E168" s="950"/>
      <c r="F168" s="951"/>
      <c r="G168" s="1040" t="b">
        <v>1</v>
      </c>
      <c r="H168" s="960">
        <f>IFERROR(IF(G165=TRUE,'ODPRTI PROSTOR'!G163*'OSNOVNI PODATKI'!$F$396,0),0)</f>
        <v>0</v>
      </c>
      <c r="I168" s="959">
        <f>+H168*$I$16</f>
        <v>0</v>
      </c>
    </row>
    <row r="169" spans="1:9" s="823" customFormat="1" ht="12.75" outlineLevel="2" x14ac:dyDescent="0.2">
      <c r="A169" s="824"/>
      <c r="B169" s="927" t="s">
        <v>974</v>
      </c>
      <c r="C169" s="837"/>
      <c r="D169" s="837"/>
      <c r="E169" s="950"/>
      <c r="F169" s="951"/>
      <c r="G169" s="1040" t="b">
        <v>1</v>
      </c>
      <c r="H169" s="961">
        <f>IFERROR(IF(G165=TRUE,'ODPRTI PROSTOR'!G163*(100%-'OSNOVNI PODATKI'!$F$396),0),0)</f>
        <v>0</v>
      </c>
      <c r="I169" s="959">
        <f t="shared" ref="I169:I172" si="28">+H169*$I$16</f>
        <v>0</v>
      </c>
    </row>
    <row r="170" spans="1:9" s="826" customFormat="1" ht="12.75" outlineLevel="2" x14ac:dyDescent="0.2">
      <c r="A170" s="825"/>
      <c r="B170" s="928" t="s">
        <v>975</v>
      </c>
      <c r="C170" s="673"/>
      <c r="D170" s="673"/>
      <c r="E170" s="952"/>
      <c r="F170" s="953"/>
      <c r="G170" s="1041" t="b">
        <v>1</v>
      </c>
      <c r="H170" s="962">
        <f>IFERROR(IF(G165=TRUE,'TEHNIČNA OPREMA'!G156,0),0)</f>
        <v>0</v>
      </c>
      <c r="I170" s="932">
        <f t="shared" si="28"/>
        <v>0</v>
      </c>
    </row>
    <row r="171" spans="1:9" s="826" customFormat="1" ht="12.75" outlineLevel="2" x14ac:dyDescent="0.2">
      <c r="A171" s="825"/>
      <c r="B171" s="928" t="s">
        <v>976</v>
      </c>
      <c r="C171" s="673"/>
      <c r="D171" s="673"/>
      <c r="E171" s="952"/>
      <c r="F171" s="953"/>
      <c r="G171" s="1041" t="b">
        <v>1</v>
      </c>
      <c r="H171" s="962">
        <f>IFERROR(IF(G165=TRUE,'TEHNIČNA OPREMA'!G209,0),0)</f>
        <v>0</v>
      </c>
      <c r="I171" s="932">
        <f t="shared" si="28"/>
        <v>0</v>
      </c>
    </row>
    <row r="172" spans="1:9" s="826" customFormat="1" ht="12.75" outlineLevel="2" x14ac:dyDescent="0.2">
      <c r="A172" s="827"/>
      <c r="B172" s="928" t="s">
        <v>365</v>
      </c>
      <c r="C172" s="954"/>
      <c r="D172" s="954"/>
      <c r="E172" s="955"/>
      <c r="F172" s="956"/>
      <c r="G172" s="1041" t="b">
        <v>1</v>
      </c>
      <c r="H172" s="962">
        <f>IFERROR(IF(G165=TRUE,'TEHNIČNA OPREMA'!G259,0),0)</f>
        <v>0</v>
      </c>
      <c r="I172" s="933">
        <f t="shared" si="28"/>
        <v>0</v>
      </c>
    </row>
    <row r="173" spans="1:9" s="220" customFormat="1" ht="16.5" customHeight="1" outlineLevel="1" collapsed="1" x14ac:dyDescent="0.2">
      <c r="A173" s="487" t="s">
        <v>45</v>
      </c>
      <c r="B173" s="485" t="s">
        <v>866</v>
      </c>
      <c r="C173" s="485"/>
      <c r="D173" s="485"/>
      <c r="E173" s="517"/>
      <c r="F173" s="518"/>
      <c r="G173" s="1016" t="b">
        <v>1</v>
      </c>
      <c r="H173" s="519">
        <f>SUM(H174:H190)</f>
        <v>0</v>
      </c>
      <c r="I173" s="485">
        <f>SUM(I174:I190)</f>
        <v>0</v>
      </c>
    </row>
    <row r="174" spans="1:9" s="219" customFormat="1" hidden="1" outlineLevel="2" x14ac:dyDescent="0.2">
      <c r="A174" s="668"/>
      <c r="B174" s="456" t="s">
        <v>971</v>
      </c>
      <c r="C174" s="457"/>
      <c r="D174" s="457"/>
      <c r="E174" s="458"/>
      <c r="F174" s="459"/>
      <c r="G174" s="1037" t="b">
        <v>1</v>
      </c>
      <c r="H174" s="511">
        <f>IFERROR(IF(G173=TRUE,(STAVBE!Q164+'NOTRANJA OPREMA'!Q215+'ODPRTI PROSTOR'!Q164),0),0)</f>
        <v>0</v>
      </c>
      <c r="I174" s="460">
        <f t="shared" ref="I174:I175" si="29">+H174*$I$16</f>
        <v>0</v>
      </c>
    </row>
    <row r="175" spans="1:9" s="461" customFormat="1" ht="12.75" hidden="1" outlineLevel="2" x14ac:dyDescent="0.2">
      <c r="A175" s="455"/>
      <c r="B175" s="456" t="s">
        <v>972</v>
      </c>
      <c r="C175" s="457"/>
      <c r="D175" s="457"/>
      <c r="E175" s="458"/>
      <c r="F175" s="459"/>
      <c r="G175" s="1017" t="b">
        <v>1</v>
      </c>
      <c r="H175" s="511">
        <f>IFERROR(IF(G173=TRUE,STAVBE!G164,0),0)</f>
        <v>0</v>
      </c>
      <c r="I175" s="460">
        <f t="shared" si="29"/>
        <v>0</v>
      </c>
    </row>
    <row r="176" spans="1:9" s="461" customFormat="1" ht="12.75" hidden="1" outlineLevel="2" x14ac:dyDescent="0.2">
      <c r="A176" s="455"/>
      <c r="B176" s="456" t="s">
        <v>2</v>
      </c>
      <c r="C176" s="462"/>
      <c r="D176" s="462"/>
      <c r="E176" s="463"/>
      <c r="F176" s="464"/>
      <c r="G176" s="1018" t="b">
        <v>1</v>
      </c>
      <c r="H176" s="511">
        <f>IFERROR(IF(G173=TRUE,'NOTRANJA OPREMA'!G215,0),0)</f>
        <v>0</v>
      </c>
      <c r="I176" s="465">
        <f>+H176*$I$16</f>
        <v>0</v>
      </c>
    </row>
    <row r="177" spans="1:9" s="461" customFormat="1" ht="12.75" hidden="1" outlineLevel="2" x14ac:dyDescent="0.2">
      <c r="A177" s="455"/>
      <c r="B177" s="456" t="s">
        <v>973</v>
      </c>
      <c r="C177" s="462"/>
      <c r="D177" s="462"/>
      <c r="E177" s="463"/>
      <c r="F177" s="464"/>
      <c r="G177" s="1018" t="b">
        <v>1</v>
      </c>
      <c r="H177" s="511">
        <f>IFERROR(IF(G173=TRUE,'ODPRTI PROSTOR'!G164*'OSNOVNI PODATKI'!$F$396,0),0)</f>
        <v>0</v>
      </c>
      <c r="I177" s="465">
        <f>+H177*$I$16</f>
        <v>0</v>
      </c>
    </row>
    <row r="178" spans="1:9" s="461" customFormat="1" ht="12.75" hidden="1" outlineLevel="2" x14ac:dyDescent="0.2">
      <c r="A178" s="455"/>
      <c r="B178" s="456" t="s">
        <v>974</v>
      </c>
      <c r="C178" s="462"/>
      <c r="D178" s="462"/>
      <c r="E178" s="463"/>
      <c r="F178" s="464"/>
      <c r="G178" s="1018" t="b">
        <v>1</v>
      </c>
      <c r="H178" s="512">
        <f>IFERROR(IF(G173=TRUE,'ODPRTI PROSTOR'!G164*(100%-'OSNOVNI PODATKI'!$F$396),0),0)</f>
        <v>0</v>
      </c>
      <c r="I178" s="465">
        <f t="shared" ref="I178:I181" si="30">+H178*$I$16</f>
        <v>0</v>
      </c>
    </row>
    <row r="179" spans="1:9" s="473" customFormat="1" ht="12.75" hidden="1" outlineLevel="2" x14ac:dyDescent="0.2">
      <c r="A179" s="469"/>
      <c r="B179" s="900" t="s">
        <v>975</v>
      </c>
      <c r="C179" s="901"/>
      <c r="D179" s="901"/>
      <c r="E179" s="902"/>
      <c r="F179" s="903"/>
      <c r="G179" s="1019" t="b">
        <v>1</v>
      </c>
      <c r="H179" s="905">
        <f>IFERROR(IF(G173=TRUE,'TEHNIČNA OPREMA'!G157,0),0)</f>
        <v>0</v>
      </c>
      <c r="I179" s="906">
        <f t="shared" si="30"/>
        <v>0</v>
      </c>
    </row>
    <row r="180" spans="1:9" s="473" customFormat="1" ht="12.75" hidden="1" outlineLevel="2" x14ac:dyDescent="0.2">
      <c r="A180" s="469"/>
      <c r="B180" s="900" t="s">
        <v>976</v>
      </c>
      <c r="C180" s="901"/>
      <c r="D180" s="901"/>
      <c r="E180" s="902"/>
      <c r="F180" s="903"/>
      <c r="G180" s="1019" t="b">
        <v>1</v>
      </c>
      <c r="H180" s="905">
        <f>IFERROR(IF(G173=TRUE,'TEHNIČNA OPREMA'!G210,0),0)</f>
        <v>0</v>
      </c>
      <c r="I180" s="906">
        <f t="shared" si="30"/>
        <v>0</v>
      </c>
    </row>
    <row r="181" spans="1:9" s="473" customFormat="1" ht="12.75" hidden="1" outlineLevel="2" x14ac:dyDescent="0.2">
      <c r="A181" s="891"/>
      <c r="B181" s="944" t="s">
        <v>365</v>
      </c>
      <c r="C181" s="922"/>
      <c r="D181" s="922"/>
      <c r="E181" s="923"/>
      <c r="F181" s="924"/>
      <c r="G181" s="1020" t="b">
        <v>1</v>
      </c>
      <c r="H181" s="925">
        <f>IFERROR(IF(G173=TRUE,'TEHNIČNA OPREMA'!G260,0),0)</f>
        <v>0</v>
      </c>
      <c r="I181" s="912">
        <f t="shared" si="30"/>
        <v>0</v>
      </c>
    </row>
    <row r="182" spans="1:9" s="461" customFormat="1" ht="16.5" customHeight="1" outlineLevel="1" collapsed="1" x14ac:dyDescent="0.2">
      <c r="A182" s="455"/>
      <c r="B182" s="957" t="s">
        <v>1127</v>
      </c>
      <c r="C182" s="945"/>
      <c r="D182" s="945"/>
      <c r="E182" s="946"/>
      <c r="F182" s="947"/>
      <c r="G182" s="1038" t="b">
        <v>0</v>
      </c>
      <c r="H182" s="841"/>
      <c r="I182" s="842"/>
    </row>
    <row r="183" spans="1:9" s="823" customFormat="1" ht="12.75" hidden="1" outlineLevel="2" x14ac:dyDescent="0.2">
      <c r="A183" s="822"/>
      <c r="B183" s="927" t="s">
        <v>971</v>
      </c>
      <c r="C183" s="892"/>
      <c r="D183" s="892"/>
      <c r="E183" s="948"/>
      <c r="F183" s="949"/>
      <c r="G183" s="1039" t="b">
        <v>1</v>
      </c>
      <c r="H183" s="960">
        <f>IFERROR(IF(G182=TRUE,(STAVBE!Q165+'NOTRANJA OPREMA'!Q216+'ODPRTI PROSTOR'!Q165),0),0)</f>
        <v>0</v>
      </c>
      <c r="I183" s="958">
        <f t="shared" ref="I183:I184" si="31">+H183*$I$16</f>
        <v>0</v>
      </c>
    </row>
    <row r="184" spans="1:9" s="823" customFormat="1" ht="12.75" hidden="1" outlineLevel="2" x14ac:dyDescent="0.2">
      <c r="A184" s="824"/>
      <c r="B184" s="927" t="s">
        <v>972</v>
      </c>
      <c r="C184" s="892"/>
      <c r="D184" s="892"/>
      <c r="E184" s="948"/>
      <c r="F184" s="949"/>
      <c r="G184" s="1039" t="b">
        <v>1</v>
      </c>
      <c r="H184" s="960">
        <f>IFERROR(IF(G182=TRUE,STAVBE!G165,0),0)</f>
        <v>0</v>
      </c>
      <c r="I184" s="958">
        <f t="shared" si="31"/>
        <v>0</v>
      </c>
    </row>
    <row r="185" spans="1:9" s="823" customFormat="1" ht="12.75" hidden="1" outlineLevel="2" x14ac:dyDescent="0.2">
      <c r="A185" s="824"/>
      <c r="B185" s="927" t="s">
        <v>2</v>
      </c>
      <c r="C185" s="837"/>
      <c r="D185" s="837"/>
      <c r="E185" s="950"/>
      <c r="F185" s="951"/>
      <c r="G185" s="1040" t="b">
        <v>1</v>
      </c>
      <c r="H185" s="960">
        <f>IFERROR(IF(G182=TRUE,'NOTRANJA OPREMA'!G216,0),0)</f>
        <v>0</v>
      </c>
      <c r="I185" s="959">
        <f>+H185*$I$16</f>
        <v>0</v>
      </c>
    </row>
    <row r="186" spans="1:9" s="823" customFormat="1" ht="12.75" hidden="1" outlineLevel="2" x14ac:dyDescent="0.2">
      <c r="A186" s="824"/>
      <c r="B186" s="927" t="s">
        <v>973</v>
      </c>
      <c r="C186" s="837"/>
      <c r="D186" s="837"/>
      <c r="E186" s="950"/>
      <c r="F186" s="951"/>
      <c r="G186" s="1040" t="b">
        <v>1</v>
      </c>
      <c r="H186" s="960">
        <f>IFERROR(IF(G182=TRUE,'ODPRTI PROSTOR'!G165*'OSNOVNI PODATKI'!$F$396,0),0)</f>
        <v>0</v>
      </c>
      <c r="I186" s="959">
        <f>+H186*$I$16</f>
        <v>0</v>
      </c>
    </row>
    <row r="187" spans="1:9" s="823" customFormat="1" ht="12.75" hidden="1" outlineLevel="2" x14ac:dyDescent="0.2">
      <c r="A187" s="824"/>
      <c r="B187" s="927" t="s">
        <v>974</v>
      </c>
      <c r="C187" s="837"/>
      <c r="D187" s="837"/>
      <c r="E187" s="950"/>
      <c r="F187" s="951"/>
      <c r="G187" s="1040" t="b">
        <v>1</v>
      </c>
      <c r="H187" s="961">
        <f>IFERROR(IF(G182=TRUE,'ODPRTI PROSTOR'!G165*(100%-'OSNOVNI PODATKI'!$F$396),0),0)</f>
        <v>0</v>
      </c>
      <c r="I187" s="959">
        <f t="shared" ref="I187:I190" si="32">+H187*$I$16</f>
        <v>0</v>
      </c>
    </row>
    <row r="188" spans="1:9" s="826" customFormat="1" ht="12.75" hidden="1" outlineLevel="2" x14ac:dyDescent="0.2">
      <c r="A188" s="825"/>
      <c r="B188" s="928" t="s">
        <v>975</v>
      </c>
      <c r="C188" s="673"/>
      <c r="D188" s="673"/>
      <c r="E188" s="952"/>
      <c r="F188" s="953"/>
      <c r="G188" s="1041" t="b">
        <v>1</v>
      </c>
      <c r="H188" s="962">
        <f>IFERROR(IF(G182=TRUE,'TEHNIČNA OPREMA'!G158,0),0)</f>
        <v>0</v>
      </c>
      <c r="I188" s="932">
        <f t="shared" si="32"/>
        <v>0</v>
      </c>
    </row>
    <row r="189" spans="1:9" s="826" customFormat="1" ht="12.75" hidden="1" outlineLevel="2" x14ac:dyDescent="0.2">
      <c r="A189" s="825"/>
      <c r="B189" s="928" t="s">
        <v>976</v>
      </c>
      <c r="C189" s="673"/>
      <c r="D189" s="673"/>
      <c r="E189" s="952"/>
      <c r="F189" s="953"/>
      <c r="G189" s="1041" t="b">
        <v>1</v>
      </c>
      <c r="H189" s="962">
        <f>IFERROR(IF(G182=TRUE,'TEHNIČNA OPREMA'!G211,0),0)</f>
        <v>0</v>
      </c>
      <c r="I189" s="932">
        <f t="shared" si="32"/>
        <v>0</v>
      </c>
    </row>
    <row r="190" spans="1:9" s="826" customFormat="1" ht="12.75" hidden="1" outlineLevel="2" x14ac:dyDescent="0.2">
      <c r="A190" s="827"/>
      <c r="B190" s="928" t="s">
        <v>365</v>
      </c>
      <c r="C190" s="954"/>
      <c r="D190" s="954"/>
      <c r="E190" s="955"/>
      <c r="F190" s="956"/>
      <c r="G190" s="1041" t="b">
        <v>1</v>
      </c>
      <c r="H190" s="962">
        <f>IFERROR(IF(G182=TRUE,'TEHNIČNA OPREMA'!G261,0),0)</f>
        <v>0</v>
      </c>
      <c r="I190" s="933">
        <f t="shared" si="32"/>
        <v>0</v>
      </c>
    </row>
    <row r="191" spans="1:9" s="220" customFormat="1" ht="16.5" customHeight="1" outlineLevel="1" collapsed="1" x14ac:dyDescent="0.2">
      <c r="A191" s="487" t="s">
        <v>46</v>
      </c>
      <c r="B191" s="485" t="s">
        <v>847</v>
      </c>
      <c r="C191" s="485"/>
      <c r="D191" s="485"/>
      <c r="E191" s="517"/>
      <c r="F191" s="518"/>
      <c r="G191" s="1036" t="b">
        <v>1</v>
      </c>
      <c r="H191" s="519">
        <f>SUM(H192:H202)</f>
        <v>0</v>
      </c>
      <c r="I191" s="485">
        <f>H191*I16</f>
        <v>0</v>
      </c>
    </row>
    <row r="192" spans="1:9" s="219" customFormat="1" hidden="1" outlineLevel="2" x14ac:dyDescent="0.2">
      <c r="A192" s="1326" t="s">
        <v>883</v>
      </c>
      <c r="B192" s="456" t="s">
        <v>971</v>
      </c>
      <c r="C192" s="457"/>
      <c r="D192" s="457"/>
      <c r="E192" s="458"/>
      <c r="F192" s="459"/>
      <c r="G192" s="1037" t="b">
        <v>1</v>
      </c>
      <c r="H192" s="511">
        <f>IFERROR(IF(G191=TRUE,(STAVBE!Q166+'NOTRANJA OPREMA'!Q217+'ODPRTI PROSTOR'!Q166),0),0)</f>
        <v>0</v>
      </c>
      <c r="I192" s="460">
        <f t="shared" ref="I192" si="33">+H192*$I$16</f>
        <v>0</v>
      </c>
    </row>
    <row r="193" spans="1:9" s="461" customFormat="1" ht="12.75" hidden="1" outlineLevel="2" x14ac:dyDescent="0.2">
      <c r="A193" s="1327"/>
      <c r="B193" s="456" t="s">
        <v>972</v>
      </c>
      <c r="C193" s="462"/>
      <c r="D193" s="462"/>
      <c r="E193" s="463"/>
      <c r="F193" s="464"/>
      <c r="G193" s="1018" t="b">
        <v>1</v>
      </c>
      <c r="H193" s="511">
        <f>IFERROR(IF(G191=TRUE,STAVBE!G166,0),0)</f>
        <v>0</v>
      </c>
      <c r="I193" s="465">
        <f>+H193*$I$16</f>
        <v>0</v>
      </c>
    </row>
    <row r="194" spans="1:9" s="461" customFormat="1" ht="12.6" hidden="1" customHeight="1" outlineLevel="2" x14ac:dyDescent="0.2">
      <c r="A194" s="1327"/>
      <c r="B194" s="456" t="s">
        <v>2</v>
      </c>
      <c r="C194" s="457"/>
      <c r="D194" s="457"/>
      <c r="E194" s="458"/>
      <c r="F194" s="459"/>
      <c r="G194" s="1017" t="b">
        <v>1</v>
      </c>
      <c r="H194" s="511">
        <f>IFERROR(IF(G191=TRUE,'NOTRANJA OPREMA'!G217,0),0)</f>
        <v>0</v>
      </c>
      <c r="I194" s="460">
        <f t="shared" ref="I194:I202" si="34">+H194*$I$16</f>
        <v>0</v>
      </c>
    </row>
    <row r="195" spans="1:9" s="461" customFormat="1" ht="12.75" hidden="1" outlineLevel="2" x14ac:dyDescent="0.2">
      <c r="A195" s="1327"/>
      <c r="B195" s="456" t="s">
        <v>973</v>
      </c>
      <c r="C195" s="462"/>
      <c r="D195" s="462"/>
      <c r="E195" s="463"/>
      <c r="F195" s="464"/>
      <c r="G195" s="1018" t="b">
        <v>1</v>
      </c>
      <c r="H195" s="511">
        <f>IFERROR(IF(G191=TRUE,'ODPRTI PROSTOR'!G166*'OSNOVNI PODATKI'!$F$396,0),0)</f>
        <v>0</v>
      </c>
      <c r="I195" s="465">
        <f>+H195*$I$16</f>
        <v>0</v>
      </c>
    </row>
    <row r="196" spans="1:9" s="461" customFormat="1" ht="12.75" hidden="1" outlineLevel="2" x14ac:dyDescent="0.2">
      <c r="A196" s="1327"/>
      <c r="B196" s="456" t="s">
        <v>974</v>
      </c>
      <c r="C196" s="462"/>
      <c r="D196" s="462"/>
      <c r="E196" s="463"/>
      <c r="F196" s="464"/>
      <c r="G196" s="1018" t="b">
        <v>1</v>
      </c>
      <c r="H196" s="512">
        <f>IFERROR(IF(G191=TRUE,'ODPRTI PROSTOR'!G166*(100%-'OSNOVNI PODATKI'!$F$396),0),0)</f>
        <v>0</v>
      </c>
      <c r="I196" s="465">
        <f t="shared" si="34"/>
        <v>0</v>
      </c>
    </row>
    <row r="197" spans="1:9" s="473" customFormat="1" ht="12.75" hidden="1" outlineLevel="2" x14ac:dyDescent="0.2">
      <c r="A197" s="1327"/>
      <c r="B197" s="900" t="s">
        <v>975</v>
      </c>
      <c r="C197" s="901"/>
      <c r="D197" s="901"/>
      <c r="E197" s="902"/>
      <c r="F197" s="903"/>
      <c r="G197" s="1019" t="b">
        <v>1</v>
      </c>
      <c r="H197" s="905">
        <f>IFERROR(IF(G191=TRUE,'TEHNIČNA OPREMA'!G159,0),0)</f>
        <v>0</v>
      </c>
      <c r="I197" s="906">
        <f t="shared" si="34"/>
        <v>0</v>
      </c>
    </row>
    <row r="198" spans="1:9" s="473" customFormat="1" ht="12.75" hidden="1" outlineLevel="2" x14ac:dyDescent="0.2">
      <c r="A198" s="1327"/>
      <c r="B198" s="900" t="s">
        <v>976</v>
      </c>
      <c r="C198" s="901"/>
      <c r="D198" s="901"/>
      <c r="E198" s="902"/>
      <c r="F198" s="903"/>
      <c r="G198" s="1019" t="b">
        <v>1</v>
      </c>
      <c r="H198" s="905">
        <f>IFERROR(IF(G191=TRUE,'TEHNIČNA OPREMA'!G212,0),0)</f>
        <v>0</v>
      </c>
      <c r="I198" s="906">
        <f t="shared" si="34"/>
        <v>0</v>
      </c>
    </row>
    <row r="199" spans="1:9" s="473" customFormat="1" ht="12.75" hidden="1" outlineLevel="2" x14ac:dyDescent="0.2">
      <c r="A199" s="1327"/>
      <c r="B199" s="900" t="s">
        <v>365</v>
      </c>
      <c r="C199" s="901"/>
      <c r="D199" s="901"/>
      <c r="E199" s="902"/>
      <c r="F199" s="903"/>
      <c r="G199" s="1019" t="b">
        <v>1</v>
      </c>
      <c r="H199" s="905">
        <f>IFERROR(IF(G191=TRUE,'TEHNIČNA OPREMA'!G262,0),0)</f>
        <v>0</v>
      </c>
      <c r="I199" s="906">
        <f t="shared" si="34"/>
        <v>0</v>
      </c>
    </row>
    <row r="200" spans="1:9" s="473" customFormat="1" ht="12.75" hidden="1" outlineLevel="2" x14ac:dyDescent="0.2">
      <c r="A200" s="1327"/>
      <c r="B200" s="900" t="s">
        <v>377</v>
      </c>
      <c r="C200" s="901"/>
      <c r="D200" s="901"/>
      <c r="E200" s="902"/>
      <c r="F200" s="903"/>
      <c r="G200" s="1019" t="b">
        <v>1</v>
      </c>
      <c r="H200" s="905">
        <f>IFERROR(IF(G191=TRUE,'POŽARNA VARNOST'!G167,0),0)</f>
        <v>0</v>
      </c>
      <c r="I200" s="906">
        <f t="shared" si="34"/>
        <v>0</v>
      </c>
    </row>
    <row r="201" spans="1:9" s="473" customFormat="1" ht="12.75" hidden="1" outlineLevel="2" x14ac:dyDescent="0.2">
      <c r="A201" s="1327"/>
      <c r="B201" s="901" t="s">
        <v>375</v>
      </c>
      <c r="C201" s="963"/>
      <c r="D201" s="963"/>
      <c r="E201" s="964"/>
      <c r="F201" s="965"/>
      <c r="G201" s="1043" t="b">
        <v>1</v>
      </c>
      <c r="H201" s="905">
        <f>IFERROR(IF(G181=TRUE,'GRADBENA FIZIKA'!G157,0),0)</f>
        <v>0</v>
      </c>
      <c r="I201" s="966">
        <f t="shared" si="34"/>
        <v>0</v>
      </c>
    </row>
    <row r="202" spans="1:9" s="473" customFormat="1" ht="12.75" hidden="1" outlineLevel="2" x14ac:dyDescent="0.2">
      <c r="A202" s="1328"/>
      <c r="B202" s="967" t="s">
        <v>69</v>
      </c>
      <c r="C202" s="967"/>
      <c r="D202" s="967"/>
      <c r="E202" s="968"/>
      <c r="F202" s="969"/>
      <c r="G202" s="1044" t="b">
        <v>1</v>
      </c>
      <c r="H202" s="970">
        <f>IFERROR(IF(G181=TRUE,'GRADBENA FIZIKA'!G202,0),0)</f>
        <v>0</v>
      </c>
      <c r="I202" s="971">
        <f t="shared" si="34"/>
        <v>0</v>
      </c>
    </row>
    <row r="203" spans="1:9" s="705" customFormat="1" ht="16.5" x14ac:dyDescent="0.2">
      <c r="A203" s="699">
        <v>5</v>
      </c>
      <c r="B203" s="700" t="s">
        <v>47</v>
      </c>
      <c r="C203" s="700"/>
      <c r="D203" s="700"/>
      <c r="E203" s="701"/>
      <c r="F203" s="702"/>
      <c r="G203" s="1045"/>
      <c r="H203" s="703">
        <f>+H204+H213</f>
        <v>0</v>
      </c>
      <c r="I203" s="704">
        <f>+I204+I213</f>
        <v>0</v>
      </c>
    </row>
    <row r="204" spans="1:9" s="220" customFormat="1" ht="16.5" customHeight="1" outlineLevel="1" collapsed="1" x14ac:dyDescent="0.2">
      <c r="A204" s="487" t="s">
        <v>48</v>
      </c>
      <c r="B204" s="524" t="s">
        <v>205</v>
      </c>
      <c r="C204" s="524"/>
      <c r="D204" s="524"/>
      <c r="E204" s="517"/>
      <c r="F204" s="518"/>
      <c r="G204" s="1036" t="b">
        <v>0</v>
      </c>
      <c r="H204" s="519">
        <f>SUM(H205:H212)</f>
        <v>0</v>
      </c>
      <c r="I204" s="485">
        <f>+H204*$I$16</f>
        <v>0</v>
      </c>
    </row>
    <row r="205" spans="1:9" s="219" customFormat="1" hidden="1" outlineLevel="2" x14ac:dyDescent="0.2">
      <c r="A205" s="672"/>
      <c r="B205" s="456" t="s">
        <v>971</v>
      </c>
      <c r="C205" s="457"/>
      <c r="D205" s="457"/>
      <c r="E205" s="458"/>
      <c r="F205" s="459"/>
      <c r="G205" s="1037" t="b">
        <v>1</v>
      </c>
      <c r="H205" s="511">
        <f>IFERROR(IF(G204=TRUE,(STAVBE!Q168+'NOTRANJA OPREMA'!Q219+'ODPRTI PROSTOR'!Q168),0),0)</f>
        <v>0</v>
      </c>
      <c r="I205" s="460">
        <f t="shared" ref="I205" si="35">+H205*$I$16</f>
        <v>0</v>
      </c>
    </row>
    <row r="206" spans="1:9" s="461" customFormat="1" ht="12.75" hidden="1" outlineLevel="2" x14ac:dyDescent="0.2">
      <c r="A206" s="672"/>
      <c r="B206" s="456" t="s">
        <v>972</v>
      </c>
      <c r="C206" s="462"/>
      <c r="D206" s="462"/>
      <c r="E206" s="463"/>
      <c r="F206" s="464"/>
      <c r="G206" s="1018" t="b">
        <v>1</v>
      </c>
      <c r="H206" s="511">
        <f>IFERROR(IF(G204=TRUE,STAVBE!G168,0),0)</f>
        <v>0</v>
      </c>
      <c r="I206" s="465">
        <f>+H206*$I$16</f>
        <v>0</v>
      </c>
    </row>
    <row r="207" spans="1:9" s="461" customFormat="1" ht="12.6" hidden="1" customHeight="1" outlineLevel="2" x14ac:dyDescent="0.2">
      <c r="A207" s="672"/>
      <c r="B207" s="456" t="s">
        <v>2</v>
      </c>
      <c r="C207" s="457"/>
      <c r="D207" s="457"/>
      <c r="E207" s="458"/>
      <c r="F207" s="459"/>
      <c r="G207" s="1017" t="b">
        <v>1</v>
      </c>
      <c r="H207" s="511">
        <f>IFERROR(IF(G204=TRUE,'NOTRANJA OPREMA'!G219,0),0)</f>
        <v>0</v>
      </c>
      <c r="I207" s="460">
        <f t="shared" ref="I207" si="36">+H207*$I$16</f>
        <v>0</v>
      </c>
    </row>
    <row r="208" spans="1:9" s="461" customFormat="1" ht="12.75" hidden="1" outlineLevel="2" x14ac:dyDescent="0.2">
      <c r="A208" s="672"/>
      <c r="B208" s="456" t="s">
        <v>973</v>
      </c>
      <c r="C208" s="462"/>
      <c r="D208" s="462"/>
      <c r="E208" s="463"/>
      <c r="F208" s="464"/>
      <c r="G208" s="1017" t="b">
        <v>1</v>
      </c>
      <c r="H208" s="511">
        <f>IFERROR(IF(G204=TRUE,'ODPRTI PROSTOR'!G168*'OSNOVNI PODATKI'!$F$396,0),0)</f>
        <v>0</v>
      </c>
      <c r="I208" s="465">
        <f>+H208*$I$16</f>
        <v>0</v>
      </c>
    </row>
    <row r="209" spans="1:9" s="461" customFormat="1" ht="12.75" hidden="1" outlineLevel="2" x14ac:dyDescent="0.2">
      <c r="A209" s="672"/>
      <c r="B209" s="456" t="s">
        <v>974</v>
      </c>
      <c r="C209" s="462"/>
      <c r="D209" s="462"/>
      <c r="E209" s="463"/>
      <c r="F209" s="464"/>
      <c r="G209" s="1018" t="b">
        <v>1</v>
      </c>
      <c r="H209" s="512">
        <f>IFERROR(IF(G204=TRUE,'ODPRTI PROSTOR'!G168*(100%-'OSNOVNI PODATKI'!$F$396),0),0)</f>
        <v>0</v>
      </c>
      <c r="I209" s="465">
        <f t="shared" ref="I209" si="37">+H209*$I$16</f>
        <v>0</v>
      </c>
    </row>
    <row r="210" spans="1:9" s="473" customFormat="1" ht="12.75" hidden="1" outlineLevel="2" x14ac:dyDescent="0.2">
      <c r="A210" s="672"/>
      <c r="B210" s="900" t="s">
        <v>975</v>
      </c>
      <c r="C210" s="901"/>
      <c r="D210" s="901"/>
      <c r="E210" s="902"/>
      <c r="F210" s="903"/>
      <c r="G210" s="1019" t="b">
        <v>1</v>
      </c>
      <c r="H210" s="905">
        <f>IFERROR(IF(G204=TRUE,'TEHNIČNA OPREMA'!G161,0),0)</f>
        <v>0</v>
      </c>
      <c r="I210" s="906">
        <f t="shared" ref="I210:I212" si="38">+H210*$I$16</f>
        <v>0</v>
      </c>
    </row>
    <row r="211" spans="1:9" s="473" customFormat="1" ht="12.75" hidden="1" outlineLevel="2" x14ac:dyDescent="0.2">
      <c r="A211" s="672"/>
      <c r="B211" s="900" t="s">
        <v>976</v>
      </c>
      <c r="C211" s="901"/>
      <c r="D211" s="901"/>
      <c r="E211" s="902"/>
      <c r="F211" s="903"/>
      <c r="G211" s="1019" t="b">
        <v>1</v>
      </c>
      <c r="H211" s="905">
        <f>IFERROR(IF(G204=TRUE,'TEHNIČNA OPREMA'!G214,0),0)</f>
        <v>0</v>
      </c>
      <c r="I211" s="906">
        <f t="shared" si="38"/>
        <v>0</v>
      </c>
    </row>
    <row r="212" spans="1:9" s="473" customFormat="1" ht="12.75" hidden="1" outlineLevel="2" x14ac:dyDescent="0.2">
      <c r="A212" s="720"/>
      <c r="B212" s="921" t="s">
        <v>365</v>
      </c>
      <c r="C212" s="922"/>
      <c r="D212" s="922"/>
      <c r="E212" s="923"/>
      <c r="F212" s="924"/>
      <c r="G212" s="1020" t="b">
        <v>1</v>
      </c>
      <c r="H212" s="905">
        <f>IFERROR(IF(G204=TRUE,'TEHNIČNA OPREMA'!G264,0),0)</f>
        <v>0</v>
      </c>
      <c r="I212" s="912">
        <f t="shared" si="38"/>
        <v>0</v>
      </c>
    </row>
    <row r="213" spans="1:9" s="220" customFormat="1" ht="16.5" customHeight="1" outlineLevel="1" collapsed="1" x14ac:dyDescent="0.2">
      <c r="A213" s="487" t="s">
        <v>49</v>
      </c>
      <c r="B213" s="524" t="s">
        <v>206</v>
      </c>
      <c r="C213" s="524"/>
      <c r="D213" s="524"/>
      <c r="E213" s="517"/>
      <c r="F213" s="518"/>
      <c r="G213" s="1023" t="b">
        <v>0</v>
      </c>
      <c r="H213" s="519">
        <f>SUM(H214:H221)</f>
        <v>0</v>
      </c>
      <c r="I213" s="485">
        <f>+H213*$I$16</f>
        <v>0</v>
      </c>
    </row>
    <row r="214" spans="1:9" s="219" customFormat="1" hidden="1" outlineLevel="2" x14ac:dyDescent="0.2">
      <c r="A214" s="672"/>
      <c r="B214" s="456" t="s">
        <v>971</v>
      </c>
      <c r="C214" s="457"/>
      <c r="D214" s="457"/>
      <c r="E214" s="458"/>
      <c r="F214" s="459"/>
      <c r="G214" s="697" t="b">
        <v>1</v>
      </c>
      <c r="H214" s="511">
        <f>IFERROR(IF(G213=TRUE,(STAVBE!Q169+'NOTRANJA OPREMA'!Q220+'ODPRTI PROSTOR'!Q169),0),0)</f>
        <v>0</v>
      </c>
      <c r="I214" s="460">
        <f t="shared" ref="I214" si="39">+H214*$I$16</f>
        <v>0</v>
      </c>
    </row>
    <row r="215" spans="1:9" s="461" customFormat="1" ht="12.75" hidden="1" outlineLevel="2" x14ac:dyDescent="0.2">
      <c r="A215" s="672"/>
      <c r="B215" s="456" t="s">
        <v>972</v>
      </c>
      <c r="C215" s="462"/>
      <c r="D215" s="462"/>
      <c r="E215" s="463"/>
      <c r="F215" s="464"/>
      <c r="G215" s="698" t="b">
        <v>1</v>
      </c>
      <c r="H215" s="511">
        <f>IFERROR(IF(G213=TRUE,STAVBE!G169,0),0)</f>
        <v>0</v>
      </c>
      <c r="I215" s="465">
        <f>+H215*$I$16</f>
        <v>0</v>
      </c>
    </row>
    <row r="216" spans="1:9" s="461" customFormat="1" ht="12.6" hidden="1" customHeight="1" outlineLevel="2" x14ac:dyDescent="0.2">
      <c r="A216" s="672"/>
      <c r="B216" s="456" t="s">
        <v>2</v>
      </c>
      <c r="C216" s="457"/>
      <c r="D216" s="457"/>
      <c r="E216" s="458"/>
      <c r="F216" s="459"/>
      <c r="G216" s="697" t="b">
        <v>1</v>
      </c>
      <c r="H216" s="511">
        <f>IFERROR(IF(G213=TRUE,'NOTRANJA OPREMA'!G220,0),0)</f>
        <v>0</v>
      </c>
      <c r="I216" s="460">
        <f t="shared" ref="I216" si="40">+H216*$I$16</f>
        <v>0</v>
      </c>
    </row>
    <row r="217" spans="1:9" s="461" customFormat="1" ht="12.75" hidden="1" outlineLevel="2" x14ac:dyDescent="0.2">
      <c r="A217" s="672"/>
      <c r="B217" s="456" t="s">
        <v>973</v>
      </c>
      <c r="C217" s="462"/>
      <c r="D217" s="462"/>
      <c r="E217" s="463"/>
      <c r="F217" s="464"/>
      <c r="G217" s="697" t="b">
        <v>1</v>
      </c>
      <c r="H217" s="511">
        <f>IFERROR(IF(G213=TRUE,'ODPRTI PROSTOR'!G169*'OSNOVNI PODATKI'!$F$396,0),0)</f>
        <v>0</v>
      </c>
      <c r="I217" s="465">
        <f>+H217*$I$16</f>
        <v>0</v>
      </c>
    </row>
    <row r="218" spans="1:9" s="461" customFormat="1" ht="12.75" hidden="1" outlineLevel="2" x14ac:dyDescent="0.2">
      <c r="A218" s="672"/>
      <c r="B218" s="456" t="s">
        <v>974</v>
      </c>
      <c r="C218" s="462"/>
      <c r="D218" s="462"/>
      <c r="E218" s="463"/>
      <c r="F218" s="464"/>
      <c r="G218" s="698" t="b">
        <v>1</v>
      </c>
      <c r="H218" s="512">
        <f>IFERROR(IF(G213=TRUE,'ODPRTI PROSTOR'!G169*(100%-'OSNOVNI PODATKI'!$F$396),0),0)</f>
        <v>0</v>
      </c>
      <c r="I218" s="465">
        <f t="shared" ref="I218:I221" si="41">+H218*$I$16</f>
        <v>0</v>
      </c>
    </row>
    <row r="219" spans="1:9" s="473" customFormat="1" ht="12.75" hidden="1" outlineLevel="2" x14ac:dyDescent="0.2">
      <c r="A219" s="672"/>
      <c r="B219" s="900" t="s">
        <v>975</v>
      </c>
      <c r="C219" s="901"/>
      <c r="D219" s="901"/>
      <c r="E219" s="902"/>
      <c r="F219" s="903"/>
      <c r="G219" s="904" t="b">
        <v>1</v>
      </c>
      <c r="H219" s="905">
        <f>IFERROR(IF(G213=TRUE,'TEHNIČNA OPREMA'!G162,0),0)</f>
        <v>0</v>
      </c>
      <c r="I219" s="906">
        <f t="shared" si="41"/>
        <v>0</v>
      </c>
    </row>
    <row r="220" spans="1:9" s="473" customFormat="1" ht="12.75" hidden="1" outlineLevel="2" x14ac:dyDescent="0.2">
      <c r="A220" s="672"/>
      <c r="B220" s="900" t="s">
        <v>976</v>
      </c>
      <c r="C220" s="901"/>
      <c r="D220" s="901"/>
      <c r="E220" s="902"/>
      <c r="F220" s="903"/>
      <c r="G220" s="904" t="b">
        <v>1</v>
      </c>
      <c r="H220" s="905">
        <f>IFERROR(IF(G213=TRUE,'TEHNIČNA OPREMA'!G215,0),0)</f>
        <v>0</v>
      </c>
      <c r="I220" s="906">
        <f t="shared" si="41"/>
        <v>0</v>
      </c>
    </row>
    <row r="221" spans="1:9" s="473" customFormat="1" ht="12.75" hidden="1" outlineLevel="2" x14ac:dyDescent="0.2">
      <c r="A221" s="672"/>
      <c r="B221" s="900" t="s">
        <v>365</v>
      </c>
      <c r="C221" s="901"/>
      <c r="D221" s="901"/>
      <c r="E221" s="902"/>
      <c r="F221" s="903"/>
      <c r="G221" s="904" t="b">
        <v>1</v>
      </c>
      <c r="H221" s="905">
        <f>IFERROR(IF(G213=TRUE,'TEHNIČNA OPREMA'!G265,0),0)</f>
        <v>0</v>
      </c>
      <c r="I221" s="906">
        <f t="shared" si="41"/>
        <v>0</v>
      </c>
    </row>
    <row r="222" spans="1:9" s="13" customFormat="1" x14ac:dyDescent="0.2">
      <c r="A222" s="414"/>
      <c r="B222" s="415"/>
      <c r="C222" s="415"/>
      <c r="D222" s="415"/>
      <c r="E222" s="423"/>
      <c r="F222" s="424"/>
      <c r="G222" s="424"/>
      <c r="H222" s="446"/>
      <c r="I222" s="416"/>
    </row>
    <row r="223" spans="1:9" s="13" customFormat="1" x14ac:dyDescent="0.2">
      <c r="A223" s="417"/>
      <c r="B223" s="418" t="s">
        <v>201</v>
      </c>
      <c r="C223" s="418"/>
      <c r="D223" s="418"/>
      <c r="E223" s="425"/>
      <c r="F223" s="426"/>
      <c r="G223" s="427"/>
      <c r="H223" s="447">
        <f>+H20+H50+H116+H137+H203</f>
        <v>0</v>
      </c>
      <c r="I223" s="419">
        <f>I20+I50+I116+I137+I203</f>
        <v>0</v>
      </c>
    </row>
    <row r="224" spans="1:9" s="13" customFormat="1" x14ac:dyDescent="0.2">
      <c r="A224" s="414"/>
      <c r="B224" s="415" t="s">
        <v>746</v>
      </c>
      <c r="C224" s="428"/>
      <c r="D224" s="428"/>
      <c r="E224" s="429"/>
      <c r="F224" s="430"/>
      <c r="G224" s="430"/>
      <c r="H224" s="430"/>
      <c r="I224" s="420">
        <f>IFERROR(I223/'OSNOVNI PODATKI'!$E$368,0)</f>
        <v>0</v>
      </c>
    </row>
    <row r="225" spans="1:18" s="13" customFormat="1" x14ac:dyDescent="0.2">
      <c r="A225" s="29"/>
      <c r="B225" s="126"/>
      <c r="E225" s="132"/>
      <c r="F225" s="30"/>
      <c r="G225" s="30"/>
      <c r="H225" s="30"/>
      <c r="I225" s="133"/>
    </row>
    <row r="226" spans="1:18" s="13" customFormat="1" x14ac:dyDescent="0.2">
      <c r="A226" s="29"/>
      <c r="B226" s="126"/>
      <c r="E226" s="132"/>
      <c r="F226" s="30"/>
      <c r="G226" s="30"/>
      <c r="H226" s="30"/>
      <c r="I226" s="126"/>
    </row>
    <row r="227" spans="1:18" s="13" customFormat="1" ht="15.75" x14ac:dyDescent="0.2">
      <c r="A227" s="215" t="s">
        <v>867</v>
      </c>
      <c r="B227" s="216"/>
      <c r="C227" s="216"/>
      <c r="D227" s="217"/>
      <c r="E227" s="217"/>
      <c r="F227" s="217"/>
      <c r="G227" s="218"/>
      <c r="H227" s="218"/>
      <c r="I227" s="218"/>
    </row>
    <row r="228" spans="1:18" ht="15.75" x14ac:dyDescent="0.25">
      <c r="A228" s="317" t="s">
        <v>914</v>
      </c>
      <c r="B228" s="318"/>
      <c r="C228" s="318"/>
      <c r="D228" s="27"/>
      <c r="E228" s="27"/>
      <c r="F228" s="27"/>
      <c r="G228" s="28"/>
      <c r="H228" s="28"/>
      <c r="I228" s="28"/>
    </row>
    <row r="230" spans="1:18" x14ac:dyDescent="0.25">
      <c r="A230" s="890" t="s">
        <v>1146</v>
      </c>
      <c r="B230" s="888"/>
      <c r="C230" s="889"/>
      <c r="D230" s="888"/>
      <c r="E230" s="888"/>
      <c r="F230" s="888"/>
      <c r="G230" s="888"/>
      <c r="H230" s="885"/>
    </row>
    <row r="231" spans="1:18" x14ac:dyDescent="0.25">
      <c r="A231" s="887" t="s">
        <v>1150</v>
      </c>
      <c r="B231" s="888"/>
      <c r="C231" s="889"/>
      <c r="D231" s="888"/>
      <c r="E231" s="888"/>
      <c r="F231" s="888"/>
      <c r="G231" s="888"/>
      <c r="H231" s="885"/>
    </row>
    <row r="232" spans="1:18" x14ac:dyDescent="0.25">
      <c r="A232" s="884"/>
      <c r="B232" s="885"/>
      <c r="C232" s="886"/>
      <c r="D232" s="885"/>
      <c r="E232" s="885"/>
      <c r="F232" s="885"/>
      <c r="G232" s="885"/>
      <c r="H232" s="885"/>
    </row>
    <row r="233" spans="1:18" x14ac:dyDescent="0.25">
      <c r="A233" s="884"/>
      <c r="B233" s="885"/>
      <c r="C233" s="886"/>
      <c r="D233" s="885"/>
      <c r="E233" s="885"/>
      <c r="F233" s="885"/>
      <c r="G233" s="885"/>
      <c r="H233" s="885"/>
    </row>
    <row r="234" spans="1:18" s="18" customFormat="1" ht="15.75" x14ac:dyDescent="0.25"/>
    <row r="235" spans="1:18" s="65" customFormat="1" ht="18.75" x14ac:dyDescent="0.2">
      <c r="A235" s="65" t="s">
        <v>978</v>
      </c>
    </row>
    <row r="236" spans="1:18" s="386" customFormat="1" ht="93" customHeight="1" x14ac:dyDescent="0.2">
      <c r="A236" s="479"/>
      <c r="B236" s="480"/>
      <c r="C236" s="481" t="str">
        <f>B52</f>
        <v>VODENJE IN KOORDINACIJA</v>
      </c>
      <c r="D236" s="481" t="str">
        <f>B53</f>
        <v>ARHITEKTURA</v>
      </c>
      <c r="E236" s="481" t="str">
        <f>B54</f>
        <v>NOTRANJA OPREMA</v>
      </c>
      <c r="F236" s="481" t="str">
        <f>B55</f>
        <v>ARHITEKTURA - ODPRTI PROSTOR</v>
      </c>
      <c r="G236" s="481" t="str">
        <f>B56</f>
        <v>KRAJINSKA ARHITEKTURA</v>
      </c>
      <c r="H236" s="972" t="str">
        <f>B57</f>
        <v>GRADBENE KONSTRUKCIJE</v>
      </c>
      <c r="I236" s="972" t="str">
        <f>B58</f>
        <v>ELEKTRIČNE INŠTALACIJE</v>
      </c>
      <c r="J236" s="972" t="str">
        <f>B59</f>
        <v>STROJNE INŠTALACIJE</v>
      </c>
      <c r="K236" s="972" t="str">
        <f>B60</f>
        <v>TEHNOLOGIJA</v>
      </c>
      <c r="L236" s="972" t="str">
        <f>B61</f>
        <v>POŽARNA VARNOST</v>
      </c>
      <c r="M236" s="973" t="str">
        <f>B76</f>
        <v>UČINKOVITA RABA ENERGIJE</v>
      </c>
      <c r="N236" s="974" t="str">
        <f>B77</f>
        <v>ZAŠČITA PRED HRUPOM</v>
      </c>
      <c r="O236" s="974" t="str">
        <f>B64</f>
        <v>PROSTORSKA AKUSTIKA</v>
      </c>
      <c r="P236" s="898" t="s">
        <v>503</v>
      </c>
      <c r="Q236" s="483"/>
      <c r="R236" s="483"/>
    </row>
    <row r="237" spans="1:18" s="386" customFormat="1" ht="12.75" x14ac:dyDescent="0.2">
      <c r="A237" s="433" t="s">
        <v>35</v>
      </c>
      <c r="B237" s="434" t="s">
        <v>67</v>
      </c>
      <c r="C237" s="721">
        <f>+H22</f>
        <v>0</v>
      </c>
      <c r="D237" s="721">
        <f>+H23</f>
        <v>0</v>
      </c>
      <c r="E237" s="721">
        <f>H24</f>
        <v>0</v>
      </c>
      <c r="F237" s="721">
        <f>+H25</f>
        <v>0</v>
      </c>
      <c r="G237" s="721">
        <f>+H26</f>
        <v>0</v>
      </c>
      <c r="H237" s="982">
        <f>+H27</f>
        <v>0</v>
      </c>
      <c r="I237" s="982">
        <f>+H28</f>
        <v>0</v>
      </c>
      <c r="J237" s="982">
        <f>+H29</f>
        <v>0</v>
      </c>
      <c r="K237" s="982">
        <f>+H30</f>
        <v>0</v>
      </c>
      <c r="L237" s="982">
        <f>+H31</f>
        <v>0</v>
      </c>
      <c r="M237" s="982">
        <f>+H32</f>
        <v>0</v>
      </c>
      <c r="N237" s="982">
        <f>+H33</f>
        <v>0</v>
      </c>
      <c r="O237" s="982">
        <f>+H34</f>
        <v>0</v>
      </c>
      <c r="P237" s="722">
        <f>SUM(C237:O237)</f>
        <v>0</v>
      </c>
      <c r="Q237" s="435"/>
      <c r="R237" s="435"/>
    </row>
    <row r="238" spans="1:18" s="386" customFormat="1" ht="12.75" x14ac:dyDescent="0.2">
      <c r="A238" s="433" t="s">
        <v>36</v>
      </c>
      <c r="B238" s="434" t="s">
        <v>68</v>
      </c>
      <c r="C238" s="721">
        <f>+H36</f>
        <v>0</v>
      </c>
      <c r="D238" s="721">
        <f>+H37</f>
        <v>0</v>
      </c>
      <c r="E238" s="721">
        <f>H38</f>
        <v>0</v>
      </c>
      <c r="F238" s="721">
        <f>+H39</f>
        <v>0</v>
      </c>
      <c r="G238" s="721">
        <f>+H40</f>
        <v>0</v>
      </c>
      <c r="H238" s="982">
        <f>+H41</f>
        <v>0</v>
      </c>
      <c r="I238" s="982">
        <f>+H42</f>
        <v>0</v>
      </c>
      <c r="J238" s="982">
        <f>+H43</f>
        <v>0</v>
      </c>
      <c r="K238" s="982">
        <f>+H44</f>
        <v>0</v>
      </c>
      <c r="L238" s="982">
        <f>+H45</f>
        <v>0</v>
      </c>
      <c r="M238" s="982">
        <f>+H46</f>
        <v>0</v>
      </c>
      <c r="N238" s="982">
        <f>+H47</f>
        <v>0</v>
      </c>
      <c r="O238" s="982">
        <f>+H48</f>
        <v>0</v>
      </c>
      <c r="P238" s="722">
        <f>SUM(C238:O238)</f>
        <v>0</v>
      </c>
      <c r="Q238" s="435"/>
      <c r="R238" s="435"/>
    </row>
    <row r="239" spans="1:18" s="386" customFormat="1" ht="12.75" x14ac:dyDescent="0.2">
      <c r="A239" s="433" t="s">
        <v>37</v>
      </c>
      <c r="B239" s="434" t="s">
        <v>844</v>
      </c>
      <c r="C239" s="721">
        <f>+H49</f>
        <v>0</v>
      </c>
      <c r="D239" s="723"/>
      <c r="E239" s="723"/>
      <c r="F239" s="723"/>
      <c r="G239" s="723"/>
      <c r="H239" s="983"/>
      <c r="I239" s="983"/>
      <c r="J239" s="983"/>
      <c r="K239" s="983"/>
      <c r="L239" s="983"/>
      <c r="M239" s="983"/>
      <c r="N239" s="983"/>
      <c r="O239" s="983"/>
      <c r="P239" s="722">
        <f t="shared" ref="P239:P253" si="42">SUM(C239:O239)</f>
        <v>0</v>
      </c>
      <c r="Q239" s="435"/>
      <c r="R239" s="435"/>
    </row>
    <row r="240" spans="1:18" s="220" customFormat="1" ht="12.75" x14ac:dyDescent="0.2">
      <c r="A240" s="433" t="s">
        <v>51</v>
      </c>
      <c r="B240" s="434" t="s">
        <v>95</v>
      </c>
      <c r="C240" s="721">
        <f>+H52</f>
        <v>0</v>
      </c>
      <c r="D240" s="721">
        <f>+H53</f>
        <v>0</v>
      </c>
      <c r="E240" s="721">
        <f>H54</f>
        <v>0</v>
      </c>
      <c r="F240" s="721">
        <f>+H55</f>
        <v>0</v>
      </c>
      <c r="G240" s="721">
        <f>+H56</f>
        <v>0</v>
      </c>
      <c r="H240" s="982">
        <f>+H57</f>
        <v>0</v>
      </c>
      <c r="I240" s="982">
        <f>H58</f>
        <v>0</v>
      </c>
      <c r="J240" s="982">
        <f>+H59</f>
        <v>0</v>
      </c>
      <c r="K240" s="982">
        <f>+H60</f>
        <v>0</v>
      </c>
      <c r="L240" s="982">
        <f>+H61</f>
        <v>0</v>
      </c>
      <c r="M240" s="982">
        <f>H62</f>
        <v>0</v>
      </c>
      <c r="N240" s="982">
        <f>H63</f>
        <v>0</v>
      </c>
      <c r="O240" s="982">
        <f>H64</f>
        <v>0</v>
      </c>
      <c r="P240" s="722">
        <f t="shared" si="42"/>
        <v>0</v>
      </c>
      <c r="Q240" s="435"/>
      <c r="R240" s="435"/>
    </row>
    <row r="241" spans="1:18" s="220" customFormat="1" ht="12.75" x14ac:dyDescent="0.2">
      <c r="A241" s="436" t="s">
        <v>52</v>
      </c>
      <c r="B241" s="437" t="s">
        <v>744</v>
      </c>
      <c r="C241" s="721">
        <f>+H66</f>
        <v>0</v>
      </c>
      <c r="D241" s="721">
        <f>+H67</f>
        <v>0</v>
      </c>
      <c r="E241" s="721">
        <f>H68</f>
        <v>0</v>
      </c>
      <c r="F241" s="721">
        <f>+H69</f>
        <v>0</v>
      </c>
      <c r="G241" s="721">
        <f>+H70</f>
        <v>0</v>
      </c>
      <c r="H241" s="982">
        <f>+H71</f>
        <v>0</v>
      </c>
      <c r="I241" s="982">
        <f>H72</f>
        <v>0</v>
      </c>
      <c r="J241" s="982">
        <f>+H73</f>
        <v>0</v>
      </c>
      <c r="K241" s="982">
        <f>+H74</f>
        <v>0</v>
      </c>
      <c r="L241" s="982">
        <f>H75</f>
        <v>0</v>
      </c>
      <c r="M241" s="982">
        <f>H76</f>
        <v>0</v>
      </c>
      <c r="N241" s="982">
        <f>H77</f>
        <v>0</v>
      </c>
      <c r="O241" s="982">
        <f>H78</f>
        <v>0</v>
      </c>
      <c r="P241" s="722">
        <f t="shared" si="42"/>
        <v>0</v>
      </c>
      <c r="Q241" s="435"/>
      <c r="R241" s="435"/>
    </row>
    <row r="242" spans="1:18" s="220" customFormat="1" ht="12.75" x14ac:dyDescent="0.2">
      <c r="A242" s="436" t="s">
        <v>53</v>
      </c>
      <c r="B242" s="437" t="s">
        <v>848</v>
      </c>
      <c r="C242" s="721">
        <f>+H79</f>
        <v>0</v>
      </c>
      <c r="D242" s="723"/>
      <c r="E242" s="723"/>
      <c r="F242" s="723"/>
      <c r="G242" s="723"/>
      <c r="H242" s="983"/>
      <c r="I242" s="983"/>
      <c r="J242" s="983"/>
      <c r="K242" s="983"/>
      <c r="L242" s="983"/>
      <c r="M242" s="983"/>
      <c r="N242" s="983"/>
      <c r="O242" s="983"/>
      <c r="P242" s="722">
        <f t="shared" si="42"/>
        <v>0</v>
      </c>
      <c r="Q242" s="435"/>
      <c r="R242" s="435"/>
    </row>
    <row r="243" spans="1:18" s="220" customFormat="1" ht="12.75" x14ac:dyDescent="0.2">
      <c r="A243" s="436" t="s">
        <v>96</v>
      </c>
      <c r="B243" s="437" t="s">
        <v>745</v>
      </c>
      <c r="C243" s="721">
        <f>+H84</f>
        <v>0</v>
      </c>
      <c r="D243" s="721">
        <f>+H85</f>
        <v>0</v>
      </c>
      <c r="E243" s="721">
        <f>H86</f>
        <v>0</v>
      </c>
      <c r="F243" s="721">
        <f>+H87</f>
        <v>0</v>
      </c>
      <c r="G243" s="721">
        <f>+H88</f>
        <v>0</v>
      </c>
      <c r="H243" s="982">
        <f>+H89</f>
        <v>0</v>
      </c>
      <c r="I243" s="982">
        <f>H90</f>
        <v>0</v>
      </c>
      <c r="J243" s="982">
        <f>+H91</f>
        <v>0</v>
      </c>
      <c r="K243" s="982">
        <f>+H92</f>
        <v>0</v>
      </c>
      <c r="L243" s="982">
        <f>H93</f>
        <v>0</v>
      </c>
      <c r="M243" s="982">
        <f>H94</f>
        <v>0</v>
      </c>
      <c r="N243" s="982">
        <f>H95</f>
        <v>0</v>
      </c>
      <c r="O243" s="982">
        <f>H96</f>
        <v>0</v>
      </c>
      <c r="P243" s="722">
        <f t="shared" si="42"/>
        <v>0</v>
      </c>
      <c r="Q243" s="435"/>
      <c r="R243" s="435"/>
    </row>
    <row r="244" spans="1:18" s="220" customFormat="1" ht="12.75" x14ac:dyDescent="0.2">
      <c r="A244" s="438" t="s">
        <v>97</v>
      </c>
      <c r="B244" s="439" t="s">
        <v>98</v>
      </c>
      <c r="C244" s="721">
        <f>H99+H115</f>
        <v>0</v>
      </c>
      <c r="D244" s="721">
        <f>H100+H108</f>
        <v>0</v>
      </c>
      <c r="E244" s="721">
        <f>H101+H109</f>
        <v>0</v>
      </c>
      <c r="F244" s="721">
        <f>H102+H110</f>
        <v>0</v>
      </c>
      <c r="G244" s="721">
        <f>H103+H111</f>
        <v>0</v>
      </c>
      <c r="H244" s="983"/>
      <c r="I244" s="982">
        <f>H104+H112</f>
        <v>0</v>
      </c>
      <c r="J244" s="982">
        <f>H105+H113</f>
        <v>0</v>
      </c>
      <c r="K244" s="982">
        <f>H106+H114</f>
        <v>0</v>
      </c>
      <c r="L244" s="983"/>
      <c r="M244" s="983"/>
      <c r="N244" s="983"/>
      <c r="O244" s="983"/>
      <c r="P244" s="722">
        <f t="shared" si="42"/>
        <v>0</v>
      </c>
      <c r="Q244" s="435"/>
      <c r="R244" s="435"/>
    </row>
    <row r="245" spans="1:18" s="220" customFormat="1" ht="12.75" x14ac:dyDescent="0.2">
      <c r="A245" s="726" t="s">
        <v>40</v>
      </c>
      <c r="B245" s="727" t="s">
        <v>846</v>
      </c>
      <c r="C245" s="721">
        <f>+H118+H126</f>
        <v>0</v>
      </c>
      <c r="D245" s="721">
        <f>+H119</f>
        <v>0</v>
      </c>
      <c r="E245" s="721">
        <f>H120</f>
        <v>0</v>
      </c>
      <c r="F245" s="721">
        <f>+H121</f>
        <v>0</v>
      </c>
      <c r="G245" s="721">
        <f>+H122</f>
        <v>0</v>
      </c>
      <c r="H245" s="983"/>
      <c r="I245" s="982">
        <f>+H123</f>
        <v>0</v>
      </c>
      <c r="J245" s="982">
        <f>+H124</f>
        <v>0</v>
      </c>
      <c r="K245" s="982">
        <f>+H125</f>
        <v>0</v>
      </c>
      <c r="L245" s="983"/>
      <c r="M245" s="983"/>
      <c r="N245" s="983"/>
      <c r="O245" s="983"/>
      <c r="P245" s="722">
        <f t="shared" si="42"/>
        <v>0</v>
      </c>
      <c r="Q245" s="435"/>
      <c r="R245" s="435"/>
    </row>
    <row r="246" spans="1:18" s="220" customFormat="1" ht="12.75" x14ac:dyDescent="0.2">
      <c r="A246" s="726" t="s">
        <v>41</v>
      </c>
      <c r="B246" s="727" t="s">
        <v>202</v>
      </c>
      <c r="C246" s="721">
        <f>+H128+H136</f>
        <v>0</v>
      </c>
      <c r="D246" s="721">
        <f>+H129</f>
        <v>0</v>
      </c>
      <c r="E246" s="721">
        <f>H130</f>
        <v>0</v>
      </c>
      <c r="F246" s="721">
        <f>+H131</f>
        <v>0</v>
      </c>
      <c r="G246" s="721">
        <f>+H132</f>
        <v>0</v>
      </c>
      <c r="H246" s="983"/>
      <c r="I246" s="982">
        <f>+H133</f>
        <v>0</v>
      </c>
      <c r="J246" s="982">
        <f>+H134</f>
        <v>0</v>
      </c>
      <c r="K246" s="982">
        <f>+H135</f>
        <v>0</v>
      </c>
      <c r="L246" s="983"/>
      <c r="M246" s="983"/>
      <c r="N246" s="983"/>
      <c r="O246" s="983"/>
      <c r="P246" s="722">
        <f t="shared" si="42"/>
        <v>0</v>
      </c>
      <c r="Q246" s="435"/>
      <c r="R246" s="435"/>
    </row>
    <row r="247" spans="1:18" s="220" customFormat="1" ht="12.75" x14ac:dyDescent="0.2">
      <c r="A247" s="726" t="s">
        <v>42</v>
      </c>
      <c r="B247" s="727" t="s">
        <v>203</v>
      </c>
      <c r="C247" s="721">
        <f>+H138</f>
        <v>0</v>
      </c>
      <c r="D247" s="723"/>
      <c r="E247" s="723"/>
      <c r="F247" s="723"/>
      <c r="G247" s="723"/>
      <c r="H247" s="983"/>
      <c r="I247" s="983"/>
      <c r="J247" s="983"/>
      <c r="K247" s="983"/>
      <c r="L247" s="983"/>
      <c r="M247" s="983"/>
      <c r="N247" s="983"/>
      <c r="O247" s="983"/>
      <c r="P247" s="722">
        <f t="shared" si="42"/>
        <v>0</v>
      </c>
      <c r="Q247" s="435"/>
      <c r="R247" s="435"/>
    </row>
    <row r="248" spans="1:18" s="220" customFormat="1" ht="12.75" x14ac:dyDescent="0.2">
      <c r="A248" s="726" t="s">
        <v>43</v>
      </c>
      <c r="B248" s="727" t="s">
        <v>865</v>
      </c>
      <c r="C248" s="721">
        <f>+H140+H149</f>
        <v>0</v>
      </c>
      <c r="D248" s="721">
        <f>+H141+H150</f>
        <v>0</v>
      </c>
      <c r="E248" s="721">
        <f>H142+H151</f>
        <v>0</v>
      </c>
      <c r="F248" s="721">
        <f>+H143+H152</f>
        <v>0</v>
      </c>
      <c r="G248" s="721">
        <f>+H144+H153</f>
        <v>0</v>
      </c>
      <c r="H248" s="983"/>
      <c r="I248" s="982">
        <f>+H145+H154</f>
        <v>0</v>
      </c>
      <c r="J248" s="982">
        <f>+H146+H155</f>
        <v>0</v>
      </c>
      <c r="K248" s="982">
        <f>+H147+H156</f>
        <v>0</v>
      </c>
      <c r="L248" s="983"/>
      <c r="M248" s="983"/>
      <c r="N248" s="983"/>
      <c r="O248" s="983"/>
      <c r="P248" s="722">
        <f t="shared" si="42"/>
        <v>0</v>
      </c>
      <c r="Q248" s="435"/>
      <c r="R248" s="435"/>
    </row>
    <row r="249" spans="1:18" s="220" customFormat="1" ht="12.75" x14ac:dyDescent="0.2">
      <c r="A249" s="726" t="s">
        <v>44</v>
      </c>
      <c r="B249" s="727" t="s">
        <v>204</v>
      </c>
      <c r="C249" s="721">
        <f>+H158+H166</f>
        <v>0</v>
      </c>
      <c r="D249" s="721">
        <f>+H159+H167</f>
        <v>0</v>
      </c>
      <c r="E249" s="723"/>
      <c r="F249" s="721">
        <f>+H160+H168</f>
        <v>0</v>
      </c>
      <c r="G249" s="721">
        <f>+H161+H169</f>
        <v>0</v>
      </c>
      <c r="H249" s="983"/>
      <c r="I249" s="982">
        <f>+H162+H170</f>
        <v>0</v>
      </c>
      <c r="J249" s="982">
        <f>+H163+H171</f>
        <v>0</v>
      </c>
      <c r="K249" s="982">
        <f>+H164+H172</f>
        <v>0</v>
      </c>
      <c r="L249" s="983"/>
      <c r="M249" s="983"/>
      <c r="N249" s="983"/>
      <c r="O249" s="983"/>
      <c r="P249" s="722">
        <f t="shared" si="42"/>
        <v>0</v>
      </c>
      <c r="Q249" s="435"/>
      <c r="R249" s="435"/>
    </row>
    <row r="250" spans="1:18" s="220" customFormat="1" ht="12.75" x14ac:dyDescent="0.2">
      <c r="A250" s="726" t="s">
        <v>45</v>
      </c>
      <c r="B250" s="727" t="s">
        <v>866</v>
      </c>
      <c r="C250" s="721">
        <f>+H174+H183</f>
        <v>0</v>
      </c>
      <c r="D250" s="721">
        <f>+H175+H184</f>
        <v>0</v>
      </c>
      <c r="E250" s="721">
        <f>H176+H185</f>
        <v>0</v>
      </c>
      <c r="F250" s="721">
        <f>+H177+H186</f>
        <v>0</v>
      </c>
      <c r="G250" s="721">
        <f>+H178+H187</f>
        <v>0</v>
      </c>
      <c r="H250" s="983"/>
      <c r="I250" s="982">
        <f>+H179+H188</f>
        <v>0</v>
      </c>
      <c r="J250" s="982">
        <f>+H198</f>
        <v>0</v>
      </c>
      <c r="K250" s="982">
        <f>+H181</f>
        <v>0</v>
      </c>
      <c r="L250" s="983"/>
      <c r="M250" s="983"/>
      <c r="N250" s="983"/>
      <c r="O250" s="983"/>
      <c r="P250" s="722">
        <f t="shared" si="42"/>
        <v>0</v>
      </c>
      <c r="Q250" s="435"/>
      <c r="R250" s="435"/>
    </row>
    <row r="251" spans="1:18" s="220" customFormat="1" ht="12.75" x14ac:dyDescent="0.2">
      <c r="A251" s="436" t="s">
        <v>46</v>
      </c>
      <c r="B251" s="440" t="s">
        <v>847</v>
      </c>
      <c r="C251" s="721">
        <f>+H192</f>
        <v>0</v>
      </c>
      <c r="D251" s="721">
        <f>+H193</f>
        <v>0</v>
      </c>
      <c r="E251" s="721">
        <f>+H194</f>
        <v>0</v>
      </c>
      <c r="F251" s="721">
        <f>+H195</f>
        <v>0</v>
      </c>
      <c r="G251" s="721">
        <f>H196</f>
        <v>0</v>
      </c>
      <c r="H251" s="983"/>
      <c r="I251" s="982">
        <f>+H197</f>
        <v>0</v>
      </c>
      <c r="J251" s="982">
        <f>H180+H189</f>
        <v>0</v>
      </c>
      <c r="K251" s="982">
        <f>+H181+H190</f>
        <v>0</v>
      </c>
      <c r="L251" s="982">
        <f>H200</f>
        <v>0</v>
      </c>
      <c r="M251" s="982">
        <f>H201</f>
        <v>0</v>
      </c>
      <c r="N251" s="982">
        <f>H202</f>
        <v>0</v>
      </c>
      <c r="O251" s="983"/>
      <c r="P251" s="722">
        <f t="shared" si="42"/>
        <v>0</v>
      </c>
      <c r="Q251" s="435"/>
      <c r="R251" s="435"/>
    </row>
    <row r="252" spans="1:18" s="220" customFormat="1" ht="12.75" x14ac:dyDescent="0.2">
      <c r="A252" s="436" t="s">
        <v>48</v>
      </c>
      <c r="B252" s="440" t="s">
        <v>205</v>
      </c>
      <c r="C252" s="721">
        <f>+H205</f>
        <v>0</v>
      </c>
      <c r="D252" s="721">
        <f>+H206</f>
        <v>0</v>
      </c>
      <c r="E252" s="721">
        <f>H207</f>
        <v>0</v>
      </c>
      <c r="F252" s="721">
        <f>+H208</f>
        <v>0</v>
      </c>
      <c r="G252" s="721">
        <f>+H209</f>
        <v>0</v>
      </c>
      <c r="H252" s="983"/>
      <c r="I252" s="982">
        <f>+H210</f>
        <v>0</v>
      </c>
      <c r="J252" s="982">
        <f>+H211</f>
        <v>0</v>
      </c>
      <c r="K252" s="982">
        <f>+H212</f>
        <v>0</v>
      </c>
      <c r="L252" s="983"/>
      <c r="M252" s="983"/>
      <c r="N252" s="983"/>
      <c r="O252" s="983"/>
      <c r="P252" s="722">
        <f t="shared" si="42"/>
        <v>0</v>
      </c>
      <c r="Q252" s="435"/>
      <c r="R252" s="435"/>
    </row>
    <row r="253" spans="1:18" s="220" customFormat="1" ht="12.75" x14ac:dyDescent="0.2">
      <c r="A253" s="436" t="s">
        <v>49</v>
      </c>
      <c r="B253" s="440" t="s">
        <v>206</v>
      </c>
      <c r="C253" s="721">
        <f>+H214</f>
        <v>0</v>
      </c>
      <c r="D253" s="721">
        <f>+H215</f>
        <v>0</v>
      </c>
      <c r="E253" s="721">
        <f>+H216</f>
        <v>0</v>
      </c>
      <c r="F253" s="721">
        <f>+H217</f>
        <v>0</v>
      </c>
      <c r="G253" s="721">
        <f>+H218</f>
        <v>0</v>
      </c>
      <c r="H253" s="983"/>
      <c r="I253" s="982">
        <f>+H219</f>
        <v>0</v>
      </c>
      <c r="J253" s="982">
        <f>+H220</f>
        <v>0</v>
      </c>
      <c r="K253" s="982">
        <f>+H221</f>
        <v>0</v>
      </c>
      <c r="L253" s="983"/>
      <c r="M253" s="983"/>
      <c r="N253" s="983"/>
      <c r="O253" s="983"/>
      <c r="P253" s="722">
        <f t="shared" si="42"/>
        <v>0</v>
      </c>
      <c r="Q253" s="435"/>
      <c r="R253" s="435"/>
    </row>
    <row r="254" spans="1:18" s="220" customFormat="1" ht="12.75" x14ac:dyDescent="0.2">
      <c r="A254" s="441"/>
      <c r="B254" s="897" t="s">
        <v>1147</v>
      </c>
      <c r="C254" s="724">
        <f>SUM(C237:C253)</f>
        <v>0</v>
      </c>
      <c r="D254" s="724">
        <f>SUM(D237:D253)</f>
        <v>0</v>
      </c>
      <c r="E254" s="724">
        <f>SUM(E240:E251)</f>
        <v>0</v>
      </c>
      <c r="F254" s="724">
        <f>SUM(F240:F251)</f>
        <v>0</v>
      </c>
      <c r="G254" s="724">
        <f>SUM(G240:G251)</f>
        <v>0</v>
      </c>
      <c r="H254" s="981">
        <f t="shared" ref="H254:P254" si="43">SUM(H237:H253)</f>
        <v>0</v>
      </c>
      <c r="I254" s="981">
        <f t="shared" si="43"/>
        <v>0</v>
      </c>
      <c r="J254" s="981">
        <f t="shared" si="43"/>
        <v>0</v>
      </c>
      <c r="K254" s="981">
        <f t="shared" si="43"/>
        <v>0</v>
      </c>
      <c r="L254" s="981">
        <f t="shared" si="43"/>
        <v>0</v>
      </c>
      <c r="M254" s="981">
        <f t="shared" si="43"/>
        <v>0</v>
      </c>
      <c r="N254" s="981">
        <f t="shared" si="43"/>
        <v>0</v>
      </c>
      <c r="O254" s="981">
        <f t="shared" si="43"/>
        <v>0</v>
      </c>
      <c r="P254" s="725">
        <f t="shared" si="43"/>
        <v>0</v>
      </c>
      <c r="Q254" s="435"/>
      <c r="R254" s="435"/>
    </row>
    <row r="255" spans="1:18" s="13" customFormat="1" x14ac:dyDescent="0.2">
      <c r="A255" s="29"/>
      <c r="B255" s="126"/>
      <c r="E255" s="132"/>
      <c r="F255" s="30"/>
      <c r="G255" s="30"/>
      <c r="H255" s="30"/>
      <c r="I255" s="126"/>
      <c r="J255" s="30"/>
    </row>
    <row r="257" spans="1:19" ht="18.75" x14ac:dyDescent="0.25">
      <c r="A257" s="65" t="s">
        <v>979</v>
      </c>
      <c r="B257" s="65"/>
      <c r="C257" s="65"/>
      <c r="D257" s="65"/>
      <c r="E257" s="65"/>
      <c r="F257" s="65"/>
      <c r="G257" s="65"/>
      <c r="H257" s="65"/>
      <c r="I257" s="65"/>
      <c r="J257" s="65"/>
      <c r="K257" s="65"/>
      <c r="L257" s="65"/>
      <c r="M257" s="65"/>
      <c r="N257" s="65"/>
      <c r="O257" s="65"/>
      <c r="P257" s="65"/>
    </row>
    <row r="258" spans="1:19" ht="88.5" customHeight="1" x14ac:dyDescent="0.25">
      <c r="A258" s="479"/>
      <c r="B258" s="480"/>
      <c r="C258" s="481" t="s">
        <v>971</v>
      </c>
      <c r="D258" s="481" t="s">
        <v>972</v>
      </c>
      <c r="E258" s="481" t="s">
        <v>2</v>
      </c>
      <c r="F258" s="481" t="s">
        <v>973</v>
      </c>
      <c r="G258" s="481" t="s">
        <v>974</v>
      </c>
      <c r="H258" s="972" t="s">
        <v>372</v>
      </c>
      <c r="I258" s="972" t="s">
        <v>975</v>
      </c>
      <c r="J258" s="972" t="s">
        <v>976</v>
      </c>
      <c r="K258" s="972" t="s">
        <v>365</v>
      </c>
      <c r="L258" s="972" t="s">
        <v>377</v>
      </c>
      <c r="M258" s="973" t="s">
        <v>375</v>
      </c>
      <c r="N258" s="974" t="s">
        <v>69</v>
      </c>
      <c r="O258" s="974" t="s">
        <v>376</v>
      </c>
      <c r="P258" s="482" t="s">
        <v>504</v>
      </c>
      <c r="Q258" s="731" t="s">
        <v>981</v>
      </c>
      <c r="R258" s="731" t="s">
        <v>1149</v>
      </c>
      <c r="S258" s="731" t="s">
        <v>1148</v>
      </c>
    </row>
    <row r="259" spans="1:19" x14ac:dyDescent="0.25">
      <c r="A259" s="433" t="s">
        <v>35</v>
      </c>
      <c r="B259" s="434" t="s">
        <v>67</v>
      </c>
      <c r="C259" s="729">
        <f>+I22</f>
        <v>0</v>
      </c>
      <c r="D259" s="729">
        <f>+I23</f>
        <v>0</v>
      </c>
      <c r="E259" s="729">
        <f>I24</f>
        <v>0</v>
      </c>
      <c r="F259" s="729">
        <f>+I25</f>
        <v>0</v>
      </c>
      <c r="G259" s="729">
        <f>+I26</f>
        <v>0</v>
      </c>
      <c r="H259" s="975">
        <f>+I27</f>
        <v>0</v>
      </c>
      <c r="I259" s="975">
        <f>+I28</f>
        <v>0</v>
      </c>
      <c r="J259" s="975">
        <f>+I29</f>
        <v>0</v>
      </c>
      <c r="K259" s="975">
        <f>+I30</f>
        <v>0</v>
      </c>
      <c r="L259" s="975">
        <f>+I31</f>
        <v>0</v>
      </c>
      <c r="M259" s="975">
        <f>+I32</f>
        <v>0</v>
      </c>
      <c r="N259" s="975">
        <f>+I33</f>
        <v>0</v>
      </c>
      <c r="O259" s="975">
        <f>+I34</f>
        <v>0</v>
      </c>
      <c r="P259" s="729">
        <f>SUM(C259:O259)</f>
        <v>0</v>
      </c>
      <c r="Q259" s="899" t="e">
        <f>P259/$P$276</f>
        <v>#DIV/0!</v>
      </c>
      <c r="R259" s="899" t="e">
        <f>+P259/'OSNOVNI PODATKI'!$E$329</f>
        <v>#DIV/0!</v>
      </c>
      <c r="S259" s="899" t="e">
        <f>+P259/'OSNOVNI PODATKI'!$E$368</f>
        <v>#DIV/0!</v>
      </c>
    </row>
    <row r="260" spans="1:19" x14ac:dyDescent="0.25">
      <c r="A260" s="433" t="s">
        <v>36</v>
      </c>
      <c r="B260" s="434" t="s">
        <v>68</v>
      </c>
      <c r="C260" s="729">
        <f>+I36</f>
        <v>0</v>
      </c>
      <c r="D260" s="729">
        <f>+I37</f>
        <v>0</v>
      </c>
      <c r="E260" s="729">
        <f>I38</f>
        <v>0</v>
      </c>
      <c r="F260" s="729">
        <f>+I39</f>
        <v>0</v>
      </c>
      <c r="G260" s="729">
        <f>+I40</f>
        <v>0</v>
      </c>
      <c r="H260" s="975">
        <f>+I41</f>
        <v>0</v>
      </c>
      <c r="I260" s="975">
        <f>+I42</f>
        <v>0</v>
      </c>
      <c r="J260" s="975">
        <f>+I43</f>
        <v>0</v>
      </c>
      <c r="K260" s="975">
        <f>+I44</f>
        <v>0</v>
      </c>
      <c r="L260" s="975">
        <f>+I45</f>
        <v>0</v>
      </c>
      <c r="M260" s="975">
        <f>+I46</f>
        <v>0</v>
      </c>
      <c r="N260" s="975">
        <f>+I47</f>
        <v>0</v>
      </c>
      <c r="O260" s="975">
        <f>+I48</f>
        <v>0</v>
      </c>
      <c r="P260" s="729">
        <f t="shared" ref="P260:P275" si="44">SUM(C260:O260)</f>
        <v>0</v>
      </c>
      <c r="Q260" s="899" t="e">
        <f t="shared" ref="Q260:Q275" si="45">P260/$P$276</f>
        <v>#DIV/0!</v>
      </c>
      <c r="R260" s="899" t="e">
        <f>+P260/'OSNOVNI PODATKI'!$E$329</f>
        <v>#DIV/0!</v>
      </c>
      <c r="S260" s="899" t="e">
        <f>+P260/'OSNOVNI PODATKI'!$E$368</f>
        <v>#DIV/0!</v>
      </c>
    </row>
    <row r="261" spans="1:19" x14ac:dyDescent="0.25">
      <c r="A261" s="433" t="s">
        <v>37</v>
      </c>
      <c r="B261" s="434" t="s">
        <v>844</v>
      </c>
      <c r="C261" s="729">
        <f>+I49</f>
        <v>0</v>
      </c>
      <c r="D261" s="979"/>
      <c r="E261" s="979"/>
      <c r="F261" s="979"/>
      <c r="G261" s="979"/>
      <c r="H261" s="976"/>
      <c r="I261" s="976"/>
      <c r="J261" s="976"/>
      <c r="K261" s="976"/>
      <c r="L261" s="976"/>
      <c r="M261" s="976"/>
      <c r="N261" s="976"/>
      <c r="O261" s="976"/>
      <c r="P261" s="729">
        <f t="shared" si="44"/>
        <v>0</v>
      </c>
      <c r="Q261" s="899" t="e">
        <f t="shared" si="45"/>
        <v>#DIV/0!</v>
      </c>
      <c r="R261" s="899" t="e">
        <f>+P261/'OSNOVNI PODATKI'!$E$329</f>
        <v>#DIV/0!</v>
      </c>
      <c r="S261" s="899" t="e">
        <f>+P261/'OSNOVNI PODATKI'!$E$368</f>
        <v>#DIV/0!</v>
      </c>
    </row>
    <row r="262" spans="1:19" x14ac:dyDescent="0.25">
      <c r="A262" s="433" t="s">
        <v>51</v>
      </c>
      <c r="B262" s="434" t="s">
        <v>95</v>
      </c>
      <c r="C262" s="729">
        <f>+I52</f>
        <v>0</v>
      </c>
      <c r="D262" s="729">
        <f>+I53</f>
        <v>0</v>
      </c>
      <c r="E262" s="729">
        <f>I54</f>
        <v>0</v>
      </c>
      <c r="F262" s="729">
        <f>+I55</f>
        <v>0</v>
      </c>
      <c r="G262" s="729">
        <f>+I56</f>
        <v>0</v>
      </c>
      <c r="H262" s="975">
        <f>+I57</f>
        <v>0</v>
      </c>
      <c r="I262" s="975">
        <f>I58</f>
        <v>0</v>
      </c>
      <c r="J262" s="975">
        <f>+I59</f>
        <v>0</v>
      </c>
      <c r="K262" s="975">
        <f>+I60</f>
        <v>0</v>
      </c>
      <c r="L262" s="975">
        <f>+I61</f>
        <v>0</v>
      </c>
      <c r="M262" s="975">
        <f>I62</f>
        <v>0</v>
      </c>
      <c r="N262" s="975">
        <f>I63</f>
        <v>0</v>
      </c>
      <c r="O262" s="975">
        <f>I64</f>
        <v>0</v>
      </c>
      <c r="P262" s="729">
        <f t="shared" si="44"/>
        <v>0</v>
      </c>
      <c r="Q262" s="899" t="e">
        <f t="shared" si="45"/>
        <v>#DIV/0!</v>
      </c>
      <c r="R262" s="899" t="e">
        <f>+P262/'OSNOVNI PODATKI'!$E$329</f>
        <v>#DIV/0!</v>
      </c>
      <c r="S262" s="899" t="e">
        <f>+P262/'OSNOVNI PODATKI'!$E$368</f>
        <v>#DIV/0!</v>
      </c>
    </row>
    <row r="263" spans="1:19" x14ac:dyDescent="0.25">
      <c r="A263" s="436" t="s">
        <v>52</v>
      </c>
      <c r="B263" s="437" t="s">
        <v>744</v>
      </c>
      <c r="C263" s="729">
        <f>+I66</f>
        <v>0</v>
      </c>
      <c r="D263" s="729">
        <f>+I67</f>
        <v>0</v>
      </c>
      <c r="E263" s="729">
        <f>I68</f>
        <v>0</v>
      </c>
      <c r="F263" s="729">
        <f>+I69</f>
        <v>0</v>
      </c>
      <c r="G263" s="729">
        <f>+I70</f>
        <v>0</v>
      </c>
      <c r="H263" s="975">
        <f>+I71</f>
        <v>0</v>
      </c>
      <c r="I263" s="975">
        <f>I72</f>
        <v>0</v>
      </c>
      <c r="J263" s="975">
        <f>+I73</f>
        <v>0</v>
      </c>
      <c r="K263" s="975">
        <f>+I74</f>
        <v>0</v>
      </c>
      <c r="L263" s="975">
        <f>I75</f>
        <v>0</v>
      </c>
      <c r="M263" s="975">
        <f>I76</f>
        <v>0</v>
      </c>
      <c r="N263" s="975">
        <f>I77</f>
        <v>0</v>
      </c>
      <c r="O263" s="975">
        <f>I78</f>
        <v>0</v>
      </c>
      <c r="P263" s="729">
        <f t="shared" si="44"/>
        <v>0</v>
      </c>
      <c r="Q263" s="899" t="e">
        <f t="shared" si="45"/>
        <v>#DIV/0!</v>
      </c>
      <c r="R263" s="899" t="e">
        <f>+P263/'OSNOVNI PODATKI'!$E$329</f>
        <v>#DIV/0!</v>
      </c>
      <c r="S263" s="899" t="e">
        <f>+P263/'OSNOVNI PODATKI'!$E$368</f>
        <v>#DIV/0!</v>
      </c>
    </row>
    <row r="264" spans="1:19" x14ac:dyDescent="0.25">
      <c r="A264" s="436" t="s">
        <v>53</v>
      </c>
      <c r="B264" s="437" t="s">
        <v>848</v>
      </c>
      <c r="C264" s="729">
        <f>+I79</f>
        <v>0</v>
      </c>
      <c r="D264" s="979"/>
      <c r="E264" s="979"/>
      <c r="F264" s="979"/>
      <c r="G264" s="979"/>
      <c r="H264" s="976"/>
      <c r="I264" s="976"/>
      <c r="J264" s="976"/>
      <c r="K264" s="976"/>
      <c r="L264" s="976"/>
      <c r="M264" s="976"/>
      <c r="N264" s="976"/>
      <c r="O264" s="976"/>
      <c r="P264" s="729">
        <f t="shared" si="44"/>
        <v>0</v>
      </c>
      <c r="Q264" s="899" t="e">
        <f t="shared" si="45"/>
        <v>#DIV/0!</v>
      </c>
      <c r="R264" s="899" t="e">
        <f>+P264/'OSNOVNI PODATKI'!$E$329</f>
        <v>#DIV/0!</v>
      </c>
      <c r="S264" s="899" t="e">
        <f>+P264/'OSNOVNI PODATKI'!$E$368</f>
        <v>#DIV/0!</v>
      </c>
    </row>
    <row r="265" spans="1:19" x14ac:dyDescent="0.25">
      <c r="A265" s="436" t="s">
        <v>96</v>
      </c>
      <c r="B265" s="437" t="s">
        <v>745</v>
      </c>
      <c r="C265" s="729">
        <f>+I84</f>
        <v>0</v>
      </c>
      <c r="D265" s="729">
        <f>+I85</f>
        <v>0</v>
      </c>
      <c r="E265" s="729">
        <f>I86</f>
        <v>0</v>
      </c>
      <c r="F265" s="729">
        <f>+I87</f>
        <v>0</v>
      </c>
      <c r="G265" s="729">
        <f>+I88</f>
        <v>0</v>
      </c>
      <c r="H265" s="975">
        <f>+I89</f>
        <v>0</v>
      </c>
      <c r="I265" s="975">
        <f>I90</f>
        <v>0</v>
      </c>
      <c r="J265" s="975">
        <f>+I91</f>
        <v>0</v>
      </c>
      <c r="K265" s="975">
        <f>+I92</f>
        <v>0</v>
      </c>
      <c r="L265" s="975">
        <f>I93</f>
        <v>0</v>
      </c>
      <c r="M265" s="975">
        <f>I94</f>
        <v>0</v>
      </c>
      <c r="N265" s="975">
        <f>I95</f>
        <v>0</v>
      </c>
      <c r="O265" s="975">
        <f>I96</f>
        <v>0</v>
      </c>
      <c r="P265" s="729">
        <f t="shared" si="44"/>
        <v>0</v>
      </c>
      <c r="Q265" s="899" t="e">
        <f t="shared" si="45"/>
        <v>#DIV/0!</v>
      </c>
      <c r="R265" s="899" t="e">
        <f>+P265/'OSNOVNI PODATKI'!$E$329</f>
        <v>#DIV/0!</v>
      </c>
      <c r="S265" s="899" t="e">
        <f>+P265/'OSNOVNI PODATKI'!$E$368</f>
        <v>#DIV/0!</v>
      </c>
    </row>
    <row r="266" spans="1:19" x14ac:dyDescent="0.25">
      <c r="A266" s="438" t="s">
        <v>97</v>
      </c>
      <c r="B266" s="439" t="s">
        <v>98</v>
      </c>
      <c r="C266" s="729">
        <f>+I99+I115</f>
        <v>0</v>
      </c>
      <c r="D266" s="729">
        <f>+I100+I108</f>
        <v>0</v>
      </c>
      <c r="E266" s="729">
        <f>+I101+I109</f>
        <v>0</v>
      </c>
      <c r="F266" s="729">
        <f>+I102+I110</f>
        <v>0</v>
      </c>
      <c r="G266" s="729">
        <f>+I103+I111</f>
        <v>0</v>
      </c>
      <c r="H266" s="975"/>
      <c r="I266" s="975">
        <f>+I104+I112</f>
        <v>0</v>
      </c>
      <c r="J266" s="975">
        <f>+I105+I113</f>
        <v>0</v>
      </c>
      <c r="K266" s="975">
        <f>+I106+I114</f>
        <v>0</v>
      </c>
      <c r="L266" s="976"/>
      <c r="M266" s="976"/>
      <c r="N266" s="976"/>
      <c r="O266" s="976"/>
      <c r="P266" s="729">
        <f t="shared" si="44"/>
        <v>0</v>
      </c>
      <c r="Q266" s="899" t="e">
        <f t="shared" si="45"/>
        <v>#DIV/0!</v>
      </c>
      <c r="R266" s="899" t="e">
        <f>+P266/'OSNOVNI PODATKI'!$E$329</f>
        <v>#DIV/0!</v>
      </c>
      <c r="S266" s="899" t="e">
        <f>+P266/'OSNOVNI PODATKI'!$E$368</f>
        <v>#DIV/0!</v>
      </c>
    </row>
    <row r="267" spans="1:19" x14ac:dyDescent="0.25">
      <c r="A267" s="726" t="s">
        <v>40</v>
      </c>
      <c r="B267" s="727" t="s">
        <v>846</v>
      </c>
      <c r="C267" s="729">
        <f>+I118+I126</f>
        <v>0</v>
      </c>
      <c r="D267" s="729">
        <f>+I119</f>
        <v>0</v>
      </c>
      <c r="E267" s="729">
        <f>+I120</f>
        <v>0</v>
      </c>
      <c r="F267" s="729">
        <f>+I121</f>
        <v>0</v>
      </c>
      <c r="G267" s="729">
        <f>+I122</f>
        <v>0</v>
      </c>
      <c r="H267" s="976"/>
      <c r="I267" s="975">
        <f>+I123</f>
        <v>0</v>
      </c>
      <c r="J267" s="975">
        <f>+I124</f>
        <v>0</v>
      </c>
      <c r="K267" s="975">
        <f>+I125</f>
        <v>0</v>
      </c>
      <c r="L267" s="976"/>
      <c r="M267" s="976"/>
      <c r="N267" s="976"/>
      <c r="O267" s="976"/>
      <c r="P267" s="729">
        <f t="shared" si="44"/>
        <v>0</v>
      </c>
      <c r="Q267" s="899" t="e">
        <f t="shared" si="45"/>
        <v>#DIV/0!</v>
      </c>
      <c r="R267" s="899" t="e">
        <f>+P267/'OSNOVNI PODATKI'!$E$329</f>
        <v>#DIV/0!</v>
      </c>
      <c r="S267" s="899" t="e">
        <f>+P267/'OSNOVNI PODATKI'!$E$368</f>
        <v>#DIV/0!</v>
      </c>
    </row>
    <row r="268" spans="1:19" x14ac:dyDescent="0.25">
      <c r="A268" s="726" t="s">
        <v>41</v>
      </c>
      <c r="B268" s="727" t="s">
        <v>202</v>
      </c>
      <c r="C268" s="729">
        <f>+I128+I136</f>
        <v>0</v>
      </c>
      <c r="D268" s="729">
        <f>+I129</f>
        <v>0</v>
      </c>
      <c r="E268" s="729">
        <f>+I130</f>
        <v>0</v>
      </c>
      <c r="F268" s="729">
        <f>+I131</f>
        <v>0</v>
      </c>
      <c r="G268" s="729">
        <f>+I132</f>
        <v>0</v>
      </c>
      <c r="H268" s="976"/>
      <c r="I268" s="975">
        <f>+I133</f>
        <v>0</v>
      </c>
      <c r="J268" s="975">
        <f>+I134</f>
        <v>0</v>
      </c>
      <c r="K268" s="975">
        <f>+I135</f>
        <v>0</v>
      </c>
      <c r="L268" s="976"/>
      <c r="M268" s="976"/>
      <c r="N268" s="976"/>
      <c r="O268" s="976"/>
      <c r="P268" s="729">
        <f t="shared" si="44"/>
        <v>0</v>
      </c>
      <c r="Q268" s="899" t="e">
        <f t="shared" si="45"/>
        <v>#DIV/0!</v>
      </c>
      <c r="R268" s="899" t="e">
        <f>+P268/'OSNOVNI PODATKI'!$E$329</f>
        <v>#DIV/0!</v>
      </c>
      <c r="S268" s="899" t="e">
        <f>+P268/'OSNOVNI PODATKI'!$E$368</f>
        <v>#DIV/0!</v>
      </c>
    </row>
    <row r="269" spans="1:19" x14ac:dyDescent="0.25">
      <c r="A269" s="726" t="s">
        <v>42</v>
      </c>
      <c r="B269" s="727" t="s">
        <v>203</v>
      </c>
      <c r="C269" s="729">
        <f>+I138</f>
        <v>0</v>
      </c>
      <c r="D269" s="979"/>
      <c r="E269" s="979"/>
      <c r="F269" s="979"/>
      <c r="G269" s="979"/>
      <c r="H269" s="976"/>
      <c r="I269" s="976"/>
      <c r="J269" s="976"/>
      <c r="K269" s="976"/>
      <c r="L269" s="976"/>
      <c r="M269" s="976"/>
      <c r="N269" s="976"/>
      <c r="O269" s="976"/>
      <c r="P269" s="729">
        <f t="shared" si="44"/>
        <v>0</v>
      </c>
      <c r="Q269" s="899" t="e">
        <f t="shared" si="45"/>
        <v>#DIV/0!</v>
      </c>
      <c r="R269" s="899" t="e">
        <f>+P269/'OSNOVNI PODATKI'!$E$329</f>
        <v>#DIV/0!</v>
      </c>
      <c r="S269" s="899" t="e">
        <f>+P269/'OSNOVNI PODATKI'!$E$368</f>
        <v>#DIV/0!</v>
      </c>
    </row>
    <row r="270" spans="1:19" x14ac:dyDescent="0.25">
      <c r="A270" s="726" t="s">
        <v>43</v>
      </c>
      <c r="B270" s="727" t="s">
        <v>865</v>
      </c>
      <c r="C270" s="729">
        <f>+I140+I149</f>
        <v>0</v>
      </c>
      <c r="D270" s="729">
        <f>+I141+I150</f>
        <v>0</v>
      </c>
      <c r="E270" s="729">
        <f>+I142+I151</f>
        <v>0</v>
      </c>
      <c r="F270" s="729">
        <f>+I143+I152</f>
        <v>0</v>
      </c>
      <c r="G270" s="729">
        <f>+I144+I153</f>
        <v>0</v>
      </c>
      <c r="H270" s="976"/>
      <c r="I270" s="975">
        <f>+I145+I154</f>
        <v>0</v>
      </c>
      <c r="J270" s="975">
        <f>+I146+I155</f>
        <v>0</v>
      </c>
      <c r="K270" s="975">
        <f>+I147+I156</f>
        <v>0</v>
      </c>
      <c r="L270" s="976"/>
      <c r="M270" s="976"/>
      <c r="N270" s="976"/>
      <c r="O270" s="976"/>
      <c r="P270" s="729">
        <f t="shared" si="44"/>
        <v>0</v>
      </c>
      <c r="Q270" s="899" t="e">
        <f t="shared" si="45"/>
        <v>#DIV/0!</v>
      </c>
      <c r="R270" s="899" t="e">
        <f>+P270/'OSNOVNI PODATKI'!$E$329</f>
        <v>#DIV/0!</v>
      </c>
      <c r="S270" s="899" t="e">
        <f>+P270/'OSNOVNI PODATKI'!$E$368</f>
        <v>#DIV/0!</v>
      </c>
    </row>
    <row r="271" spans="1:19" x14ac:dyDescent="0.25">
      <c r="A271" s="726" t="s">
        <v>44</v>
      </c>
      <c r="B271" s="727" t="s">
        <v>204</v>
      </c>
      <c r="C271" s="729">
        <f>+I158+I166</f>
        <v>0</v>
      </c>
      <c r="D271" s="729">
        <f>+I159+I167</f>
        <v>0</v>
      </c>
      <c r="E271" s="979"/>
      <c r="F271" s="729">
        <f>+I160+I168</f>
        <v>0</v>
      </c>
      <c r="G271" s="729">
        <f>+I161+I169</f>
        <v>0</v>
      </c>
      <c r="H271" s="976"/>
      <c r="I271" s="975">
        <f>+I162+I170</f>
        <v>0</v>
      </c>
      <c r="J271" s="975">
        <f>+I163+I171</f>
        <v>0</v>
      </c>
      <c r="K271" s="975">
        <f>+I164+I172</f>
        <v>0</v>
      </c>
      <c r="L271" s="976"/>
      <c r="M271" s="976"/>
      <c r="N271" s="976"/>
      <c r="O271" s="976"/>
      <c r="P271" s="729">
        <f t="shared" si="44"/>
        <v>0</v>
      </c>
      <c r="Q271" s="899" t="e">
        <f t="shared" si="45"/>
        <v>#DIV/0!</v>
      </c>
      <c r="R271" s="899" t="e">
        <f>+P271/'OSNOVNI PODATKI'!$E$329</f>
        <v>#DIV/0!</v>
      </c>
      <c r="S271" s="899" t="e">
        <f>+P271/'OSNOVNI PODATKI'!$E$368</f>
        <v>#DIV/0!</v>
      </c>
    </row>
    <row r="272" spans="1:19" x14ac:dyDescent="0.25">
      <c r="A272" s="726" t="s">
        <v>45</v>
      </c>
      <c r="B272" s="727" t="s">
        <v>866</v>
      </c>
      <c r="C272" s="729">
        <f>+I174+I183</f>
        <v>0</v>
      </c>
      <c r="D272" s="729">
        <f>+I175+I184</f>
        <v>0</v>
      </c>
      <c r="E272" s="729">
        <f>+I176+I185</f>
        <v>0</v>
      </c>
      <c r="F272" s="729">
        <f>+I177+I186</f>
        <v>0</v>
      </c>
      <c r="G272" s="729">
        <f>+I178+I187</f>
        <v>0</v>
      </c>
      <c r="H272" s="976"/>
      <c r="I272" s="975">
        <f>+I179+I188</f>
        <v>0</v>
      </c>
      <c r="J272" s="975">
        <f>+I180+I189</f>
        <v>0</v>
      </c>
      <c r="K272" s="975">
        <f>+I181+I190</f>
        <v>0</v>
      </c>
      <c r="L272" s="976"/>
      <c r="M272" s="976"/>
      <c r="N272" s="976"/>
      <c r="O272" s="976"/>
      <c r="P272" s="729">
        <f t="shared" si="44"/>
        <v>0</v>
      </c>
      <c r="Q272" s="899" t="e">
        <f t="shared" si="45"/>
        <v>#DIV/0!</v>
      </c>
      <c r="R272" s="899" t="e">
        <f>+P272/'OSNOVNI PODATKI'!$E$329</f>
        <v>#DIV/0!</v>
      </c>
      <c r="S272" s="899" t="e">
        <f>+P272/'OSNOVNI PODATKI'!$E$368</f>
        <v>#DIV/0!</v>
      </c>
    </row>
    <row r="273" spans="1:19" x14ac:dyDescent="0.25">
      <c r="A273" s="436" t="s">
        <v>46</v>
      </c>
      <c r="B273" s="440" t="s">
        <v>847</v>
      </c>
      <c r="C273" s="729">
        <f>+I192</f>
        <v>0</v>
      </c>
      <c r="D273" s="729">
        <f>+I193</f>
        <v>0</v>
      </c>
      <c r="E273" s="729">
        <f>+I194</f>
        <v>0</v>
      </c>
      <c r="F273" s="729">
        <f>+I195</f>
        <v>0</v>
      </c>
      <c r="G273" s="729">
        <f>+I196</f>
        <v>0</v>
      </c>
      <c r="H273" s="976"/>
      <c r="I273" s="975">
        <f>+I197</f>
        <v>0</v>
      </c>
      <c r="J273" s="975">
        <f>+I198</f>
        <v>0</v>
      </c>
      <c r="K273" s="975">
        <f>+I199</f>
        <v>0</v>
      </c>
      <c r="L273" s="975">
        <f>+I200</f>
        <v>0</v>
      </c>
      <c r="M273" s="975">
        <f>+I201</f>
        <v>0</v>
      </c>
      <c r="N273" s="975">
        <f>+I202</f>
        <v>0</v>
      </c>
      <c r="O273" s="976"/>
      <c r="P273" s="729">
        <f t="shared" si="44"/>
        <v>0</v>
      </c>
      <c r="Q273" s="899" t="e">
        <f t="shared" si="45"/>
        <v>#DIV/0!</v>
      </c>
      <c r="R273" s="899" t="e">
        <f>+P273/'OSNOVNI PODATKI'!$E$329</f>
        <v>#DIV/0!</v>
      </c>
      <c r="S273" s="899" t="e">
        <f>+P273/'OSNOVNI PODATKI'!$E$368</f>
        <v>#DIV/0!</v>
      </c>
    </row>
    <row r="274" spans="1:19" x14ac:dyDescent="0.25">
      <c r="A274" s="436" t="s">
        <v>48</v>
      </c>
      <c r="B274" s="440" t="s">
        <v>205</v>
      </c>
      <c r="C274" s="729">
        <f>+I205</f>
        <v>0</v>
      </c>
      <c r="D274" s="729">
        <f>+I206</f>
        <v>0</v>
      </c>
      <c r="E274" s="729">
        <f>+I207</f>
        <v>0</v>
      </c>
      <c r="F274" s="729">
        <f>+I208</f>
        <v>0</v>
      </c>
      <c r="G274" s="729">
        <f>+I209</f>
        <v>0</v>
      </c>
      <c r="H274" s="976"/>
      <c r="I274" s="975">
        <f>+I210</f>
        <v>0</v>
      </c>
      <c r="J274" s="975">
        <f>+I211</f>
        <v>0</v>
      </c>
      <c r="K274" s="975">
        <f>+I212</f>
        <v>0</v>
      </c>
      <c r="L274" s="976"/>
      <c r="M274" s="976"/>
      <c r="N274" s="976"/>
      <c r="O274" s="976"/>
      <c r="P274" s="729">
        <f t="shared" si="44"/>
        <v>0</v>
      </c>
      <c r="Q274" s="899" t="e">
        <f t="shared" si="45"/>
        <v>#DIV/0!</v>
      </c>
      <c r="R274" s="899" t="e">
        <f>+P274/'OSNOVNI PODATKI'!$E$329</f>
        <v>#DIV/0!</v>
      </c>
      <c r="S274" s="899" t="e">
        <f>+P274/'OSNOVNI PODATKI'!$E$368</f>
        <v>#DIV/0!</v>
      </c>
    </row>
    <row r="275" spans="1:19" x14ac:dyDescent="0.25">
      <c r="A275" s="438" t="s">
        <v>49</v>
      </c>
      <c r="B275" s="440" t="s">
        <v>206</v>
      </c>
      <c r="C275" s="729">
        <f>+I214</f>
        <v>0</v>
      </c>
      <c r="D275" s="729">
        <f>+I215</f>
        <v>0</v>
      </c>
      <c r="E275" s="729">
        <f>+I216</f>
        <v>0</v>
      </c>
      <c r="F275" s="729">
        <f>+I217</f>
        <v>0</v>
      </c>
      <c r="G275" s="729">
        <f>+I218</f>
        <v>0</v>
      </c>
      <c r="H275" s="976"/>
      <c r="I275" s="975">
        <f>+I219</f>
        <v>0</v>
      </c>
      <c r="J275" s="975">
        <f>+I220</f>
        <v>0</v>
      </c>
      <c r="K275" s="975">
        <f>+I221</f>
        <v>0</v>
      </c>
      <c r="L275" s="976"/>
      <c r="M275" s="976"/>
      <c r="N275" s="976"/>
      <c r="O275" s="976"/>
      <c r="P275" s="729">
        <f t="shared" si="44"/>
        <v>0</v>
      </c>
      <c r="Q275" s="899" t="e">
        <f t="shared" si="45"/>
        <v>#DIV/0!</v>
      </c>
      <c r="R275" s="899" t="e">
        <f>+P275/'OSNOVNI PODATKI'!$E$329</f>
        <v>#DIV/0!</v>
      </c>
      <c r="S275" s="899" t="e">
        <f>+P275/'OSNOVNI PODATKI'!$E$368</f>
        <v>#DIV/0!</v>
      </c>
    </row>
    <row r="276" spans="1:19" s="220" customFormat="1" ht="12.75" x14ac:dyDescent="0.2">
      <c r="A276" s="441"/>
      <c r="B276" s="896" t="s">
        <v>980</v>
      </c>
      <c r="C276" s="894">
        <f>SUM(C259:C275)</f>
        <v>0</v>
      </c>
      <c r="D276" s="894">
        <f>SUM(D259:D275)</f>
        <v>0</v>
      </c>
      <c r="E276" s="894">
        <f t="shared" ref="E276:G276" si="46">SUM(E259:E275)</f>
        <v>0</v>
      </c>
      <c r="F276" s="894">
        <f t="shared" si="46"/>
        <v>0</v>
      </c>
      <c r="G276" s="894">
        <f t="shared" si="46"/>
        <v>0</v>
      </c>
      <c r="H276" s="980">
        <f t="shared" ref="H276:P276" si="47">SUM(H259:H275)</f>
        <v>0</v>
      </c>
      <c r="I276" s="980">
        <f t="shared" si="47"/>
        <v>0</v>
      </c>
      <c r="J276" s="980">
        <f t="shared" si="47"/>
        <v>0</v>
      </c>
      <c r="K276" s="980">
        <f t="shared" si="47"/>
        <v>0</v>
      </c>
      <c r="L276" s="980">
        <f t="shared" si="47"/>
        <v>0</v>
      </c>
      <c r="M276" s="980">
        <f t="shared" si="47"/>
        <v>0</v>
      </c>
      <c r="N276" s="980">
        <f t="shared" si="47"/>
        <v>0</v>
      </c>
      <c r="O276" s="980">
        <f t="shared" si="47"/>
        <v>0</v>
      </c>
      <c r="P276" s="895">
        <f t="shared" si="47"/>
        <v>0</v>
      </c>
      <c r="Q276" s="435" t="e">
        <f>SUM(Q259:Q275)</f>
        <v>#DIV/0!</v>
      </c>
      <c r="R276" s="435" t="e">
        <f>SUM(R259:R275)</f>
        <v>#DIV/0!</v>
      </c>
      <c r="S276" s="435" t="e">
        <f>SUM(S259:S275)</f>
        <v>#DIV/0!</v>
      </c>
    </row>
    <row r="277" spans="1:19" s="18" customFormat="1" ht="15.75" x14ac:dyDescent="0.25">
      <c r="A277" s="410"/>
      <c r="B277" s="730" t="s">
        <v>981</v>
      </c>
      <c r="C277" s="443" t="e">
        <f>C276/$P$276</f>
        <v>#DIV/0!</v>
      </c>
      <c r="D277" s="443" t="e">
        <f t="shared" ref="D277:P277" si="48">D276/$P$276</f>
        <v>#DIV/0!</v>
      </c>
      <c r="E277" s="443" t="e">
        <f t="shared" si="48"/>
        <v>#DIV/0!</v>
      </c>
      <c r="F277" s="443" t="e">
        <f t="shared" si="48"/>
        <v>#DIV/0!</v>
      </c>
      <c r="G277" s="443" t="e">
        <f t="shared" si="48"/>
        <v>#DIV/0!</v>
      </c>
      <c r="H277" s="977" t="e">
        <f t="shared" si="48"/>
        <v>#DIV/0!</v>
      </c>
      <c r="I277" s="977" t="e">
        <f t="shared" si="48"/>
        <v>#DIV/0!</v>
      </c>
      <c r="J277" s="977" t="e">
        <f t="shared" si="48"/>
        <v>#DIV/0!</v>
      </c>
      <c r="K277" s="977" t="e">
        <f t="shared" si="48"/>
        <v>#DIV/0!</v>
      </c>
      <c r="L277" s="977" t="e">
        <f t="shared" si="48"/>
        <v>#DIV/0!</v>
      </c>
      <c r="M277" s="977" t="e">
        <f t="shared" si="48"/>
        <v>#DIV/0!</v>
      </c>
      <c r="N277" s="977" t="e">
        <f t="shared" si="48"/>
        <v>#DIV/0!</v>
      </c>
      <c r="O277" s="977" t="e">
        <f t="shared" si="48"/>
        <v>#DIV/0!</v>
      </c>
      <c r="P277" s="443" t="e">
        <f t="shared" si="48"/>
        <v>#DIV/0!</v>
      </c>
      <c r="Q277" s="445"/>
      <c r="R277" s="442"/>
    </row>
    <row r="278" spans="1:19" x14ac:dyDescent="0.25">
      <c r="A278" s="669"/>
      <c r="B278" s="732" t="s">
        <v>1149</v>
      </c>
      <c r="C278" s="899" t="e">
        <f>+C276/'OSNOVNI PODATKI'!$E$329</f>
        <v>#DIV/0!</v>
      </c>
      <c r="D278" s="899" t="e">
        <f>+D276/'OSNOVNI PODATKI'!$E$329</f>
        <v>#DIV/0!</v>
      </c>
      <c r="E278" s="899"/>
      <c r="F278" s="899"/>
      <c r="G278" s="899"/>
      <c r="H278" s="978" t="e">
        <f>+H276/'OSNOVNI PODATKI'!$E$329</f>
        <v>#DIV/0!</v>
      </c>
      <c r="I278" s="978" t="e">
        <f>+I276/'OSNOVNI PODATKI'!$E$329</f>
        <v>#DIV/0!</v>
      </c>
      <c r="J278" s="978" t="e">
        <f>+J276/'OSNOVNI PODATKI'!$E$329</f>
        <v>#DIV/0!</v>
      </c>
      <c r="K278" s="978" t="e">
        <f>+K276/'OSNOVNI PODATKI'!$E$329</f>
        <v>#DIV/0!</v>
      </c>
      <c r="L278" s="978" t="e">
        <f>+L276/'OSNOVNI PODATKI'!$E$329</f>
        <v>#DIV/0!</v>
      </c>
      <c r="M278" s="978" t="e">
        <f>+M276/'OSNOVNI PODATKI'!$E$329</f>
        <v>#DIV/0!</v>
      </c>
      <c r="N278" s="978" t="e">
        <f>+N276/'OSNOVNI PODATKI'!$E$329</f>
        <v>#DIV/0!</v>
      </c>
      <c r="O278" s="978" t="e">
        <f>+O276/'OSNOVNI PODATKI'!$E$329</f>
        <v>#DIV/0!</v>
      </c>
      <c r="P278" s="444" t="e">
        <f>SUM(C278:O278)</f>
        <v>#DIV/0!</v>
      </c>
    </row>
    <row r="279" spans="1:19" x14ac:dyDescent="0.25">
      <c r="A279" s="669"/>
      <c r="B279" s="732" t="s">
        <v>1148</v>
      </c>
      <c r="C279" s="899" t="e">
        <f>+C276/'OSNOVNI PODATKI'!$E$368</f>
        <v>#DIV/0!</v>
      </c>
      <c r="D279" s="899" t="e">
        <f>+D276/'OSNOVNI PODATKI'!$E$368</f>
        <v>#DIV/0!</v>
      </c>
      <c r="E279" s="899" t="e">
        <f>+E276/'OSNOVNI PODATKI'!$E$368</f>
        <v>#DIV/0!</v>
      </c>
      <c r="F279" s="899" t="e">
        <f>+F276/'OSNOVNI PODATKI'!$E$368</f>
        <v>#DIV/0!</v>
      </c>
      <c r="G279" s="899" t="e">
        <f>+G276/'OSNOVNI PODATKI'!$E$368</f>
        <v>#DIV/0!</v>
      </c>
      <c r="H279" s="978" t="e">
        <f>+H276/'OSNOVNI PODATKI'!$E$368</f>
        <v>#DIV/0!</v>
      </c>
      <c r="I279" s="978" t="e">
        <f>+I276/'OSNOVNI PODATKI'!$E$368</f>
        <v>#DIV/0!</v>
      </c>
      <c r="J279" s="978" t="e">
        <f>+J276/'OSNOVNI PODATKI'!$E$368</f>
        <v>#DIV/0!</v>
      </c>
      <c r="K279" s="978" t="e">
        <f>+K276/'OSNOVNI PODATKI'!$E$368</f>
        <v>#DIV/0!</v>
      </c>
      <c r="L279" s="978" t="e">
        <f>+L276/'OSNOVNI PODATKI'!$E$368</f>
        <v>#DIV/0!</v>
      </c>
      <c r="M279" s="978" t="e">
        <f>+M276/'OSNOVNI PODATKI'!$E$368</f>
        <v>#DIV/0!</v>
      </c>
      <c r="N279" s="978" t="e">
        <f>+N276/'OSNOVNI PODATKI'!$E$368</f>
        <v>#DIV/0!</v>
      </c>
      <c r="O279" s="978" t="e">
        <f>+O276/'OSNOVNI PODATKI'!$E$368</f>
        <v>#DIV/0!</v>
      </c>
      <c r="P279" s="444" t="e">
        <f>SUM(C279:O279)</f>
        <v>#DIV/0!</v>
      </c>
      <c r="Q279" s="670"/>
      <c r="R279" s="670"/>
    </row>
    <row r="280" spans="1:19" x14ac:dyDescent="0.25">
      <c r="A280" s="669"/>
      <c r="B280" s="670"/>
      <c r="C280" s="671"/>
      <c r="D280" s="670"/>
      <c r="E280" s="670"/>
      <c r="F280" s="670"/>
      <c r="G280" s="670"/>
      <c r="H280" s="670"/>
      <c r="I280" s="670"/>
      <c r="J280" s="670"/>
      <c r="K280" s="670"/>
      <c r="L280" s="670"/>
      <c r="M280" s="670"/>
      <c r="N280" s="670"/>
      <c r="O280" s="670"/>
      <c r="P280" s="670"/>
      <c r="Q280" s="670"/>
      <c r="R280" s="670"/>
    </row>
    <row r="281" spans="1:19" x14ac:dyDescent="0.25">
      <c r="A281" s="669"/>
      <c r="B281" s="670"/>
      <c r="C281" s="671"/>
      <c r="D281" s="670"/>
      <c r="E281" s="670"/>
      <c r="F281" s="670"/>
      <c r="G281" s="670"/>
      <c r="H281" s="670"/>
      <c r="I281" s="670"/>
      <c r="J281" s="670"/>
      <c r="K281" s="670"/>
      <c r="L281" s="670"/>
      <c r="M281" s="670"/>
      <c r="N281" s="670"/>
      <c r="O281" s="670"/>
      <c r="P281" s="670"/>
      <c r="Q281" s="670"/>
      <c r="R281" s="670"/>
    </row>
    <row r="282" spans="1:19" x14ac:dyDescent="0.25">
      <c r="A282" s="669"/>
      <c r="B282" s="670"/>
      <c r="C282" s="671"/>
      <c r="D282" s="670"/>
      <c r="E282" s="670"/>
      <c r="F282" s="670"/>
      <c r="G282" s="670"/>
      <c r="H282" s="670"/>
      <c r="I282" s="670"/>
      <c r="J282" s="670"/>
      <c r="K282" s="670"/>
      <c r="L282" s="670"/>
      <c r="M282" s="670"/>
      <c r="N282" s="670"/>
      <c r="O282" s="670"/>
      <c r="P282" s="670"/>
      <c r="Q282" s="670"/>
      <c r="R282" s="670"/>
    </row>
    <row r="1502" spans="7:7" x14ac:dyDescent="0.25">
      <c r="G1502" s="12" t="b">
        <v>1</v>
      </c>
    </row>
  </sheetData>
  <sheetProtection algorithmName="SHA-512" hashValue="nKrEtvxlbKbdX3By61X1SqHEgmsjaCotlWrFVsKOMtVxLxcQqj6sk5Wkfb1B2Y1qh58snTGZ9f+u10k0J8OzHg==" saltValue="0+Gosij00l3mDo0tLoOIFg==" spinCount="100000" sheet="1" objects="1" scenarios="1" formatCells="0" formatColumns="0" formatRows="0"/>
  <mergeCells count="10">
    <mergeCell ref="A192:A202"/>
    <mergeCell ref="A22:A34"/>
    <mergeCell ref="A36:A48"/>
    <mergeCell ref="B4:C4"/>
    <mergeCell ref="A119:A125"/>
    <mergeCell ref="A129:A135"/>
    <mergeCell ref="A52:A64"/>
    <mergeCell ref="A66:A78"/>
    <mergeCell ref="A84:A96"/>
    <mergeCell ref="A98:A106"/>
  </mergeCells>
  <pageMargins left="0.59055118110236227" right="0.59055118110236227" top="0.39370078740157483" bottom="0.39370078740157483" header="0.31496062992125984" footer="0.31496062992125984"/>
  <pageSetup paperSize="9" scale="37" orientation="portrait" r:id="rId1"/>
  <ignoredErrors>
    <ignoredError sqref="I191"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8437" r:id="rId4" name="Check Box 5">
              <controlPr defaultSize="0" autoFill="0" autoLine="0" autoPict="0">
                <anchor moveWithCells="1">
                  <from>
                    <xdr:col>6</xdr:col>
                    <xdr:colOff>76200</xdr:colOff>
                    <xdr:row>20</xdr:row>
                    <xdr:rowOff>19050</xdr:rowOff>
                  </from>
                  <to>
                    <xdr:col>6</xdr:col>
                    <xdr:colOff>323850</xdr:colOff>
                    <xdr:row>21</xdr:row>
                    <xdr:rowOff>0</xdr:rowOff>
                  </to>
                </anchor>
              </controlPr>
            </control>
          </mc:Choice>
        </mc:AlternateContent>
        <mc:AlternateContent xmlns:mc="http://schemas.openxmlformats.org/markup-compatibility/2006">
          <mc:Choice Requires="x14">
            <control shapeId="18441" r:id="rId5" name="Check Box 9">
              <controlPr defaultSize="0" autoFill="0" autoLine="0" autoPict="0">
                <anchor moveWithCells="1">
                  <from>
                    <xdr:col>6</xdr:col>
                    <xdr:colOff>76200</xdr:colOff>
                    <xdr:row>48</xdr:row>
                    <xdr:rowOff>19050</xdr:rowOff>
                  </from>
                  <to>
                    <xdr:col>6</xdr:col>
                    <xdr:colOff>323850</xdr:colOff>
                    <xdr:row>48</xdr:row>
                    <xdr:rowOff>180975</xdr:rowOff>
                  </to>
                </anchor>
              </controlPr>
            </control>
          </mc:Choice>
        </mc:AlternateContent>
        <mc:AlternateContent xmlns:mc="http://schemas.openxmlformats.org/markup-compatibility/2006">
          <mc:Choice Requires="x14">
            <control shapeId="18442" r:id="rId6" name="Check Box 10">
              <controlPr defaultSize="0" autoFill="0" autoLine="0" autoPict="0">
                <anchor moveWithCells="1">
                  <from>
                    <xdr:col>6</xdr:col>
                    <xdr:colOff>76200</xdr:colOff>
                    <xdr:row>79</xdr:row>
                    <xdr:rowOff>19050</xdr:rowOff>
                  </from>
                  <to>
                    <xdr:col>6</xdr:col>
                    <xdr:colOff>323850</xdr:colOff>
                    <xdr:row>79</xdr:row>
                    <xdr:rowOff>180975</xdr:rowOff>
                  </to>
                </anchor>
              </controlPr>
            </control>
          </mc:Choice>
        </mc:AlternateContent>
        <mc:AlternateContent xmlns:mc="http://schemas.openxmlformats.org/markup-compatibility/2006">
          <mc:Choice Requires="x14">
            <control shapeId="18566" r:id="rId7" name="Check Box 134">
              <controlPr defaultSize="0" autoFill="0" autoLine="0" autoPict="0">
                <anchor moveWithCells="1">
                  <from>
                    <xdr:col>6</xdr:col>
                    <xdr:colOff>76200</xdr:colOff>
                    <xdr:row>80</xdr:row>
                    <xdr:rowOff>19050</xdr:rowOff>
                  </from>
                  <to>
                    <xdr:col>6</xdr:col>
                    <xdr:colOff>323850</xdr:colOff>
                    <xdr:row>80</xdr:row>
                    <xdr:rowOff>180975</xdr:rowOff>
                  </to>
                </anchor>
              </controlPr>
            </control>
          </mc:Choice>
        </mc:AlternateContent>
        <mc:AlternateContent xmlns:mc="http://schemas.openxmlformats.org/markup-compatibility/2006">
          <mc:Choice Requires="x14">
            <control shapeId="18608" r:id="rId8" name="Check Box 176">
              <controlPr defaultSize="0" autoFill="0" autoLine="0" autoPict="0">
                <anchor moveWithCells="1">
                  <from>
                    <xdr:col>6</xdr:col>
                    <xdr:colOff>76200</xdr:colOff>
                    <xdr:row>137</xdr:row>
                    <xdr:rowOff>38100</xdr:rowOff>
                  </from>
                  <to>
                    <xdr:col>6</xdr:col>
                    <xdr:colOff>323850</xdr:colOff>
                    <xdr:row>137</xdr:row>
                    <xdr:rowOff>200025</xdr:rowOff>
                  </to>
                </anchor>
              </controlPr>
            </control>
          </mc:Choice>
        </mc:AlternateContent>
        <mc:AlternateContent xmlns:mc="http://schemas.openxmlformats.org/markup-compatibility/2006">
          <mc:Choice Requires="x14">
            <control shapeId="18609" r:id="rId9" name="Check Box 177">
              <controlPr defaultSize="0" autoFill="0" autoLine="0" autoPict="0">
                <anchor moveWithCells="1">
                  <from>
                    <xdr:col>6</xdr:col>
                    <xdr:colOff>76200</xdr:colOff>
                    <xdr:row>156</xdr:row>
                    <xdr:rowOff>19050</xdr:rowOff>
                  </from>
                  <to>
                    <xdr:col>6</xdr:col>
                    <xdr:colOff>323850</xdr:colOff>
                    <xdr:row>156</xdr:row>
                    <xdr:rowOff>180975</xdr:rowOff>
                  </to>
                </anchor>
              </controlPr>
            </control>
          </mc:Choice>
        </mc:AlternateContent>
        <mc:AlternateContent xmlns:mc="http://schemas.openxmlformats.org/markup-compatibility/2006">
          <mc:Choice Requires="x14">
            <control shapeId="18655" r:id="rId10" name="Check Box 223">
              <controlPr defaultSize="0" autoFill="0" autoLine="0" autoPict="0">
                <anchor moveWithCells="1">
                  <from>
                    <xdr:col>6</xdr:col>
                    <xdr:colOff>76200</xdr:colOff>
                    <xdr:row>172</xdr:row>
                    <xdr:rowOff>19050</xdr:rowOff>
                  </from>
                  <to>
                    <xdr:col>6</xdr:col>
                    <xdr:colOff>323850</xdr:colOff>
                    <xdr:row>172</xdr:row>
                    <xdr:rowOff>180975</xdr:rowOff>
                  </to>
                </anchor>
              </controlPr>
            </control>
          </mc:Choice>
        </mc:AlternateContent>
        <mc:AlternateContent xmlns:mc="http://schemas.openxmlformats.org/markup-compatibility/2006">
          <mc:Choice Requires="x14">
            <control shapeId="18760" r:id="rId11" name="Check Box 328">
              <controlPr defaultSize="0" autoFill="0" autoLine="0" autoPict="0">
                <anchor moveWithCells="1">
                  <from>
                    <xdr:col>6</xdr:col>
                    <xdr:colOff>66675</xdr:colOff>
                    <xdr:row>96</xdr:row>
                    <xdr:rowOff>19050</xdr:rowOff>
                  </from>
                  <to>
                    <xdr:col>6</xdr:col>
                    <xdr:colOff>314325</xdr:colOff>
                    <xdr:row>96</xdr:row>
                    <xdr:rowOff>180975</xdr:rowOff>
                  </to>
                </anchor>
              </controlPr>
            </control>
          </mc:Choice>
        </mc:AlternateContent>
        <mc:AlternateContent xmlns:mc="http://schemas.openxmlformats.org/markup-compatibility/2006">
          <mc:Choice Requires="x14">
            <control shapeId="18935" r:id="rId12" name="Check Box 503">
              <controlPr defaultSize="0" autoFill="0" autoLine="0" autoPict="0">
                <anchor moveWithCells="1">
                  <from>
                    <xdr:col>6</xdr:col>
                    <xdr:colOff>76200</xdr:colOff>
                    <xdr:row>34</xdr:row>
                    <xdr:rowOff>9525</xdr:rowOff>
                  </from>
                  <to>
                    <xdr:col>6</xdr:col>
                    <xdr:colOff>323850</xdr:colOff>
                    <xdr:row>34</xdr:row>
                    <xdr:rowOff>190500</xdr:rowOff>
                  </to>
                </anchor>
              </controlPr>
            </control>
          </mc:Choice>
        </mc:AlternateContent>
        <mc:AlternateContent xmlns:mc="http://schemas.openxmlformats.org/markup-compatibility/2006">
          <mc:Choice Requires="x14">
            <control shapeId="18961" r:id="rId13" name="Check Box 529">
              <controlPr defaultSize="0" autoFill="0" autoLine="0" autoPict="0">
                <anchor moveWithCells="1">
                  <from>
                    <xdr:col>6</xdr:col>
                    <xdr:colOff>76200</xdr:colOff>
                    <xdr:row>50</xdr:row>
                    <xdr:rowOff>19050</xdr:rowOff>
                  </from>
                  <to>
                    <xdr:col>6</xdr:col>
                    <xdr:colOff>323850</xdr:colOff>
                    <xdr:row>50</xdr:row>
                    <xdr:rowOff>180975</xdr:rowOff>
                  </to>
                </anchor>
              </controlPr>
            </control>
          </mc:Choice>
        </mc:AlternateContent>
        <mc:AlternateContent xmlns:mc="http://schemas.openxmlformats.org/markup-compatibility/2006">
          <mc:Choice Requires="x14">
            <control shapeId="18962" r:id="rId14" name="Check Box 530">
              <controlPr defaultSize="0" autoFill="0" autoLine="0" autoPict="0">
                <anchor moveWithCells="1">
                  <from>
                    <xdr:col>6</xdr:col>
                    <xdr:colOff>76200</xdr:colOff>
                    <xdr:row>64</xdr:row>
                    <xdr:rowOff>28575</xdr:rowOff>
                  </from>
                  <to>
                    <xdr:col>6</xdr:col>
                    <xdr:colOff>323850</xdr:colOff>
                    <xdr:row>64</xdr:row>
                    <xdr:rowOff>171450</xdr:rowOff>
                  </to>
                </anchor>
              </controlPr>
            </control>
          </mc:Choice>
        </mc:AlternateContent>
        <mc:AlternateContent xmlns:mc="http://schemas.openxmlformats.org/markup-compatibility/2006">
          <mc:Choice Requires="x14">
            <control shapeId="18965" r:id="rId15" name="Check Box 533">
              <controlPr defaultSize="0" autoFill="0" autoLine="0" autoPict="0">
                <anchor moveWithCells="1">
                  <from>
                    <xdr:col>6</xdr:col>
                    <xdr:colOff>76200</xdr:colOff>
                    <xdr:row>116</xdr:row>
                    <xdr:rowOff>19050</xdr:rowOff>
                  </from>
                  <to>
                    <xdr:col>6</xdr:col>
                    <xdr:colOff>323850</xdr:colOff>
                    <xdr:row>116</xdr:row>
                    <xdr:rowOff>200025</xdr:rowOff>
                  </to>
                </anchor>
              </controlPr>
            </control>
          </mc:Choice>
        </mc:AlternateContent>
        <mc:AlternateContent xmlns:mc="http://schemas.openxmlformats.org/markup-compatibility/2006">
          <mc:Choice Requires="x14">
            <control shapeId="18967" r:id="rId16" name="Check Box 535">
              <controlPr defaultSize="0" autoFill="0" autoLine="0" autoPict="0">
                <anchor moveWithCells="1">
                  <from>
                    <xdr:col>6</xdr:col>
                    <xdr:colOff>76200</xdr:colOff>
                    <xdr:row>126</xdr:row>
                    <xdr:rowOff>19050</xdr:rowOff>
                  </from>
                  <to>
                    <xdr:col>6</xdr:col>
                    <xdr:colOff>323850</xdr:colOff>
                    <xdr:row>126</xdr:row>
                    <xdr:rowOff>200025</xdr:rowOff>
                  </to>
                </anchor>
              </controlPr>
            </control>
          </mc:Choice>
        </mc:AlternateContent>
        <mc:AlternateContent xmlns:mc="http://schemas.openxmlformats.org/markup-compatibility/2006">
          <mc:Choice Requires="x14">
            <control shapeId="18969" r:id="rId17" name="Check Box 537">
              <controlPr defaultSize="0" autoFill="0" autoLine="0" autoPict="0">
                <anchor moveWithCells="1">
                  <from>
                    <xdr:col>6</xdr:col>
                    <xdr:colOff>76200</xdr:colOff>
                    <xdr:row>138</xdr:row>
                    <xdr:rowOff>28575</xdr:rowOff>
                  </from>
                  <to>
                    <xdr:col>6</xdr:col>
                    <xdr:colOff>323850</xdr:colOff>
                    <xdr:row>138</xdr:row>
                    <xdr:rowOff>190500</xdr:rowOff>
                  </to>
                </anchor>
              </controlPr>
            </control>
          </mc:Choice>
        </mc:AlternateContent>
        <mc:AlternateContent xmlns:mc="http://schemas.openxmlformats.org/markup-compatibility/2006">
          <mc:Choice Requires="x14">
            <control shapeId="18971" r:id="rId18" name="Check Box 539">
              <controlPr defaultSize="0" autoFill="0" autoLine="0" autoPict="0">
                <anchor moveWithCells="1">
                  <from>
                    <xdr:col>6</xdr:col>
                    <xdr:colOff>76200</xdr:colOff>
                    <xdr:row>190</xdr:row>
                    <xdr:rowOff>28575</xdr:rowOff>
                  </from>
                  <to>
                    <xdr:col>6</xdr:col>
                    <xdr:colOff>323850</xdr:colOff>
                    <xdr:row>190</xdr:row>
                    <xdr:rowOff>171450</xdr:rowOff>
                  </to>
                </anchor>
              </controlPr>
            </control>
          </mc:Choice>
        </mc:AlternateContent>
        <mc:AlternateContent xmlns:mc="http://schemas.openxmlformats.org/markup-compatibility/2006">
          <mc:Choice Requires="x14">
            <control shapeId="18972" r:id="rId19" name="Check Box 540">
              <controlPr defaultSize="0" autoFill="0" autoLine="0" autoPict="0">
                <anchor moveWithCells="1">
                  <from>
                    <xdr:col>6</xdr:col>
                    <xdr:colOff>76200</xdr:colOff>
                    <xdr:row>203</xdr:row>
                    <xdr:rowOff>38100</xdr:rowOff>
                  </from>
                  <to>
                    <xdr:col>6</xdr:col>
                    <xdr:colOff>323850</xdr:colOff>
                    <xdr:row>203</xdr:row>
                    <xdr:rowOff>180975</xdr:rowOff>
                  </to>
                </anchor>
              </controlPr>
            </control>
          </mc:Choice>
        </mc:AlternateContent>
        <mc:AlternateContent xmlns:mc="http://schemas.openxmlformats.org/markup-compatibility/2006">
          <mc:Choice Requires="x14">
            <control shapeId="18973" r:id="rId20" name="Check Box 541">
              <controlPr defaultSize="0" autoFill="0" autoLine="0" autoPict="0">
                <anchor moveWithCells="1">
                  <from>
                    <xdr:col>6</xdr:col>
                    <xdr:colOff>76200</xdr:colOff>
                    <xdr:row>212</xdr:row>
                    <xdr:rowOff>28575</xdr:rowOff>
                  </from>
                  <to>
                    <xdr:col>6</xdr:col>
                    <xdr:colOff>323850</xdr:colOff>
                    <xdr:row>212</xdr:row>
                    <xdr:rowOff>171450</xdr:rowOff>
                  </to>
                </anchor>
              </controlPr>
            </control>
          </mc:Choice>
        </mc:AlternateContent>
        <mc:AlternateContent xmlns:mc="http://schemas.openxmlformats.org/markup-compatibility/2006">
          <mc:Choice Requires="x14">
            <control shapeId="18974" r:id="rId21" name="Check Box 542">
              <controlPr defaultSize="0" autoFill="0" autoLine="0" autoPict="0">
                <anchor moveWithCells="1">
                  <from>
                    <xdr:col>6</xdr:col>
                    <xdr:colOff>76200</xdr:colOff>
                    <xdr:row>80</xdr:row>
                    <xdr:rowOff>19050</xdr:rowOff>
                  </from>
                  <to>
                    <xdr:col>6</xdr:col>
                    <xdr:colOff>323850</xdr:colOff>
                    <xdr:row>80</xdr:row>
                    <xdr:rowOff>180975</xdr:rowOff>
                  </to>
                </anchor>
              </controlPr>
            </control>
          </mc:Choice>
        </mc:AlternateContent>
        <mc:AlternateContent xmlns:mc="http://schemas.openxmlformats.org/markup-compatibility/2006">
          <mc:Choice Requires="x14">
            <control shapeId="45246" r:id="rId22" name="Check Box 1214">
              <controlPr defaultSize="0" autoFill="0" autoLine="0" autoPict="0">
                <anchor moveWithCells="1">
                  <from>
                    <xdr:col>6</xdr:col>
                    <xdr:colOff>76200</xdr:colOff>
                    <xdr:row>82</xdr:row>
                    <xdr:rowOff>19050</xdr:rowOff>
                  </from>
                  <to>
                    <xdr:col>6</xdr:col>
                    <xdr:colOff>323850</xdr:colOff>
                    <xdr:row>82</xdr:row>
                    <xdr:rowOff>180975</xdr:rowOff>
                  </to>
                </anchor>
              </controlPr>
            </control>
          </mc:Choice>
        </mc:AlternateContent>
        <mc:AlternateContent xmlns:mc="http://schemas.openxmlformats.org/markup-compatibility/2006">
          <mc:Choice Requires="x14">
            <control shapeId="45247" r:id="rId23" name="Check Box 1215">
              <controlPr defaultSize="0" autoFill="0" autoLine="0" autoPict="0">
                <anchor moveWithCells="1">
                  <from>
                    <xdr:col>6</xdr:col>
                    <xdr:colOff>76200</xdr:colOff>
                    <xdr:row>82</xdr:row>
                    <xdr:rowOff>19050</xdr:rowOff>
                  </from>
                  <to>
                    <xdr:col>6</xdr:col>
                    <xdr:colOff>323850</xdr:colOff>
                    <xdr:row>82</xdr:row>
                    <xdr:rowOff>180975</xdr:rowOff>
                  </to>
                </anchor>
              </controlPr>
            </control>
          </mc:Choice>
        </mc:AlternateContent>
        <mc:AlternateContent xmlns:mc="http://schemas.openxmlformats.org/markup-compatibility/2006">
          <mc:Choice Requires="x14">
            <control shapeId="45248" r:id="rId24" name="Check Box 1216">
              <controlPr defaultSize="0" autoFill="0" autoLine="0" autoPict="0">
                <anchor moveWithCells="1">
                  <from>
                    <xdr:col>6</xdr:col>
                    <xdr:colOff>76200</xdr:colOff>
                    <xdr:row>81</xdr:row>
                    <xdr:rowOff>19050</xdr:rowOff>
                  </from>
                  <to>
                    <xdr:col>6</xdr:col>
                    <xdr:colOff>323850</xdr:colOff>
                    <xdr:row>81</xdr:row>
                    <xdr:rowOff>180975</xdr:rowOff>
                  </to>
                </anchor>
              </controlPr>
            </control>
          </mc:Choice>
        </mc:AlternateContent>
        <mc:AlternateContent xmlns:mc="http://schemas.openxmlformats.org/markup-compatibility/2006">
          <mc:Choice Requires="x14">
            <control shapeId="45249" r:id="rId25" name="Check Box 1217">
              <controlPr defaultSize="0" autoFill="0" autoLine="0" autoPict="0">
                <anchor moveWithCells="1">
                  <from>
                    <xdr:col>6</xdr:col>
                    <xdr:colOff>76200</xdr:colOff>
                    <xdr:row>81</xdr:row>
                    <xdr:rowOff>19050</xdr:rowOff>
                  </from>
                  <to>
                    <xdr:col>6</xdr:col>
                    <xdr:colOff>323850</xdr:colOff>
                    <xdr:row>81</xdr:row>
                    <xdr:rowOff>180975</xdr:rowOff>
                  </to>
                </anchor>
              </controlPr>
            </control>
          </mc:Choice>
        </mc:AlternateContent>
        <mc:AlternateContent xmlns:mc="http://schemas.openxmlformats.org/markup-compatibility/2006">
          <mc:Choice Requires="x14">
            <control shapeId="45250" r:id="rId26" name="Check Box 1218">
              <controlPr defaultSize="0" autoFill="0" autoLine="0" autoPict="0">
                <anchor moveWithCells="1">
                  <from>
                    <xdr:col>6</xdr:col>
                    <xdr:colOff>76200</xdr:colOff>
                    <xdr:row>114</xdr:row>
                    <xdr:rowOff>19050</xdr:rowOff>
                  </from>
                  <to>
                    <xdr:col>6</xdr:col>
                    <xdr:colOff>323850</xdr:colOff>
                    <xdr:row>114</xdr:row>
                    <xdr:rowOff>180975</xdr:rowOff>
                  </to>
                </anchor>
              </controlPr>
            </control>
          </mc:Choice>
        </mc:AlternateContent>
        <mc:AlternateContent xmlns:mc="http://schemas.openxmlformats.org/markup-compatibility/2006">
          <mc:Choice Requires="x14">
            <control shapeId="45251" r:id="rId27" name="Check Box 1219">
              <controlPr defaultSize="0" autoFill="0" autoLine="0" autoPict="0">
                <anchor moveWithCells="1">
                  <from>
                    <xdr:col>6</xdr:col>
                    <xdr:colOff>76200</xdr:colOff>
                    <xdr:row>114</xdr:row>
                    <xdr:rowOff>19050</xdr:rowOff>
                  </from>
                  <to>
                    <xdr:col>6</xdr:col>
                    <xdr:colOff>323850</xdr:colOff>
                    <xdr:row>114</xdr:row>
                    <xdr:rowOff>180975</xdr:rowOff>
                  </to>
                </anchor>
              </controlPr>
            </control>
          </mc:Choice>
        </mc:AlternateContent>
        <mc:AlternateContent xmlns:mc="http://schemas.openxmlformats.org/markup-compatibility/2006">
          <mc:Choice Requires="x14">
            <control shapeId="45252" r:id="rId28" name="Check Box 1220">
              <controlPr defaultSize="0" autoFill="0" autoLine="0" autoPict="0">
                <anchor moveWithCells="1">
                  <from>
                    <xdr:col>6</xdr:col>
                    <xdr:colOff>76200</xdr:colOff>
                    <xdr:row>106</xdr:row>
                    <xdr:rowOff>19050</xdr:rowOff>
                  </from>
                  <to>
                    <xdr:col>6</xdr:col>
                    <xdr:colOff>323850</xdr:colOff>
                    <xdr:row>106</xdr:row>
                    <xdr:rowOff>180975</xdr:rowOff>
                  </to>
                </anchor>
              </controlPr>
            </control>
          </mc:Choice>
        </mc:AlternateContent>
        <mc:AlternateContent xmlns:mc="http://schemas.openxmlformats.org/markup-compatibility/2006">
          <mc:Choice Requires="x14">
            <control shapeId="45253" r:id="rId29" name="Check Box 1221">
              <controlPr defaultSize="0" autoFill="0" autoLine="0" autoPict="0">
                <anchor moveWithCells="1">
                  <from>
                    <xdr:col>6</xdr:col>
                    <xdr:colOff>76200</xdr:colOff>
                    <xdr:row>106</xdr:row>
                    <xdr:rowOff>19050</xdr:rowOff>
                  </from>
                  <to>
                    <xdr:col>6</xdr:col>
                    <xdr:colOff>323850</xdr:colOff>
                    <xdr:row>106</xdr:row>
                    <xdr:rowOff>180975</xdr:rowOff>
                  </to>
                </anchor>
              </controlPr>
            </control>
          </mc:Choice>
        </mc:AlternateContent>
        <mc:AlternateContent xmlns:mc="http://schemas.openxmlformats.org/markup-compatibility/2006">
          <mc:Choice Requires="x14">
            <control shapeId="45254" r:id="rId30" name="Check Box 1222">
              <controlPr defaultSize="0" autoFill="0" autoLine="0" autoPict="0">
                <anchor moveWithCells="1">
                  <from>
                    <xdr:col>6</xdr:col>
                    <xdr:colOff>76200</xdr:colOff>
                    <xdr:row>125</xdr:row>
                    <xdr:rowOff>19050</xdr:rowOff>
                  </from>
                  <to>
                    <xdr:col>6</xdr:col>
                    <xdr:colOff>323850</xdr:colOff>
                    <xdr:row>125</xdr:row>
                    <xdr:rowOff>180975</xdr:rowOff>
                  </to>
                </anchor>
              </controlPr>
            </control>
          </mc:Choice>
        </mc:AlternateContent>
        <mc:AlternateContent xmlns:mc="http://schemas.openxmlformats.org/markup-compatibility/2006">
          <mc:Choice Requires="x14">
            <control shapeId="45255" r:id="rId31" name="Check Box 1223">
              <controlPr defaultSize="0" autoFill="0" autoLine="0" autoPict="0">
                <anchor moveWithCells="1">
                  <from>
                    <xdr:col>6</xdr:col>
                    <xdr:colOff>76200</xdr:colOff>
                    <xdr:row>125</xdr:row>
                    <xdr:rowOff>19050</xdr:rowOff>
                  </from>
                  <to>
                    <xdr:col>6</xdr:col>
                    <xdr:colOff>323850</xdr:colOff>
                    <xdr:row>125</xdr:row>
                    <xdr:rowOff>180975</xdr:rowOff>
                  </to>
                </anchor>
              </controlPr>
            </control>
          </mc:Choice>
        </mc:AlternateContent>
        <mc:AlternateContent xmlns:mc="http://schemas.openxmlformats.org/markup-compatibility/2006">
          <mc:Choice Requires="x14">
            <control shapeId="45256" r:id="rId32" name="Check Box 1224">
              <controlPr defaultSize="0" autoFill="0" autoLine="0" autoPict="0">
                <anchor moveWithCells="1">
                  <from>
                    <xdr:col>6</xdr:col>
                    <xdr:colOff>76200</xdr:colOff>
                    <xdr:row>135</xdr:row>
                    <xdr:rowOff>19050</xdr:rowOff>
                  </from>
                  <to>
                    <xdr:col>6</xdr:col>
                    <xdr:colOff>323850</xdr:colOff>
                    <xdr:row>135</xdr:row>
                    <xdr:rowOff>180975</xdr:rowOff>
                  </to>
                </anchor>
              </controlPr>
            </control>
          </mc:Choice>
        </mc:AlternateContent>
        <mc:AlternateContent xmlns:mc="http://schemas.openxmlformats.org/markup-compatibility/2006">
          <mc:Choice Requires="x14">
            <control shapeId="45257" r:id="rId33" name="Check Box 1225">
              <controlPr defaultSize="0" autoFill="0" autoLine="0" autoPict="0">
                <anchor moveWithCells="1">
                  <from>
                    <xdr:col>6</xdr:col>
                    <xdr:colOff>76200</xdr:colOff>
                    <xdr:row>135</xdr:row>
                    <xdr:rowOff>19050</xdr:rowOff>
                  </from>
                  <to>
                    <xdr:col>6</xdr:col>
                    <xdr:colOff>323850</xdr:colOff>
                    <xdr:row>135</xdr:row>
                    <xdr:rowOff>180975</xdr:rowOff>
                  </to>
                </anchor>
              </controlPr>
            </control>
          </mc:Choice>
        </mc:AlternateContent>
        <mc:AlternateContent xmlns:mc="http://schemas.openxmlformats.org/markup-compatibility/2006">
          <mc:Choice Requires="x14">
            <control shapeId="45258" r:id="rId34" name="Check Box 1226">
              <controlPr defaultSize="0" autoFill="0" autoLine="0" autoPict="0">
                <anchor moveWithCells="1">
                  <from>
                    <xdr:col>6</xdr:col>
                    <xdr:colOff>76200</xdr:colOff>
                    <xdr:row>147</xdr:row>
                    <xdr:rowOff>19050</xdr:rowOff>
                  </from>
                  <to>
                    <xdr:col>6</xdr:col>
                    <xdr:colOff>323850</xdr:colOff>
                    <xdr:row>147</xdr:row>
                    <xdr:rowOff>180975</xdr:rowOff>
                  </to>
                </anchor>
              </controlPr>
            </control>
          </mc:Choice>
        </mc:AlternateContent>
        <mc:AlternateContent xmlns:mc="http://schemas.openxmlformats.org/markup-compatibility/2006">
          <mc:Choice Requires="x14">
            <control shapeId="45259" r:id="rId35" name="Check Box 1227">
              <controlPr defaultSize="0" autoFill="0" autoLine="0" autoPict="0">
                <anchor moveWithCells="1">
                  <from>
                    <xdr:col>6</xdr:col>
                    <xdr:colOff>76200</xdr:colOff>
                    <xdr:row>147</xdr:row>
                    <xdr:rowOff>19050</xdr:rowOff>
                  </from>
                  <to>
                    <xdr:col>6</xdr:col>
                    <xdr:colOff>323850</xdr:colOff>
                    <xdr:row>147</xdr:row>
                    <xdr:rowOff>180975</xdr:rowOff>
                  </to>
                </anchor>
              </controlPr>
            </control>
          </mc:Choice>
        </mc:AlternateContent>
        <mc:AlternateContent xmlns:mc="http://schemas.openxmlformats.org/markup-compatibility/2006">
          <mc:Choice Requires="x14">
            <control shapeId="45260" r:id="rId36" name="Check Box 1228">
              <controlPr defaultSize="0" autoFill="0" autoLine="0" autoPict="0">
                <anchor moveWithCells="1">
                  <from>
                    <xdr:col>6</xdr:col>
                    <xdr:colOff>76200</xdr:colOff>
                    <xdr:row>164</xdr:row>
                    <xdr:rowOff>19050</xdr:rowOff>
                  </from>
                  <to>
                    <xdr:col>6</xdr:col>
                    <xdr:colOff>323850</xdr:colOff>
                    <xdr:row>164</xdr:row>
                    <xdr:rowOff>180975</xdr:rowOff>
                  </to>
                </anchor>
              </controlPr>
            </control>
          </mc:Choice>
        </mc:AlternateContent>
        <mc:AlternateContent xmlns:mc="http://schemas.openxmlformats.org/markup-compatibility/2006">
          <mc:Choice Requires="x14">
            <control shapeId="45261" r:id="rId37" name="Check Box 1229">
              <controlPr defaultSize="0" autoFill="0" autoLine="0" autoPict="0">
                <anchor moveWithCells="1">
                  <from>
                    <xdr:col>6</xdr:col>
                    <xdr:colOff>76200</xdr:colOff>
                    <xdr:row>164</xdr:row>
                    <xdr:rowOff>19050</xdr:rowOff>
                  </from>
                  <to>
                    <xdr:col>6</xdr:col>
                    <xdr:colOff>323850</xdr:colOff>
                    <xdr:row>164</xdr:row>
                    <xdr:rowOff>180975</xdr:rowOff>
                  </to>
                </anchor>
              </controlPr>
            </control>
          </mc:Choice>
        </mc:AlternateContent>
        <mc:AlternateContent xmlns:mc="http://schemas.openxmlformats.org/markup-compatibility/2006">
          <mc:Choice Requires="x14">
            <control shapeId="45262" r:id="rId38" name="Check Box 1230">
              <controlPr defaultSize="0" autoFill="0" autoLine="0" autoPict="0">
                <anchor moveWithCells="1">
                  <from>
                    <xdr:col>6</xdr:col>
                    <xdr:colOff>76200</xdr:colOff>
                    <xdr:row>181</xdr:row>
                    <xdr:rowOff>19050</xdr:rowOff>
                  </from>
                  <to>
                    <xdr:col>6</xdr:col>
                    <xdr:colOff>323850</xdr:colOff>
                    <xdr:row>181</xdr:row>
                    <xdr:rowOff>180975</xdr:rowOff>
                  </to>
                </anchor>
              </controlPr>
            </control>
          </mc:Choice>
        </mc:AlternateContent>
        <mc:AlternateContent xmlns:mc="http://schemas.openxmlformats.org/markup-compatibility/2006">
          <mc:Choice Requires="x14">
            <control shapeId="45263" r:id="rId39" name="Check Box 1231">
              <controlPr defaultSize="0" autoFill="0" autoLine="0" autoPict="0">
                <anchor moveWithCells="1">
                  <from>
                    <xdr:col>6</xdr:col>
                    <xdr:colOff>76200</xdr:colOff>
                    <xdr:row>181</xdr:row>
                    <xdr:rowOff>19050</xdr:rowOff>
                  </from>
                  <to>
                    <xdr:col>6</xdr:col>
                    <xdr:colOff>323850</xdr:colOff>
                    <xdr:row>181</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54434-8A04-4732-AF6E-3231093BDD73}">
  <sheetPr codeName="Sheet3">
    <tabColor rgb="FF00B0F0"/>
  </sheetPr>
  <dimension ref="A1:N64"/>
  <sheetViews>
    <sheetView showGridLines="0" workbookViewId="0">
      <selection activeCell="F25" sqref="F25"/>
    </sheetView>
    <sheetView workbookViewId="1"/>
  </sheetViews>
  <sheetFormatPr defaultColWidth="9.140625" defaultRowHeight="14.25" outlineLevelRow="2" x14ac:dyDescent="0.25"/>
  <cols>
    <col min="1" max="1" width="10.7109375" style="1194" customWidth="1"/>
    <col min="2" max="2" width="20.28515625" style="1195" customWidth="1"/>
    <col min="3" max="3" width="3.85546875" style="1077" customWidth="1"/>
    <col min="4" max="4" width="28.7109375" style="1195" customWidth="1"/>
    <col min="5" max="5" width="10" style="1195" customWidth="1"/>
    <col min="6" max="8" width="12" style="1077" customWidth="1"/>
    <col min="9" max="9" width="32.28515625" style="1195" customWidth="1"/>
    <col min="10" max="13" width="8.7109375" style="1077" customWidth="1"/>
    <col min="14" max="15" width="12.28515625" style="1077" customWidth="1"/>
    <col min="16" max="16" width="8.7109375" style="1077" customWidth="1"/>
    <col min="17" max="16384" width="9.140625" style="1077"/>
  </cols>
  <sheetData>
    <row r="1" spans="1:9" s="1046" customFormat="1" ht="18" customHeight="1" x14ac:dyDescent="0.25">
      <c r="B1" s="1047"/>
      <c r="C1" s="1048" t="str">
        <f>'OSNOVNI PODATKI'!D1</f>
        <v>NAROČNIK</v>
      </c>
      <c r="D1" s="1053">
        <f>IFERROR('OSNOVNI PODATKI'!E1,"")</f>
        <v>0</v>
      </c>
      <c r="E1" s="1050"/>
      <c r="F1" s="1050"/>
      <c r="I1" s="1047"/>
    </row>
    <row r="2" spans="1:9" s="1051" customFormat="1" ht="18" customHeight="1" x14ac:dyDescent="0.3">
      <c r="B2" s="1052"/>
      <c r="C2" s="1048"/>
      <c r="D2" s="1053">
        <f>IFERROR('OSNOVNI PODATKI'!E2,"")</f>
        <v>0</v>
      </c>
      <c r="E2" s="1054"/>
      <c r="F2" s="1054"/>
      <c r="I2" s="1052"/>
    </row>
    <row r="3" spans="1:9" s="1046" customFormat="1" ht="26.25" x14ac:dyDescent="0.4">
      <c r="A3" s="1051"/>
      <c r="B3" s="1055"/>
      <c r="C3" s="1048" t="str">
        <f>'OSNOVNI PODATKI'!D3</f>
        <v>PROJEKTANT</v>
      </c>
      <c r="D3" s="1053">
        <f>IFERROR('OSNOVNI PODATKI'!E3,"")</f>
        <v>0</v>
      </c>
      <c r="E3" s="1050"/>
      <c r="F3" s="1050"/>
      <c r="G3" s="1056"/>
      <c r="H3" s="1056"/>
      <c r="I3" s="1057"/>
    </row>
    <row r="4" spans="1:9" s="1056" customFormat="1" ht="15.75" x14ac:dyDescent="0.25">
      <c r="B4" s="1046"/>
      <c r="C4" s="1048" t="str">
        <f>'OSNOVNI PODATKI'!D4</f>
        <v>GRADNJA</v>
      </c>
      <c r="D4" s="1053">
        <f>IFERROR('OSNOVNI PODATKI'!E4,"")</f>
        <v>0</v>
      </c>
      <c r="E4" s="1050"/>
      <c r="F4" s="1050"/>
      <c r="I4" s="1057"/>
    </row>
    <row r="5" spans="1:9" s="1046" customFormat="1" ht="15.75" x14ac:dyDescent="0.25">
      <c r="A5" s="1058"/>
      <c r="B5" s="1059"/>
      <c r="C5" s="1060" t="str">
        <f>'OSNOVNI PODATKI'!D5</f>
        <v>DATUM</v>
      </c>
      <c r="D5" s="1061">
        <f ca="1">'OSNOVNI PODATKI'!E5</f>
        <v>45125</v>
      </c>
      <c r="E5" s="1062"/>
      <c r="F5" s="1062"/>
      <c r="I5" s="1047"/>
    </row>
    <row r="6" spans="1:9" s="1046" customFormat="1" ht="18.75" x14ac:dyDescent="0.3">
      <c r="A6" s="1063"/>
      <c r="B6" s="1064"/>
      <c r="C6" s="1051"/>
      <c r="D6" s="1052"/>
      <c r="E6" s="1052"/>
      <c r="F6" s="1051"/>
      <c r="G6" s="1051"/>
      <c r="H6" s="1051"/>
      <c r="I6" s="1052"/>
    </row>
    <row r="7" spans="1:9" s="1056" customFormat="1" ht="15.75" x14ac:dyDescent="0.25">
      <c r="B7" s="1057"/>
      <c r="D7" s="1057"/>
      <c r="E7" s="1057"/>
      <c r="I7" s="1057"/>
    </row>
    <row r="8" spans="1:9" s="1067" customFormat="1" ht="26.25" x14ac:dyDescent="0.2">
      <c r="A8" s="1065" t="s">
        <v>984</v>
      </c>
      <c r="B8" s="1066"/>
      <c r="D8" s="1068"/>
      <c r="E8" s="1068"/>
      <c r="I8" s="1068"/>
    </row>
    <row r="9" spans="1:9" s="1056" customFormat="1" ht="15.75" x14ac:dyDescent="0.25">
      <c r="A9" s="1069"/>
      <c r="B9" s="1070"/>
      <c r="C9" s="1071"/>
      <c r="D9" s="1072"/>
      <c r="E9" s="1072"/>
      <c r="F9" s="1071"/>
      <c r="G9" s="1071"/>
      <c r="H9" s="1071"/>
      <c r="I9" s="1072"/>
    </row>
    <row r="10" spans="1:9" ht="23.25" x14ac:dyDescent="0.25">
      <c r="A10" s="1073"/>
      <c r="B10" s="1074"/>
      <c r="C10" s="1334" t="s">
        <v>985</v>
      </c>
      <c r="D10" s="1334"/>
      <c r="E10" s="1075" t="s">
        <v>986</v>
      </c>
      <c r="F10" s="1075" t="s">
        <v>987</v>
      </c>
      <c r="G10" s="1075" t="s">
        <v>210</v>
      </c>
      <c r="H10" s="1075" t="s">
        <v>989</v>
      </c>
      <c r="I10" s="1076" t="s">
        <v>988</v>
      </c>
    </row>
    <row r="11" spans="1:9" s="1083" customFormat="1" x14ac:dyDescent="0.2">
      <c r="A11" s="1078" t="s">
        <v>29</v>
      </c>
      <c r="B11" s="1079" t="s">
        <v>30</v>
      </c>
      <c r="C11" s="1080"/>
      <c r="D11" s="1081"/>
      <c r="E11" s="1081"/>
      <c r="F11" s="1082"/>
      <c r="G11" s="1082"/>
      <c r="H11" s="1082"/>
      <c r="I11" s="1081"/>
    </row>
    <row r="12" spans="1:9" s="1091" customFormat="1" ht="45" x14ac:dyDescent="0.2">
      <c r="A12" s="1084" t="s">
        <v>31</v>
      </c>
      <c r="B12" s="1085" t="s">
        <v>65</v>
      </c>
      <c r="C12" s="1086" t="s">
        <v>990</v>
      </c>
      <c r="D12" s="1087" t="s">
        <v>1011</v>
      </c>
      <c r="E12" s="1088" t="str">
        <f>IFERROR(+F12/($F$54+'POSEBNE STORITVE'!$F$89),"%")</f>
        <v>%</v>
      </c>
      <c r="F12" s="1089">
        <v>0</v>
      </c>
      <c r="G12" s="1089">
        <f>+F12*0.22</f>
        <v>0</v>
      </c>
      <c r="H12" s="1089">
        <f>+F12+G12</f>
        <v>0</v>
      </c>
      <c r="I12" s="1090" t="s">
        <v>1021</v>
      </c>
    </row>
    <row r="13" spans="1:9" s="1091" customFormat="1" ht="33.75" x14ac:dyDescent="0.2">
      <c r="A13" s="1084" t="s">
        <v>32</v>
      </c>
      <c r="B13" s="1085" t="s">
        <v>66</v>
      </c>
      <c r="C13" s="1086" t="s">
        <v>990</v>
      </c>
      <c r="D13" s="1087" t="s">
        <v>1012</v>
      </c>
      <c r="E13" s="1088" t="str">
        <f>IFERROR(+F13/($F$54+'POSEBNE STORITVE'!$F$89),"%")</f>
        <v>%</v>
      </c>
      <c r="F13" s="1089">
        <v>0</v>
      </c>
      <c r="G13" s="1089">
        <f>+F13*0.22</f>
        <v>0</v>
      </c>
      <c r="H13" s="1089">
        <f>+F13+G13</f>
        <v>0</v>
      </c>
      <c r="I13" s="1090" t="s">
        <v>1022</v>
      </c>
    </row>
    <row r="14" spans="1:9" s="1097" customFormat="1" x14ac:dyDescent="0.2">
      <c r="A14" s="1092" t="s">
        <v>33</v>
      </c>
      <c r="B14" s="1093" t="s">
        <v>34</v>
      </c>
      <c r="C14" s="1094"/>
      <c r="D14" s="1095"/>
      <c r="E14" s="1096"/>
      <c r="F14" s="1094"/>
      <c r="G14" s="1094"/>
      <c r="H14" s="1094"/>
      <c r="I14" s="1096"/>
    </row>
    <row r="15" spans="1:9" s="1100" customFormat="1" ht="45" outlineLevel="1" x14ac:dyDescent="0.2">
      <c r="A15" s="1098" t="s">
        <v>35</v>
      </c>
      <c r="B15" s="1099" t="s">
        <v>67</v>
      </c>
      <c r="C15" s="1086" t="s">
        <v>990</v>
      </c>
      <c r="D15" s="1087" t="s">
        <v>1012</v>
      </c>
      <c r="E15" s="1088" t="str">
        <f>IFERROR(+F15/($F$54+'POSEBNE STORITVE'!$F$89),"%")</f>
        <v>%</v>
      </c>
      <c r="F15" s="1089">
        <v>0</v>
      </c>
      <c r="G15" s="1089">
        <f>+F15*0.22</f>
        <v>0</v>
      </c>
      <c r="H15" s="1089">
        <f>+F15+G15</f>
        <v>0</v>
      </c>
      <c r="I15" s="1090" t="s">
        <v>1023</v>
      </c>
    </row>
    <row r="16" spans="1:9" s="1100" customFormat="1" ht="56.25" outlineLevel="1" x14ac:dyDescent="0.2">
      <c r="A16" s="1098" t="s">
        <v>36</v>
      </c>
      <c r="B16" s="1099" t="s">
        <v>68</v>
      </c>
      <c r="C16" s="1086" t="s">
        <v>990</v>
      </c>
      <c r="D16" s="1087" t="s">
        <v>1012</v>
      </c>
      <c r="E16" s="1088" t="str">
        <f>IFERROR(+F16/($F$54+'POSEBNE STORITVE'!$F$89),"%")</f>
        <v>%</v>
      </c>
      <c r="F16" s="1089">
        <v>0</v>
      </c>
      <c r="G16" s="1089">
        <f>+F16*0.22</f>
        <v>0</v>
      </c>
      <c r="H16" s="1089">
        <f>+F16+G16</f>
        <v>0</v>
      </c>
      <c r="I16" s="1090" t="s">
        <v>1024</v>
      </c>
    </row>
    <row r="17" spans="1:9" s="1100" customFormat="1" ht="33.75" outlineLevel="1" x14ac:dyDescent="0.2">
      <c r="A17" s="1101" t="s">
        <v>37</v>
      </c>
      <c r="B17" s="1102" t="s">
        <v>844</v>
      </c>
      <c r="C17" s="1103" t="s">
        <v>990</v>
      </c>
      <c r="D17" s="1087" t="s">
        <v>1012</v>
      </c>
      <c r="E17" s="1088" t="str">
        <f>IFERROR(+F17/($F$54+'POSEBNE STORITVE'!$F$89),"%")</f>
        <v>%</v>
      </c>
      <c r="F17" s="1104">
        <v>0</v>
      </c>
      <c r="G17" s="1104">
        <f>+F17*0.22</f>
        <v>0</v>
      </c>
      <c r="H17" s="1104">
        <f>+F17+G17</f>
        <v>0</v>
      </c>
      <c r="I17" s="1090" t="s">
        <v>1025</v>
      </c>
    </row>
    <row r="18" spans="1:9" s="1097" customFormat="1" x14ac:dyDescent="0.2">
      <c r="A18" s="1105">
        <v>2</v>
      </c>
      <c r="B18" s="1093" t="s">
        <v>38</v>
      </c>
      <c r="C18" s="1094"/>
      <c r="D18" s="1095"/>
      <c r="E18" s="1096"/>
      <c r="F18" s="1106"/>
      <c r="G18" s="1106"/>
      <c r="H18" s="1106"/>
      <c r="I18" s="1107"/>
    </row>
    <row r="19" spans="1:9" s="1097" customFormat="1" outlineLevel="1" x14ac:dyDescent="0.2">
      <c r="A19" s="1098" t="s">
        <v>51</v>
      </c>
      <c r="B19" s="1099" t="s">
        <v>95</v>
      </c>
      <c r="C19" s="1108"/>
      <c r="D19" s="1109"/>
      <c r="E19" s="1110"/>
      <c r="F19" s="1108"/>
      <c r="G19" s="1108"/>
      <c r="H19" s="1108"/>
      <c r="I19" s="1111"/>
    </row>
    <row r="20" spans="1:9" s="1114" customFormat="1" ht="45" outlineLevel="2" x14ac:dyDescent="0.2">
      <c r="A20" s="1112"/>
      <c r="B20" s="1113" t="s">
        <v>992</v>
      </c>
      <c r="C20" s="1086" t="s">
        <v>990</v>
      </c>
      <c r="D20" s="1087" t="s">
        <v>1013</v>
      </c>
      <c r="E20" s="1088" t="str">
        <f>IFERROR(+F20/($F$54+'POSEBNE STORITVE'!$F$89),"%")</f>
        <v>%</v>
      </c>
      <c r="F20" s="1089">
        <v>0</v>
      </c>
      <c r="G20" s="1089">
        <f>+F20*0.22</f>
        <v>0</v>
      </c>
      <c r="H20" s="1089">
        <f>+F20+G20</f>
        <v>0</v>
      </c>
      <c r="I20" s="1090" t="s">
        <v>1027</v>
      </c>
    </row>
    <row r="21" spans="1:9" s="1097" customFormat="1" outlineLevel="1" x14ac:dyDescent="0.2">
      <c r="A21" s="1115" t="s">
        <v>52</v>
      </c>
      <c r="B21" s="1116" t="s">
        <v>744</v>
      </c>
      <c r="C21" s="1117"/>
      <c r="D21" s="1118"/>
      <c r="E21" s="1110"/>
      <c r="F21" s="1108"/>
      <c r="G21" s="1108"/>
      <c r="H21" s="1108"/>
      <c r="I21" s="1119"/>
    </row>
    <row r="22" spans="1:9" s="1114" customFormat="1" ht="22.5" outlineLevel="2" x14ac:dyDescent="0.2">
      <c r="A22" s="1112"/>
      <c r="B22" s="1113" t="s">
        <v>993</v>
      </c>
      <c r="C22" s="1086" t="s">
        <v>990</v>
      </c>
      <c r="D22" s="1087" t="s">
        <v>994</v>
      </c>
      <c r="E22" s="1088" t="str">
        <f>IFERROR(+F22/($F$54+'POSEBNE STORITVE'!$F$89),"%")</f>
        <v>%</v>
      </c>
      <c r="F22" s="1089">
        <v>0</v>
      </c>
      <c r="G22" s="1089">
        <f>+F22*0.22</f>
        <v>0</v>
      </c>
      <c r="H22" s="1089">
        <f>+F22+G22</f>
        <v>0</v>
      </c>
      <c r="I22" s="1090" t="s">
        <v>1028</v>
      </c>
    </row>
    <row r="23" spans="1:9" s="1097" customFormat="1" outlineLevel="1" x14ac:dyDescent="0.2">
      <c r="A23" s="1115" t="s">
        <v>53</v>
      </c>
      <c r="B23" s="1116" t="s">
        <v>995</v>
      </c>
      <c r="C23" s="1086"/>
      <c r="D23" s="1087"/>
      <c r="E23" s="1120"/>
      <c r="F23" s="1089"/>
      <c r="G23" s="1089"/>
      <c r="H23" s="1089"/>
      <c r="I23" s="1090"/>
    </row>
    <row r="24" spans="1:9" s="1114" customFormat="1" ht="45" outlineLevel="2" x14ac:dyDescent="0.2">
      <c r="A24" s="1112"/>
      <c r="B24" s="1113" t="s">
        <v>1026</v>
      </c>
      <c r="C24" s="1103" t="s">
        <v>990</v>
      </c>
      <c r="D24" s="1121" t="s">
        <v>996</v>
      </c>
      <c r="E24" s="1122" t="str">
        <f>IFERROR(+F24/($F$54+'POSEBNE STORITVE'!$F$89),"%")</f>
        <v>%</v>
      </c>
      <c r="F24" s="1104">
        <v>0</v>
      </c>
      <c r="G24" s="1104">
        <f>+F24*0.22</f>
        <v>0</v>
      </c>
      <c r="H24" s="1104">
        <f>+F24+G24</f>
        <v>0</v>
      </c>
      <c r="I24" s="1123" t="s">
        <v>1029</v>
      </c>
    </row>
    <row r="25" spans="1:9" s="1114" customFormat="1" ht="78.75" outlineLevel="2" x14ac:dyDescent="0.2">
      <c r="A25" s="1124"/>
      <c r="B25" s="1125" t="s">
        <v>997</v>
      </c>
      <c r="C25" s="1126" t="s">
        <v>990</v>
      </c>
      <c r="D25" s="1127" t="s">
        <v>1120</v>
      </c>
      <c r="E25" s="1128" t="str">
        <f>IFERROR(+F25/($F$54+'POSEBNE STORITVE'!$F$89),"%")</f>
        <v>%</v>
      </c>
      <c r="F25" s="1129">
        <v>0</v>
      </c>
      <c r="G25" s="1129">
        <f>+F25*0.22</f>
        <v>0</v>
      </c>
      <c r="H25" s="1129">
        <f>+F25+G25</f>
        <v>0</v>
      </c>
      <c r="I25" s="1130" t="s">
        <v>1030</v>
      </c>
    </row>
    <row r="26" spans="1:9" s="1097" customFormat="1" outlineLevel="1" x14ac:dyDescent="0.2">
      <c r="A26" s="1115" t="s">
        <v>96</v>
      </c>
      <c r="B26" s="1116" t="s">
        <v>745</v>
      </c>
      <c r="C26" s="1117"/>
      <c r="D26" s="1118"/>
      <c r="E26" s="1110"/>
      <c r="F26" s="1108"/>
      <c r="G26" s="1108"/>
      <c r="H26" s="1108"/>
      <c r="I26" s="1119"/>
    </row>
    <row r="27" spans="1:9" s="1114" customFormat="1" ht="33.75" outlineLevel="2" x14ac:dyDescent="0.2">
      <c r="A27" s="1124"/>
      <c r="B27" s="1125" t="s">
        <v>1014</v>
      </c>
      <c r="C27" s="1131" t="s">
        <v>990</v>
      </c>
      <c r="D27" s="1132" t="s">
        <v>1015</v>
      </c>
      <c r="E27" s="1122" t="str">
        <f>IFERROR(+F27/($F$54+'POSEBNE STORITVE'!$F$89),"%")</f>
        <v>%</v>
      </c>
      <c r="F27" s="1133">
        <f>SUM(F28:F30)</f>
        <v>0</v>
      </c>
      <c r="G27" s="1133">
        <f>+F27*0.22</f>
        <v>0</v>
      </c>
      <c r="H27" s="1133">
        <f>+F27+G27</f>
        <v>0</v>
      </c>
      <c r="I27" s="1123" t="s">
        <v>1031</v>
      </c>
    </row>
    <row r="28" spans="1:9" s="1114" customFormat="1" ht="33.75" outlineLevel="2" x14ac:dyDescent="0.2">
      <c r="A28" s="1134"/>
      <c r="B28" s="1135" t="s">
        <v>999</v>
      </c>
      <c r="C28" s="1136" t="s">
        <v>990</v>
      </c>
      <c r="D28" s="1137" t="s">
        <v>1000</v>
      </c>
      <c r="E28" s="1136" t="str">
        <f>IFERROR(+F28/($F$54+'POSEBNE STORITVE'!$F$89),"%")</f>
        <v>%</v>
      </c>
      <c r="F28" s="1138">
        <v>0</v>
      </c>
      <c r="G28" s="1138">
        <f>+F28*0.22</f>
        <v>0</v>
      </c>
      <c r="H28" s="1138">
        <f>+F28+G28</f>
        <v>0</v>
      </c>
      <c r="I28" s="1139" t="s">
        <v>1032</v>
      </c>
    </row>
    <row r="29" spans="1:9" s="1114" customFormat="1" ht="33.75" outlineLevel="2" x14ac:dyDescent="0.2">
      <c r="A29" s="1134"/>
      <c r="B29" s="1135" t="s">
        <v>1001</v>
      </c>
      <c r="C29" s="1136" t="s">
        <v>990</v>
      </c>
      <c r="D29" s="1137" t="s">
        <v>1000</v>
      </c>
      <c r="E29" s="1136" t="str">
        <f>IFERROR(+F29/($F$54+'POSEBNE STORITVE'!$F$89),"%")</f>
        <v>%</v>
      </c>
      <c r="F29" s="1138">
        <v>0</v>
      </c>
      <c r="G29" s="1138">
        <f>+F29*0.22</f>
        <v>0</v>
      </c>
      <c r="H29" s="1138">
        <f>+F29+G29</f>
        <v>0</v>
      </c>
      <c r="I29" s="1139" t="s">
        <v>1032</v>
      </c>
    </row>
    <row r="30" spans="1:9" s="1114" customFormat="1" ht="33.75" outlineLevel="2" x14ac:dyDescent="0.2">
      <c r="A30" s="1134"/>
      <c r="B30" s="1135" t="s">
        <v>1002</v>
      </c>
      <c r="C30" s="1140" t="s">
        <v>990</v>
      </c>
      <c r="D30" s="1141" t="s">
        <v>1000</v>
      </c>
      <c r="E30" s="1140" t="str">
        <f>IFERROR(+F30/($F$54+'POSEBNE STORITVE'!$F$89),"%")</f>
        <v>%</v>
      </c>
      <c r="F30" s="1142">
        <v>0</v>
      </c>
      <c r="G30" s="1142">
        <f>+F30*0.22</f>
        <v>0</v>
      </c>
      <c r="H30" s="1142">
        <f>+F30+G30</f>
        <v>0</v>
      </c>
      <c r="I30" s="1143" t="s">
        <v>1032</v>
      </c>
    </row>
    <row r="31" spans="1:9" s="1097" customFormat="1" outlineLevel="1" x14ac:dyDescent="0.2">
      <c r="A31" s="1115" t="s">
        <v>97</v>
      </c>
      <c r="B31" s="1116" t="s">
        <v>845</v>
      </c>
      <c r="C31" s="1117"/>
      <c r="D31" s="1118"/>
      <c r="E31" s="1110"/>
      <c r="F31" s="1108"/>
      <c r="G31" s="1108"/>
      <c r="H31" s="1108"/>
      <c r="I31" s="1119"/>
    </row>
    <row r="32" spans="1:9" s="1114" customFormat="1" ht="33.75" outlineLevel="2" x14ac:dyDescent="0.2">
      <c r="A32" s="1124"/>
      <c r="B32" s="1125" t="s">
        <v>1016</v>
      </c>
      <c r="C32" s="1131" t="s">
        <v>990</v>
      </c>
      <c r="D32" s="1132" t="s">
        <v>1003</v>
      </c>
      <c r="E32" s="1144" t="str">
        <f>IFERROR(+F32/($F$54+'POSEBNE STORITVE'!$F$89),"%")</f>
        <v>%</v>
      </c>
      <c r="F32" s="1133">
        <v>0</v>
      </c>
      <c r="G32" s="1133">
        <f>+F32*0.22</f>
        <v>0</v>
      </c>
      <c r="H32" s="1133">
        <f>+F32+G32</f>
        <v>0</v>
      </c>
      <c r="I32" s="1123" t="s">
        <v>1033</v>
      </c>
    </row>
    <row r="33" spans="1:9" s="1114" customFormat="1" ht="22.5" outlineLevel="2" x14ac:dyDescent="0.2">
      <c r="A33" s="1134"/>
      <c r="B33" s="1135" t="s">
        <v>1004</v>
      </c>
      <c r="C33" s="1136" t="s">
        <v>990</v>
      </c>
      <c r="D33" s="1137" t="s">
        <v>1000</v>
      </c>
      <c r="E33" s="1136" t="str">
        <f>IFERROR(+F33/($F$54+'POSEBNE STORITVE'!$F$89),"%")</f>
        <v>%</v>
      </c>
      <c r="F33" s="1138">
        <v>0</v>
      </c>
      <c r="G33" s="1138">
        <f t="shared" ref="G33:G35" si="0">+F33*0.22</f>
        <v>0</v>
      </c>
      <c r="H33" s="1138">
        <f t="shared" ref="H33:H35" si="1">+F33+G33</f>
        <v>0</v>
      </c>
      <c r="I33" s="1139" t="s">
        <v>1032</v>
      </c>
    </row>
    <row r="34" spans="1:9" s="1114" customFormat="1" ht="22.5" outlineLevel="2" x14ac:dyDescent="0.2">
      <c r="A34" s="1134"/>
      <c r="B34" s="1135" t="s">
        <v>1005</v>
      </c>
      <c r="C34" s="1136" t="s">
        <v>990</v>
      </c>
      <c r="D34" s="1137" t="s">
        <v>1000</v>
      </c>
      <c r="E34" s="1136" t="str">
        <f>IFERROR(+F34/($F$54+'POSEBNE STORITVE'!$F$89),"%")</f>
        <v>%</v>
      </c>
      <c r="F34" s="1138">
        <v>0</v>
      </c>
      <c r="G34" s="1138">
        <f t="shared" si="0"/>
        <v>0</v>
      </c>
      <c r="H34" s="1138">
        <f t="shared" si="1"/>
        <v>0</v>
      </c>
      <c r="I34" s="1139" t="s">
        <v>1032</v>
      </c>
    </row>
    <row r="35" spans="1:9" s="1114" customFormat="1" ht="22.5" outlineLevel="2" x14ac:dyDescent="0.2">
      <c r="A35" s="1134"/>
      <c r="B35" s="1135" t="s">
        <v>1006</v>
      </c>
      <c r="C35" s="1136" t="s">
        <v>990</v>
      </c>
      <c r="D35" s="1137" t="s">
        <v>1000</v>
      </c>
      <c r="E35" s="1136" t="str">
        <f>IFERROR(+F35/($F$54+'POSEBNE STORITVE'!$F$89),"%")</f>
        <v>%</v>
      </c>
      <c r="F35" s="1138">
        <v>0</v>
      </c>
      <c r="G35" s="1138">
        <f t="shared" si="0"/>
        <v>0</v>
      </c>
      <c r="H35" s="1138">
        <f t="shared" si="1"/>
        <v>0</v>
      </c>
      <c r="I35" s="1143" t="s">
        <v>1032</v>
      </c>
    </row>
    <row r="36" spans="1:9" s="1097" customFormat="1" x14ac:dyDescent="0.2">
      <c r="A36" s="1145" t="s">
        <v>39</v>
      </c>
      <c r="B36" s="1146" t="s">
        <v>1007</v>
      </c>
      <c r="C36" s="1094"/>
      <c r="D36" s="1095"/>
      <c r="E36" s="1096"/>
      <c r="F36" s="1094"/>
      <c r="G36" s="1094"/>
      <c r="H36" s="1094"/>
      <c r="I36" s="1096"/>
    </row>
    <row r="37" spans="1:9" s="1091" customFormat="1" ht="22.5" outlineLevel="1" x14ac:dyDescent="0.2">
      <c r="A37" s="1115" t="s">
        <v>40</v>
      </c>
      <c r="B37" s="1147" t="s">
        <v>846</v>
      </c>
      <c r="C37" s="1086" t="s">
        <v>990</v>
      </c>
      <c r="D37" s="1087" t="s">
        <v>1008</v>
      </c>
      <c r="E37" s="1088" t="str">
        <f>IFERROR(+F37/($F$54+'POSEBNE STORITVE'!$F$89),"%")</f>
        <v>%</v>
      </c>
      <c r="F37" s="1089">
        <v>0</v>
      </c>
      <c r="G37" s="1089">
        <f>+F37*0.22</f>
        <v>0</v>
      </c>
      <c r="H37" s="1089">
        <f>+F37+G37</f>
        <v>0</v>
      </c>
      <c r="I37" s="1090" t="s">
        <v>1032</v>
      </c>
    </row>
    <row r="38" spans="1:9" s="1091" customFormat="1" ht="22.5" outlineLevel="1" x14ac:dyDescent="0.2">
      <c r="A38" s="1148" t="s">
        <v>41</v>
      </c>
      <c r="B38" s="1149" t="s">
        <v>202</v>
      </c>
      <c r="C38" s="1150" t="s">
        <v>990</v>
      </c>
      <c r="D38" s="1087" t="s">
        <v>1008</v>
      </c>
      <c r="E38" s="1088" t="str">
        <f>IFERROR(+F38/($F$54+'POSEBNE STORITVE'!$F$89),"%")</f>
        <v>%</v>
      </c>
      <c r="F38" s="1151">
        <v>0</v>
      </c>
      <c r="G38" s="1151">
        <f>+F38*0.22</f>
        <v>0</v>
      </c>
      <c r="H38" s="1151">
        <f>+F38+G38</f>
        <v>0</v>
      </c>
      <c r="I38" s="1090" t="s">
        <v>1032</v>
      </c>
    </row>
    <row r="39" spans="1:9" s="1097" customFormat="1" x14ac:dyDescent="0.2">
      <c r="A39" s="1152">
        <v>4</v>
      </c>
      <c r="B39" s="1093" t="s">
        <v>60</v>
      </c>
      <c r="C39" s="1094"/>
      <c r="D39" s="1095"/>
      <c r="E39" s="1096"/>
      <c r="F39" s="1094"/>
      <c r="G39" s="1094"/>
      <c r="H39" s="1094"/>
      <c r="I39" s="1096"/>
    </row>
    <row r="40" spans="1:9" s="1091" customFormat="1" ht="33.75" outlineLevel="1" x14ac:dyDescent="0.2">
      <c r="A40" s="1115" t="s">
        <v>42</v>
      </c>
      <c r="B40" s="1147" t="s">
        <v>203</v>
      </c>
      <c r="C40" s="1108"/>
      <c r="D40" s="1087" t="s">
        <v>1017</v>
      </c>
      <c r="E40" s="1110"/>
      <c r="F40" s="1108"/>
      <c r="G40" s="1108"/>
      <c r="H40" s="1108"/>
      <c r="I40" s="1111" t="s">
        <v>1034</v>
      </c>
    </row>
    <row r="41" spans="1:9" s="1091" customFormat="1" ht="56.25" outlineLevel="1" x14ac:dyDescent="0.2">
      <c r="A41" s="1115" t="s">
        <v>43</v>
      </c>
      <c r="B41" s="1147" t="s">
        <v>865</v>
      </c>
      <c r="C41" s="1086"/>
      <c r="D41" s="1087" t="s">
        <v>1121</v>
      </c>
      <c r="E41" s="1120" t="str">
        <f>IFERROR(+F41/$F$54,"%")</f>
        <v>%</v>
      </c>
      <c r="F41" s="1089">
        <v>0</v>
      </c>
      <c r="G41" s="1089">
        <f>+F41*0.22</f>
        <v>0</v>
      </c>
      <c r="H41" s="1089">
        <f>+F41+G41</f>
        <v>0</v>
      </c>
      <c r="I41" s="1090" t="s">
        <v>1035</v>
      </c>
    </row>
    <row r="42" spans="1:9" s="1091" customFormat="1" ht="45" outlineLevel="1" x14ac:dyDescent="0.2">
      <c r="A42" s="1115" t="s">
        <v>44</v>
      </c>
      <c r="B42" s="1147" t="s">
        <v>963</v>
      </c>
      <c r="C42" s="1086"/>
      <c r="D42" s="1087" t="s">
        <v>1048</v>
      </c>
      <c r="E42" s="1120" t="str">
        <f>IFERROR(+F42/$F$54,"%")</f>
        <v>%</v>
      </c>
      <c r="F42" s="1089">
        <v>0</v>
      </c>
      <c r="G42" s="1089">
        <f>+F42*0.22</f>
        <v>0</v>
      </c>
      <c r="H42" s="1089">
        <f>+F42+G42</f>
        <v>0</v>
      </c>
      <c r="I42" s="1090" t="s">
        <v>1035</v>
      </c>
    </row>
    <row r="43" spans="1:9" s="1091" customFormat="1" ht="56.25" outlineLevel="1" x14ac:dyDescent="0.2">
      <c r="A43" s="1115" t="s">
        <v>45</v>
      </c>
      <c r="B43" s="1147" t="s">
        <v>866</v>
      </c>
      <c r="C43" s="1086"/>
      <c r="D43" s="1087" t="s">
        <v>1049</v>
      </c>
      <c r="E43" s="1120" t="str">
        <f>IFERROR(+F43/$F$54,"%")</f>
        <v>%</v>
      </c>
      <c r="F43" s="1089">
        <v>0</v>
      </c>
      <c r="G43" s="1089">
        <f>+F43*0.22</f>
        <v>0</v>
      </c>
      <c r="H43" s="1089">
        <f>+F43+G43</f>
        <v>0</v>
      </c>
      <c r="I43" s="1090" t="s">
        <v>1035</v>
      </c>
    </row>
    <row r="44" spans="1:9" s="1091" customFormat="1" ht="12.75" outlineLevel="1" x14ac:dyDescent="0.2">
      <c r="A44" s="1115" t="s">
        <v>46</v>
      </c>
      <c r="B44" s="1153" t="s">
        <v>847</v>
      </c>
      <c r="C44" s="1086"/>
      <c r="D44" s="1087"/>
      <c r="E44" s="1120"/>
      <c r="F44" s="1089"/>
      <c r="G44" s="1089"/>
      <c r="H44" s="1089"/>
      <c r="I44" s="1090"/>
    </row>
    <row r="45" spans="1:9" s="1114" customFormat="1" ht="45" outlineLevel="2" x14ac:dyDescent="0.2">
      <c r="A45" s="1154"/>
      <c r="B45" s="1155" t="s">
        <v>1010</v>
      </c>
      <c r="C45" s="1156" t="s">
        <v>990</v>
      </c>
      <c r="D45" s="1157" t="s">
        <v>1018</v>
      </c>
      <c r="E45" s="1158" t="str">
        <f>IFERROR(+F45/$F$54,"%")</f>
        <v>%</v>
      </c>
      <c r="F45" s="1159">
        <v>0</v>
      </c>
      <c r="G45" s="1159">
        <f>+F45*0.22</f>
        <v>0</v>
      </c>
      <c r="H45" s="1159">
        <f>+F45+G45</f>
        <v>0</v>
      </c>
      <c r="I45" s="1160" t="s">
        <v>1036</v>
      </c>
    </row>
    <row r="46" spans="1:9" s="1097" customFormat="1" x14ac:dyDescent="0.2">
      <c r="A46" s="1161">
        <v>5</v>
      </c>
      <c r="B46" s="1162" t="s">
        <v>47</v>
      </c>
      <c r="C46" s="1163"/>
      <c r="D46" s="1164"/>
      <c r="E46" s="1165"/>
      <c r="F46" s="1163"/>
      <c r="G46" s="1163"/>
      <c r="H46" s="1163"/>
      <c r="I46" s="1165"/>
    </row>
    <row r="47" spans="1:9" s="1091" customFormat="1" ht="33.75" outlineLevel="1" x14ac:dyDescent="0.2">
      <c r="A47" s="1115" t="s">
        <v>48</v>
      </c>
      <c r="B47" s="1166" t="s">
        <v>205</v>
      </c>
      <c r="C47" s="1086" t="s">
        <v>990</v>
      </c>
      <c r="D47" s="1087" t="s">
        <v>1020</v>
      </c>
      <c r="E47" s="1120" t="str">
        <f>IFERROR(+F47/$F$54,"%")</f>
        <v>%</v>
      </c>
      <c r="F47" s="1089">
        <v>0</v>
      </c>
      <c r="G47" s="1089">
        <f>+F47*0.22</f>
        <v>0</v>
      </c>
      <c r="H47" s="1089">
        <f>+F47+G47</f>
        <v>0</v>
      </c>
      <c r="I47" s="1090" t="s">
        <v>1037</v>
      </c>
    </row>
    <row r="48" spans="1:9" s="1091" customFormat="1" ht="33.75" outlineLevel="1" x14ac:dyDescent="0.2">
      <c r="A48" s="1167" t="s">
        <v>49</v>
      </c>
      <c r="B48" s="1168" t="s">
        <v>206</v>
      </c>
      <c r="C48" s="1156" t="s">
        <v>990</v>
      </c>
      <c r="D48" s="1157" t="s">
        <v>1020</v>
      </c>
      <c r="E48" s="1158" t="str">
        <f>IFERROR(+F48/$F$54,"%")</f>
        <v>%</v>
      </c>
      <c r="F48" s="1159">
        <v>0</v>
      </c>
      <c r="G48" s="1159">
        <f>+F48*0.22</f>
        <v>0</v>
      </c>
      <c r="H48" s="1159">
        <f>+F48+G48</f>
        <v>0</v>
      </c>
      <c r="I48" s="1160" t="s">
        <v>1037</v>
      </c>
    </row>
    <row r="49" spans="1:14" s="1083" customFormat="1" x14ac:dyDescent="0.2">
      <c r="A49" s="1169">
        <v>6</v>
      </c>
      <c r="B49" s="1170" t="s">
        <v>50</v>
      </c>
      <c r="C49" s="1163"/>
      <c r="D49" s="1164"/>
      <c r="E49" s="1165"/>
      <c r="F49" s="1171"/>
      <c r="G49" s="1171"/>
      <c r="H49" s="1171"/>
      <c r="I49" s="1130"/>
    </row>
    <row r="50" spans="1:14" s="1091" customFormat="1" ht="33.75" x14ac:dyDescent="0.2">
      <c r="A50" s="1172" t="s">
        <v>54</v>
      </c>
      <c r="B50" s="1173" t="s">
        <v>207</v>
      </c>
      <c r="C50" s="1086" t="s">
        <v>990</v>
      </c>
      <c r="D50" s="1164" t="s">
        <v>1050</v>
      </c>
      <c r="E50" s="1120" t="str">
        <f>IFERROR(+F50/$F$54,"%")</f>
        <v>%</v>
      </c>
      <c r="F50" s="1089">
        <v>0</v>
      </c>
      <c r="G50" s="1089">
        <f>+F50*0.22</f>
        <v>0</v>
      </c>
      <c r="H50" s="1089">
        <f>+F50+G50</f>
        <v>0</v>
      </c>
      <c r="I50" s="1090" t="s">
        <v>1032</v>
      </c>
    </row>
    <row r="51" spans="1:14" s="1091" customFormat="1" ht="33.75" x14ac:dyDescent="0.2">
      <c r="A51" s="1115" t="s">
        <v>55</v>
      </c>
      <c r="B51" s="1166" t="s">
        <v>208</v>
      </c>
      <c r="C51" s="1086" t="s">
        <v>990</v>
      </c>
      <c r="D51" s="1087" t="s">
        <v>1051</v>
      </c>
      <c r="E51" s="1120" t="str">
        <f>IFERROR(+F51/$F$54,"%")</f>
        <v>%</v>
      </c>
      <c r="F51" s="1089">
        <v>0</v>
      </c>
      <c r="G51" s="1089">
        <f>+F51*0.22</f>
        <v>0</v>
      </c>
      <c r="H51" s="1089">
        <f>+F51+G51</f>
        <v>0</v>
      </c>
      <c r="I51" s="1090" t="s">
        <v>1032</v>
      </c>
    </row>
    <row r="52" spans="1:14" s="1091" customFormat="1" ht="22.5" x14ac:dyDescent="0.2">
      <c r="A52" s="1115" t="s">
        <v>56</v>
      </c>
      <c r="B52" s="1166" t="s">
        <v>209</v>
      </c>
      <c r="C52" s="1086" t="s">
        <v>990</v>
      </c>
      <c r="D52" s="1087" t="s">
        <v>991</v>
      </c>
      <c r="E52" s="1120" t="str">
        <f>IFERROR(+F52/$F$54,"%")</f>
        <v>%</v>
      </c>
      <c r="F52" s="1089">
        <v>0</v>
      </c>
      <c r="G52" s="1089">
        <f>+F52*0.22</f>
        <v>0</v>
      </c>
      <c r="H52" s="1089">
        <f>+F52+G52</f>
        <v>0</v>
      </c>
      <c r="I52" s="1090" t="s">
        <v>1032</v>
      </c>
    </row>
    <row r="53" spans="1:14" s="1179" customFormat="1" x14ac:dyDescent="0.2">
      <c r="A53" s="1174"/>
      <c r="B53" s="1175"/>
      <c r="C53" s="1176"/>
      <c r="D53" s="1177"/>
      <c r="E53" s="1178"/>
      <c r="F53" s="1176"/>
      <c r="G53" s="1176"/>
      <c r="H53" s="1176"/>
      <c r="I53" s="1177"/>
    </row>
    <row r="54" spans="1:14" s="1179" customFormat="1" ht="22.5" x14ac:dyDescent="0.2">
      <c r="A54" s="1180"/>
      <c r="B54" s="1181" t="s">
        <v>201</v>
      </c>
      <c r="C54" s="1182"/>
      <c r="D54" s="1183"/>
      <c r="E54" s="1184">
        <f>SUM(E12:E53)</f>
        <v>0</v>
      </c>
      <c r="F54" s="1182">
        <f>SUM(F12:F53)</f>
        <v>0</v>
      </c>
      <c r="G54" s="1182">
        <f>SUM(G12:G53)</f>
        <v>0</v>
      </c>
      <c r="H54" s="1182">
        <f>SUM(H12:H53)</f>
        <v>0</v>
      </c>
      <c r="I54" s="1183"/>
    </row>
    <row r="55" spans="1:14" s="1179" customFormat="1" x14ac:dyDescent="0.2">
      <c r="A55" s="1185"/>
      <c r="B55" s="1186" t="s">
        <v>746</v>
      </c>
      <c r="C55" s="1187"/>
      <c r="D55" s="1188"/>
      <c r="E55" s="1188"/>
      <c r="F55" s="1187" t="str">
        <f>IFERROR(F54/'OSNOVNI PODATKI'!$E$368,"")</f>
        <v/>
      </c>
      <c r="G55" s="1187" t="str">
        <f>IFERROR(G54/'OSNOVNI PODATKI'!$E$368,"")</f>
        <v/>
      </c>
      <c r="H55" s="1187" t="str">
        <f>IFERROR(H54/'OSNOVNI PODATKI'!$E$368,"")</f>
        <v/>
      </c>
      <c r="I55" s="1188"/>
    </row>
    <row r="56" spans="1:14" s="1179" customFormat="1" x14ac:dyDescent="0.2">
      <c r="A56" s="1189"/>
      <c r="B56" s="1190"/>
      <c r="C56" s="1191"/>
      <c r="D56" s="1192"/>
      <c r="E56" s="1192"/>
      <c r="F56" s="1191"/>
      <c r="G56" s="1191"/>
      <c r="H56" s="1191"/>
      <c r="I56" s="1192"/>
    </row>
    <row r="57" spans="1:14" s="1179" customFormat="1" x14ac:dyDescent="0.2">
      <c r="A57" s="1189"/>
      <c r="B57" s="1190"/>
      <c r="C57" s="1193"/>
      <c r="D57" s="1190"/>
      <c r="E57" s="1190"/>
      <c r="F57" s="1193"/>
      <c r="G57" s="1193"/>
      <c r="H57" s="1193"/>
      <c r="I57" s="1190"/>
    </row>
    <row r="59" spans="1:14" s="1056" customFormat="1" ht="15.75" x14ac:dyDescent="0.25">
      <c r="B59" s="1057"/>
      <c r="D59" s="1057"/>
      <c r="E59" s="1057"/>
      <c r="I59" s="1057"/>
    </row>
    <row r="60" spans="1:14" x14ac:dyDescent="0.25">
      <c r="C60" s="1196"/>
      <c r="D60" s="1197"/>
      <c r="E60" s="1197"/>
      <c r="F60" s="1196"/>
      <c r="G60" s="1196"/>
      <c r="H60" s="1196"/>
      <c r="I60" s="1197"/>
      <c r="J60" s="1196"/>
      <c r="N60" s="1198"/>
    </row>
    <row r="61" spans="1:14" x14ac:dyDescent="0.25">
      <c r="C61" s="1196"/>
      <c r="D61" s="1197"/>
      <c r="E61" s="1197"/>
      <c r="F61" s="1196"/>
      <c r="G61" s="1196"/>
      <c r="H61" s="1196"/>
      <c r="I61" s="1197"/>
      <c r="J61" s="1196"/>
      <c r="N61" s="1198"/>
    </row>
    <row r="62" spans="1:14" x14ac:dyDescent="0.25">
      <c r="C62" s="1196"/>
      <c r="D62" s="1197"/>
      <c r="E62" s="1197"/>
      <c r="F62" s="1196"/>
      <c r="G62" s="1196"/>
      <c r="H62" s="1196"/>
      <c r="I62" s="1197"/>
      <c r="J62" s="1196"/>
      <c r="N62" s="1198"/>
    </row>
    <row r="63" spans="1:14" x14ac:dyDescent="0.25">
      <c r="C63" s="1196"/>
      <c r="D63" s="1197"/>
      <c r="E63" s="1197"/>
      <c r="F63" s="1196"/>
      <c r="G63" s="1196"/>
      <c r="H63" s="1196"/>
      <c r="I63" s="1197"/>
      <c r="J63" s="1196"/>
      <c r="N63" s="1198"/>
    </row>
    <row r="64" spans="1:14" x14ac:dyDescent="0.25">
      <c r="C64" s="1196"/>
      <c r="D64" s="1197"/>
      <c r="E64" s="1197"/>
      <c r="F64" s="1196"/>
      <c r="G64" s="1196"/>
      <c r="H64" s="1196"/>
      <c r="I64" s="1197"/>
      <c r="J64" s="1196"/>
      <c r="N64" s="1198"/>
    </row>
  </sheetData>
  <mergeCells count="1">
    <mergeCell ref="C10:D10"/>
  </mergeCells>
  <pageMargins left="0.39370078740157483" right="0.39370078740157483" top="0.98425196850393704" bottom="0.39370078740157483" header="0.31496062992125984" footer="0.31496062992125984"/>
  <pageSetup paperSize="9" fitToHeight="0" orientation="landscape" r:id="rId1"/>
  <ignoredErrors>
    <ignoredError sqref="C1:D5"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E7391-524F-4BA3-BC74-D59A432DDF1C}">
  <sheetPr codeName="Sheet8">
    <tabColor rgb="FF00B0F0"/>
    <outlinePr summaryBelow="0"/>
  </sheetPr>
  <dimension ref="A1:M98"/>
  <sheetViews>
    <sheetView showGridLines="0" topLeftCell="A16" workbookViewId="0">
      <selection activeCell="D95" sqref="D95"/>
    </sheetView>
    <sheetView workbookViewId="1"/>
  </sheetViews>
  <sheetFormatPr defaultColWidth="9.140625" defaultRowHeight="14.25" outlineLevelRow="2" x14ac:dyDescent="0.25"/>
  <cols>
    <col min="1" max="1" width="10.7109375" style="1194" customWidth="1"/>
    <col min="2" max="2" width="20.7109375" style="1195" customWidth="1"/>
    <col min="3" max="3" width="4.28515625" style="1077" customWidth="1"/>
    <col min="4" max="4" width="28.7109375" style="1195" customWidth="1"/>
    <col min="5" max="5" width="9.85546875" style="1195" customWidth="1"/>
    <col min="6" max="8" width="12" style="1077" customWidth="1"/>
    <col min="9" max="9" width="30.7109375" style="1077" customWidth="1"/>
    <col min="10" max="12" width="8.7109375" style="1077" customWidth="1"/>
    <col min="13" max="14" width="12.28515625" style="1077" customWidth="1"/>
    <col min="15" max="15" width="8.7109375" style="1077" customWidth="1"/>
    <col min="16" max="16384" width="9.140625" style="1077"/>
  </cols>
  <sheetData>
    <row r="1" spans="1:9" s="1046" customFormat="1" ht="18" customHeight="1" x14ac:dyDescent="0.2">
      <c r="B1" s="1199"/>
      <c r="C1" s="1048" t="str">
        <f>'OSNOVNI PODATKI'!D1</f>
        <v>NAROČNIK</v>
      </c>
      <c r="D1" s="1053">
        <f>IFERROR('OSNOVNI PODATKI'!E1,"")</f>
        <v>0</v>
      </c>
      <c r="E1" s="1049"/>
      <c r="F1" s="1049"/>
    </row>
    <row r="2" spans="1:9" s="1051" customFormat="1" ht="18" customHeight="1" x14ac:dyDescent="0.3">
      <c r="B2" s="1199"/>
      <c r="C2" s="1048"/>
      <c r="D2" s="1053">
        <f>IFERROR('OSNOVNI PODATKI'!E2,"")</f>
        <v>0</v>
      </c>
      <c r="E2" s="1053"/>
      <c r="F2" s="1053"/>
    </row>
    <row r="3" spans="1:9" s="1046" customFormat="1" ht="18.75" x14ac:dyDescent="0.3">
      <c r="A3" s="1051"/>
      <c r="B3" s="1200"/>
      <c r="C3" s="1048" t="str">
        <f>'OSNOVNI PODATKI'!D3</f>
        <v>PROJEKTANT</v>
      </c>
      <c r="D3" s="1053">
        <f>IFERROR('OSNOVNI PODATKI'!E3,"")</f>
        <v>0</v>
      </c>
      <c r="E3" s="1049"/>
      <c r="F3" s="1049"/>
      <c r="G3" s="1056"/>
      <c r="H3" s="1056"/>
    </row>
    <row r="4" spans="1:9" s="1056" customFormat="1" ht="26.25" customHeight="1" x14ac:dyDescent="0.25">
      <c r="B4" s="1199"/>
      <c r="C4" s="1048" t="str">
        <f>'OSNOVNI PODATKI'!D4</f>
        <v>GRADNJA</v>
      </c>
      <c r="D4" s="1053">
        <f>IFERROR('OSNOVNI PODATKI'!E4,"")</f>
        <v>0</v>
      </c>
      <c r="E4" s="1049"/>
      <c r="F4" s="1049"/>
    </row>
    <row r="5" spans="1:9" s="1046" customFormat="1" ht="12.75" x14ac:dyDescent="0.2">
      <c r="A5" s="1058"/>
      <c r="B5" s="1199"/>
      <c r="C5" s="1060" t="str">
        <f>'OSNOVNI PODATKI'!D5</f>
        <v>DATUM</v>
      </c>
      <c r="D5" s="1061">
        <f ca="1">'OSNOVNI PODATKI'!E5</f>
        <v>45125</v>
      </c>
      <c r="E5" s="1061"/>
      <c r="F5" s="1061"/>
    </row>
    <row r="6" spans="1:9" s="1046" customFormat="1" ht="18.75" x14ac:dyDescent="0.3">
      <c r="A6" s="1063"/>
      <c r="B6" s="1064"/>
      <c r="C6" s="1051"/>
      <c r="D6" s="1052"/>
      <c r="E6" s="1052"/>
      <c r="F6" s="1051"/>
      <c r="G6" s="1051"/>
      <c r="H6" s="1051"/>
    </row>
    <row r="7" spans="1:9" s="1056" customFormat="1" ht="15.75" x14ac:dyDescent="0.25">
      <c r="B7" s="1057"/>
      <c r="D7" s="1057"/>
      <c r="E7" s="1057"/>
    </row>
    <row r="8" spans="1:9" s="1067" customFormat="1" ht="26.25" x14ac:dyDescent="0.2">
      <c r="A8" s="1065" t="s">
        <v>1038</v>
      </c>
      <c r="B8" s="1066"/>
      <c r="D8" s="1068"/>
      <c r="E8" s="1068"/>
    </row>
    <row r="9" spans="1:9" s="1056" customFormat="1" ht="15.75" x14ac:dyDescent="0.25">
      <c r="A9" s="1069"/>
      <c r="B9" s="1070"/>
      <c r="C9" s="1071"/>
      <c r="D9" s="1072"/>
      <c r="E9" s="1072"/>
      <c r="F9" s="1071"/>
      <c r="G9" s="1071"/>
      <c r="H9" s="1071"/>
    </row>
    <row r="10" spans="1:9" ht="23.25" x14ac:dyDescent="0.25">
      <c r="A10" s="1073"/>
      <c r="B10" s="1074"/>
      <c r="C10" s="1334" t="s">
        <v>985</v>
      </c>
      <c r="D10" s="1334"/>
      <c r="E10" s="1075" t="s">
        <v>986</v>
      </c>
      <c r="F10" s="1075" t="s">
        <v>987</v>
      </c>
      <c r="G10" s="1075" t="s">
        <v>210</v>
      </c>
      <c r="H10" s="1075" t="s">
        <v>989</v>
      </c>
      <c r="I10" s="1076" t="s">
        <v>988</v>
      </c>
    </row>
    <row r="11" spans="1:9" s="1083" customFormat="1" x14ac:dyDescent="0.2">
      <c r="A11" s="1078" t="s">
        <v>29</v>
      </c>
      <c r="B11" s="1079" t="s">
        <v>30</v>
      </c>
      <c r="C11" s="1080"/>
      <c r="D11" s="1081"/>
      <c r="E11" s="1081"/>
      <c r="F11" s="1082"/>
      <c r="G11" s="1082"/>
      <c r="H11" s="1082"/>
      <c r="I11" s="1081"/>
    </row>
    <row r="12" spans="1:9" s="1091" customFormat="1" ht="12.75" x14ac:dyDescent="0.2">
      <c r="A12" s="1084" t="s">
        <v>31</v>
      </c>
      <c r="B12" s="1085" t="s">
        <v>65</v>
      </c>
      <c r="C12" s="1201"/>
      <c r="D12" s="1147"/>
      <c r="E12" s="1202"/>
      <c r="F12" s="1153"/>
      <c r="G12" s="1153"/>
      <c r="H12" s="1153"/>
      <c r="I12" s="1147"/>
    </row>
    <row r="13" spans="1:9" s="1083" customFormat="1" ht="67.5" x14ac:dyDescent="0.2">
      <c r="A13" s="1203"/>
      <c r="B13" s="1113"/>
      <c r="C13" s="1204" t="s">
        <v>990</v>
      </c>
      <c r="D13" s="1205" t="s">
        <v>1000</v>
      </c>
      <c r="E13" s="1205" t="str">
        <f>IFERROR(+F13/('OSNOVNE STORITVE'!$E$54+$F$89),"%")</f>
        <v>%</v>
      </c>
      <c r="F13" s="1206">
        <v>0</v>
      </c>
      <c r="G13" s="1206">
        <f t="shared" ref="G13:G17" si="0">+F13*0.22</f>
        <v>0</v>
      </c>
      <c r="H13" s="1206">
        <f t="shared" ref="H13:H14" si="1">+F13+G13</f>
        <v>0</v>
      </c>
      <c r="I13" s="1090" t="s">
        <v>1052</v>
      </c>
    </row>
    <row r="14" spans="1:9" s="1083" customFormat="1" x14ac:dyDescent="0.2">
      <c r="A14" s="1203"/>
      <c r="B14" s="1207"/>
      <c r="C14" s="1208" t="s">
        <v>990</v>
      </c>
      <c r="D14" s="1209" t="s">
        <v>1000</v>
      </c>
      <c r="E14" s="1205" t="str">
        <f>IFERROR(+F14/('OSNOVNE STORITVE'!$E$54+$F$89),"%")</f>
        <v>%</v>
      </c>
      <c r="F14" s="1210">
        <v>0</v>
      </c>
      <c r="G14" s="1210">
        <f t="shared" si="0"/>
        <v>0</v>
      </c>
      <c r="H14" s="1210">
        <f t="shared" si="1"/>
        <v>0</v>
      </c>
      <c r="I14" s="1090"/>
    </row>
    <row r="15" spans="1:9" s="1091" customFormat="1" ht="22.5" x14ac:dyDescent="0.2">
      <c r="A15" s="1084" t="s">
        <v>32</v>
      </c>
      <c r="B15" s="1085" t="s">
        <v>66</v>
      </c>
      <c r="C15" s="1211"/>
      <c r="D15" s="1147"/>
      <c r="E15" s="1147"/>
      <c r="F15" s="1153"/>
      <c r="G15" s="1153"/>
      <c r="H15" s="1153"/>
      <c r="I15" s="1147"/>
    </row>
    <row r="16" spans="1:9" s="1083" customFormat="1" x14ac:dyDescent="0.2">
      <c r="A16" s="1203"/>
      <c r="B16" s="1113"/>
      <c r="C16" s="1204" t="s">
        <v>990</v>
      </c>
      <c r="D16" s="1205" t="s">
        <v>1000</v>
      </c>
      <c r="E16" s="1205" t="str">
        <f>IFERROR(+F16/('OSNOVNE STORITVE'!$E$54+$F$89),"%")</f>
        <v>%</v>
      </c>
      <c r="F16" s="1206">
        <v>0</v>
      </c>
      <c r="G16" s="1206">
        <f t="shared" si="0"/>
        <v>0</v>
      </c>
      <c r="H16" s="1206">
        <f t="shared" ref="H16:H17" si="2">+F16+G16</f>
        <v>0</v>
      </c>
      <c r="I16" s="1090"/>
    </row>
    <row r="17" spans="1:9" s="1083" customFormat="1" x14ac:dyDescent="0.2">
      <c r="A17" s="1203"/>
      <c r="B17" s="1207"/>
      <c r="C17" s="1208" t="s">
        <v>990</v>
      </c>
      <c r="D17" s="1209" t="s">
        <v>1000</v>
      </c>
      <c r="E17" s="1205" t="str">
        <f>IFERROR(+F17/('OSNOVNE STORITVE'!$E$54+$F$89),"%")</f>
        <v>%</v>
      </c>
      <c r="F17" s="1210">
        <v>0</v>
      </c>
      <c r="G17" s="1210">
        <f t="shared" si="0"/>
        <v>0</v>
      </c>
      <c r="H17" s="1210">
        <f t="shared" si="2"/>
        <v>0</v>
      </c>
      <c r="I17" s="1090"/>
    </row>
    <row r="18" spans="1:9" s="1097" customFormat="1" x14ac:dyDescent="0.2">
      <c r="A18" s="1212" t="s">
        <v>33</v>
      </c>
      <c r="B18" s="1213" t="s">
        <v>34</v>
      </c>
      <c r="C18" s="1080"/>
      <c r="D18" s="1081"/>
      <c r="E18" s="1081"/>
      <c r="F18" s="1082"/>
      <c r="G18" s="1082"/>
      <c r="H18" s="1082"/>
      <c r="I18" s="1081"/>
    </row>
    <row r="19" spans="1:9" s="1100" customFormat="1" ht="12.75" outlineLevel="1" x14ac:dyDescent="0.2">
      <c r="A19" s="1098" t="s">
        <v>35</v>
      </c>
      <c r="B19" s="1099" t="s">
        <v>67</v>
      </c>
      <c r="C19" s="1201"/>
      <c r="D19" s="1147"/>
      <c r="E19" s="1202"/>
      <c r="F19" s="1153"/>
      <c r="G19" s="1153"/>
      <c r="H19" s="1153"/>
      <c r="I19" s="1147"/>
    </row>
    <row r="20" spans="1:9" s="1083" customFormat="1" x14ac:dyDescent="0.2">
      <c r="A20" s="1203"/>
      <c r="B20" s="1113"/>
      <c r="C20" s="1204" t="s">
        <v>990</v>
      </c>
      <c r="D20" s="1205" t="s">
        <v>1000</v>
      </c>
      <c r="E20" s="1205" t="str">
        <f>IFERROR(+F20/('OSNOVNE STORITVE'!$E$54+$F$89),"%")</f>
        <v>%</v>
      </c>
      <c r="F20" s="1206">
        <v>0</v>
      </c>
      <c r="G20" s="1206">
        <f t="shared" ref="G20:G86" si="3">+F20*0.22</f>
        <v>0</v>
      </c>
      <c r="H20" s="1206">
        <f t="shared" ref="H20:H21" si="4">+F20+G20</f>
        <v>0</v>
      </c>
      <c r="I20" s="1090"/>
    </row>
    <row r="21" spans="1:9" s="1083" customFormat="1" x14ac:dyDescent="0.2">
      <c r="A21" s="1203"/>
      <c r="B21" s="1207"/>
      <c r="C21" s="1208" t="s">
        <v>990</v>
      </c>
      <c r="D21" s="1209" t="s">
        <v>1000</v>
      </c>
      <c r="E21" s="1205" t="str">
        <f>IFERROR(+F21/('OSNOVNE STORITVE'!$E$54+$F$89),"%")</f>
        <v>%</v>
      </c>
      <c r="F21" s="1210">
        <v>0</v>
      </c>
      <c r="G21" s="1210">
        <f t="shared" si="3"/>
        <v>0</v>
      </c>
      <c r="H21" s="1210">
        <f t="shared" si="4"/>
        <v>0</v>
      </c>
      <c r="I21" s="1090"/>
    </row>
    <row r="22" spans="1:9" s="1100" customFormat="1" ht="12.75" outlineLevel="1" x14ac:dyDescent="0.2">
      <c r="A22" s="1098" t="s">
        <v>36</v>
      </c>
      <c r="B22" s="1099" t="s">
        <v>68</v>
      </c>
      <c r="C22" s="1211"/>
      <c r="D22" s="1147"/>
      <c r="E22" s="1147"/>
      <c r="F22" s="1153"/>
      <c r="G22" s="1153"/>
      <c r="H22" s="1153"/>
      <c r="I22" s="1147"/>
    </row>
    <row r="23" spans="1:9" s="1083" customFormat="1" x14ac:dyDescent="0.2">
      <c r="A23" s="1203"/>
      <c r="B23" s="1113"/>
      <c r="C23" s="1204" t="s">
        <v>990</v>
      </c>
      <c r="D23" s="1205" t="s">
        <v>1000</v>
      </c>
      <c r="E23" s="1205" t="str">
        <f>IFERROR(+F23/('OSNOVNE STORITVE'!$E$54+$F$89),"%")</f>
        <v>%</v>
      </c>
      <c r="F23" s="1206">
        <v>0</v>
      </c>
      <c r="G23" s="1206">
        <f t="shared" si="3"/>
        <v>0</v>
      </c>
      <c r="H23" s="1206">
        <f t="shared" ref="H23:H86" si="5">+F23+G23</f>
        <v>0</v>
      </c>
      <c r="I23" s="1090"/>
    </row>
    <row r="24" spans="1:9" s="1083" customFormat="1" x14ac:dyDescent="0.2">
      <c r="A24" s="1203"/>
      <c r="B24" s="1207"/>
      <c r="C24" s="1208" t="s">
        <v>990</v>
      </c>
      <c r="D24" s="1209" t="s">
        <v>1000</v>
      </c>
      <c r="E24" s="1205" t="str">
        <f>IFERROR(+F24/('OSNOVNE STORITVE'!$E$54+$F$89),"%")</f>
        <v>%</v>
      </c>
      <c r="F24" s="1210">
        <v>0</v>
      </c>
      <c r="G24" s="1210">
        <f t="shared" si="3"/>
        <v>0</v>
      </c>
      <c r="H24" s="1210">
        <f t="shared" si="5"/>
        <v>0</v>
      </c>
      <c r="I24" s="1090"/>
    </row>
    <row r="25" spans="1:9" s="1100" customFormat="1" ht="12.75" outlineLevel="1" x14ac:dyDescent="0.2">
      <c r="A25" s="1098" t="s">
        <v>37</v>
      </c>
      <c r="B25" s="1099" t="s">
        <v>844</v>
      </c>
      <c r="C25" s="1211"/>
      <c r="D25" s="1147"/>
      <c r="E25" s="1205"/>
      <c r="F25" s="1153"/>
      <c r="G25" s="1153"/>
      <c r="H25" s="1153"/>
      <c r="I25" s="1147"/>
    </row>
    <row r="26" spans="1:9" s="1083" customFormat="1" x14ac:dyDescent="0.2">
      <c r="A26" s="1203"/>
      <c r="B26" s="1113"/>
      <c r="C26" s="1204" t="s">
        <v>990</v>
      </c>
      <c r="D26" s="1205" t="s">
        <v>1000</v>
      </c>
      <c r="E26" s="1205" t="str">
        <f>IFERROR(+F26/('OSNOVNE STORITVE'!$E$54+$F$89),"%")</f>
        <v>%</v>
      </c>
      <c r="F26" s="1206">
        <v>0</v>
      </c>
      <c r="G26" s="1206">
        <f t="shared" si="3"/>
        <v>0</v>
      </c>
      <c r="H26" s="1206">
        <f t="shared" si="5"/>
        <v>0</v>
      </c>
      <c r="I26" s="1090"/>
    </row>
    <row r="27" spans="1:9" s="1083" customFormat="1" x14ac:dyDescent="0.2">
      <c r="A27" s="1203"/>
      <c r="B27" s="1207"/>
      <c r="C27" s="1208" t="s">
        <v>990</v>
      </c>
      <c r="D27" s="1209" t="s">
        <v>1000</v>
      </c>
      <c r="E27" s="1205" t="str">
        <f>IFERROR(+F27/('OSNOVNE STORITVE'!$E$54+$F$89),"%")</f>
        <v>%</v>
      </c>
      <c r="F27" s="1210">
        <v>0</v>
      </c>
      <c r="G27" s="1210">
        <f t="shared" si="3"/>
        <v>0</v>
      </c>
      <c r="H27" s="1210">
        <f t="shared" si="5"/>
        <v>0</v>
      </c>
      <c r="I27" s="1090"/>
    </row>
    <row r="28" spans="1:9" s="1097" customFormat="1" x14ac:dyDescent="0.2">
      <c r="A28" s="1214">
        <v>2</v>
      </c>
      <c r="B28" s="1213" t="s">
        <v>38</v>
      </c>
      <c r="C28" s="1082"/>
      <c r="D28" s="1215"/>
      <c r="E28" s="1215"/>
      <c r="F28" s="1216"/>
      <c r="G28" s="1216"/>
      <c r="H28" s="1216"/>
      <c r="I28" s="1217"/>
    </row>
    <row r="29" spans="1:9" s="1097" customFormat="1" outlineLevel="1" x14ac:dyDescent="0.2">
      <c r="A29" s="1098" t="s">
        <v>51</v>
      </c>
      <c r="B29" s="1099" t="s">
        <v>95</v>
      </c>
      <c r="C29" s="1211"/>
      <c r="D29" s="1147"/>
      <c r="E29" s="1147"/>
      <c r="F29" s="1153"/>
      <c r="G29" s="1153"/>
      <c r="H29" s="1153"/>
      <c r="I29" s="1147"/>
    </row>
    <row r="30" spans="1:9" s="1083" customFormat="1" x14ac:dyDescent="0.2">
      <c r="A30" s="1203"/>
      <c r="B30" s="1113"/>
      <c r="C30" s="1204" t="s">
        <v>990</v>
      </c>
      <c r="D30" s="1205" t="s">
        <v>1000</v>
      </c>
      <c r="E30" s="1205" t="str">
        <f>IFERROR(+F30/('OSNOVNE STORITVE'!$E$54+$F$89),"%")</f>
        <v>%</v>
      </c>
      <c r="F30" s="1206">
        <v>0</v>
      </c>
      <c r="G30" s="1206">
        <f t="shared" si="3"/>
        <v>0</v>
      </c>
      <c r="H30" s="1206">
        <f t="shared" ref="H30:H31" si="6">+F30+G30</f>
        <v>0</v>
      </c>
      <c r="I30" s="1090"/>
    </row>
    <row r="31" spans="1:9" s="1083" customFormat="1" x14ac:dyDescent="0.2">
      <c r="A31" s="1203"/>
      <c r="B31" s="1207"/>
      <c r="C31" s="1208" t="s">
        <v>990</v>
      </c>
      <c r="D31" s="1209" t="s">
        <v>1000</v>
      </c>
      <c r="E31" s="1205" t="str">
        <f>IFERROR(+F31/('OSNOVNE STORITVE'!$E$54+$F$89),"%")</f>
        <v>%</v>
      </c>
      <c r="F31" s="1210">
        <v>0</v>
      </c>
      <c r="G31" s="1210">
        <f t="shared" si="3"/>
        <v>0</v>
      </c>
      <c r="H31" s="1210">
        <f t="shared" si="6"/>
        <v>0</v>
      </c>
      <c r="I31" s="1090"/>
    </row>
    <row r="32" spans="1:9" s="1097" customFormat="1" outlineLevel="1" x14ac:dyDescent="0.2">
      <c r="A32" s="1115" t="s">
        <v>52</v>
      </c>
      <c r="B32" s="1218" t="s">
        <v>744</v>
      </c>
      <c r="C32" s="1211"/>
      <c r="D32" s="1147"/>
      <c r="E32" s="1147"/>
      <c r="F32" s="1153"/>
      <c r="G32" s="1153"/>
      <c r="H32" s="1153"/>
      <c r="I32" s="1147"/>
    </row>
    <row r="33" spans="1:9" s="1083" customFormat="1" x14ac:dyDescent="0.2">
      <c r="A33" s="1203"/>
      <c r="B33" s="1113"/>
      <c r="C33" s="1204" t="s">
        <v>990</v>
      </c>
      <c r="D33" s="1205" t="s">
        <v>1000</v>
      </c>
      <c r="E33" s="1205" t="str">
        <f>IFERROR(+F33/('OSNOVNE STORITVE'!$E$54+$F$89),"%")</f>
        <v>%</v>
      </c>
      <c r="F33" s="1206">
        <v>0</v>
      </c>
      <c r="G33" s="1206">
        <f t="shared" si="3"/>
        <v>0</v>
      </c>
      <c r="H33" s="1206">
        <f t="shared" si="5"/>
        <v>0</v>
      </c>
      <c r="I33" s="1090"/>
    </row>
    <row r="34" spans="1:9" s="1083" customFormat="1" x14ac:dyDescent="0.2">
      <c r="A34" s="1203"/>
      <c r="B34" s="1207"/>
      <c r="C34" s="1208" t="s">
        <v>990</v>
      </c>
      <c r="D34" s="1209" t="s">
        <v>1000</v>
      </c>
      <c r="E34" s="1205" t="str">
        <f>IFERROR(+F34/('OSNOVNE STORITVE'!$E$54+$F$89),"%")</f>
        <v>%</v>
      </c>
      <c r="F34" s="1210">
        <v>0</v>
      </c>
      <c r="G34" s="1210">
        <f t="shared" si="3"/>
        <v>0</v>
      </c>
      <c r="H34" s="1210">
        <f t="shared" si="5"/>
        <v>0</v>
      </c>
      <c r="I34" s="1090"/>
    </row>
    <row r="35" spans="1:9" s="1097" customFormat="1" outlineLevel="1" x14ac:dyDescent="0.2">
      <c r="A35" s="1115" t="s">
        <v>53</v>
      </c>
      <c r="B35" s="1116" t="s">
        <v>995</v>
      </c>
      <c r="C35" s="1211"/>
      <c r="D35" s="1147"/>
      <c r="E35" s="1147"/>
      <c r="F35" s="1153"/>
      <c r="G35" s="1153"/>
      <c r="H35" s="1153"/>
      <c r="I35" s="1147"/>
    </row>
    <row r="36" spans="1:9" s="1114" customFormat="1" ht="78.75" outlineLevel="2" x14ac:dyDescent="0.2">
      <c r="A36" s="1219"/>
      <c r="B36" s="1220" t="s">
        <v>1046</v>
      </c>
      <c r="C36" s="1221" t="s">
        <v>990</v>
      </c>
      <c r="D36" s="1222" t="s">
        <v>996</v>
      </c>
      <c r="E36" s="1205" t="str">
        <f>IFERROR(+F36/('OSNOVNE STORITVE'!$E$54+$F$89),"%")</f>
        <v>%</v>
      </c>
      <c r="F36" s="1223">
        <v>0</v>
      </c>
      <c r="G36" s="1223">
        <f>+F36*0.22</f>
        <v>0</v>
      </c>
      <c r="H36" s="1223">
        <f>+F36+G36</f>
        <v>0</v>
      </c>
      <c r="I36" s="1224" t="s">
        <v>1040</v>
      </c>
    </row>
    <row r="37" spans="1:9" s="1083" customFormat="1" ht="78.75" x14ac:dyDescent="0.2">
      <c r="A37" s="1203"/>
      <c r="B37" s="1207" t="s">
        <v>1046</v>
      </c>
      <c r="C37" s="1208" t="s">
        <v>990</v>
      </c>
      <c r="D37" s="1209" t="s">
        <v>998</v>
      </c>
      <c r="E37" s="1205" t="str">
        <f>IFERROR(+F37/('OSNOVNE STORITVE'!$E$54+$F$89),"%")</f>
        <v>%</v>
      </c>
      <c r="F37" s="1210">
        <v>0</v>
      </c>
      <c r="G37" s="1210">
        <f t="shared" si="3"/>
        <v>0</v>
      </c>
      <c r="H37" s="1210">
        <f t="shared" si="5"/>
        <v>0</v>
      </c>
      <c r="I37" s="1222" t="s">
        <v>1039</v>
      </c>
    </row>
    <row r="38" spans="1:9" s="1097" customFormat="1" ht="22.5" outlineLevel="1" x14ac:dyDescent="0.2">
      <c r="A38" s="1115" t="s">
        <v>96</v>
      </c>
      <c r="B38" s="1218" t="s">
        <v>745</v>
      </c>
      <c r="C38" s="1211"/>
      <c r="D38" s="1147"/>
      <c r="E38" s="1147"/>
      <c r="F38" s="1153"/>
      <c r="G38" s="1153"/>
      <c r="H38" s="1153"/>
      <c r="I38" s="1147"/>
    </row>
    <row r="39" spans="1:9" s="1083" customFormat="1" x14ac:dyDescent="0.2">
      <c r="A39" s="1203"/>
      <c r="B39" s="1113"/>
      <c r="C39" s="1204" t="s">
        <v>990</v>
      </c>
      <c r="D39" s="1205" t="s">
        <v>1000</v>
      </c>
      <c r="E39" s="1205" t="str">
        <f>IFERROR(+F39/('OSNOVNE STORITVE'!$E$54+$F$89),"%")</f>
        <v>%</v>
      </c>
      <c r="F39" s="1206">
        <v>0</v>
      </c>
      <c r="G39" s="1206">
        <f t="shared" si="3"/>
        <v>0</v>
      </c>
      <c r="H39" s="1206">
        <f t="shared" ref="H39:H40" si="7">+F39+G39</f>
        <v>0</v>
      </c>
      <c r="I39" s="1090"/>
    </row>
    <row r="40" spans="1:9" s="1083" customFormat="1" x14ac:dyDescent="0.2">
      <c r="A40" s="1203"/>
      <c r="B40" s="1207"/>
      <c r="C40" s="1208" t="s">
        <v>990</v>
      </c>
      <c r="D40" s="1209" t="s">
        <v>1000</v>
      </c>
      <c r="E40" s="1205" t="str">
        <f>IFERROR(+F40/('OSNOVNE STORITVE'!$E$54+$F$89),"%")</f>
        <v>%</v>
      </c>
      <c r="F40" s="1210">
        <v>0</v>
      </c>
      <c r="G40" s="1210">
        <f t="shared" si="3"/>
        <v>0</v>
      </c>
      <c r="H40" s="1210">
        <f t="shared" si="7"/>
        <v>0</v>
      </c>
      <c r="I40" s="1090"/>
    </row>
    <row r="41" spans="1:9" s="1097" customFormat="1" outlineLevel="1" x14ac:dyDescent="0.2">
      <c r="A41" s="1115" t="s">
        <v>97</v>
      </c>
      <c r="B41" s="1116" t="s">
        <v>845</v>
      </c>
      <c r="C41" s="1211"/>
      <c r="D41" s="1147"/>
      <c r="E41" s="1147"/>
      <c r="F41" s="1153"/>
      <c r="G41" s="1153"/>
      <c r="H41" s="1153"/>
      <c r="I41" s="1147"/>
    </row>
    <row r="42" spans="1:9" s="1083" customFormat="1" ht="22.5" x14ac:dyDescent="0.2">
      <c r="A42" s="1203"/>
      <c r="B42" s="1113" t="s">
        <v>965</v>
      </c>
      <c r="C42" s="1204" t="s">
        <v>990</v>
      </c>
      <c r="D42" s="1205" t="s">
        <v>1000</v>
      </c>
      <c r="E42" s="1205" t="str">
        <f>IFERROR(+F42/('OSNOVNE STORITVE'!$E$54+$F$89),"%")</f>
        <v>%</v>
      </c>
      <c r="F42" s="1206">
        <v>0</v>
      </c>
      <c r="G42" s="1206">
        <f t="shared" si="3"/>
        <v>0</v>
      </c>
      <c r="H42" s="1206">
        <f t="shared" si="5"/>
        <v>0</v>
      </c>
      <c r="I42" s="1090"/>
    </row>
    <row r="43" spans="1:9" s="1083" customFormat="1" ht="22.5" x14ac:dyDescent="0.2">
      <c r="A43" s="1203"/>
      <c r="B43" s="1207" t="s">
        <v>1041</v>
      </c>
      <c r="C43" s="1208" t="s">
        <v>990</v>
      </c>
      <c r="D43" s="1209" t="s">
        <v>1000</v>
      </c>
      <c r="E43" s="1205" t="str">
        <f>IFERROR(+F43/('OSNOVNE STORITVE'!$E$54+$F$89),"%")</f>
        <v>%</v>
      </c>
      <c r="F43" s="1210">
        <v>0</v>
      </c>
      <c r="G43" s="1210">
        <f t="shared" si="3"/>
        <v>0</v>
      </c>
      <c r="H43" s="1210">
        <f t="shared" si="5"/>
        <v>0</v>
      </c>
      <c r="I43" s="1090"/>
    </row>
    <row r="44" spans="1:9" s="1083" customFormat="1" x14ac:dyDescent="0.2">
      <c r="A44" s="1203"/>
      <c r="B44" s="1207"/>
      <c r="C44" s="1208" t="s">
        <v>990</v>
      </c>
      <c r="D44" s="1209" t="s">
        <v>1000</v>
      </c>
      <c r="E44" s="1205" t="str">
        <f>IFERROR(+F44/('OSNOVNE STORITVE'!$E$54+$F$89),"%")</f>
        <v>%</v>
      </c>
      <c r="F44" s="1210">
        <v>0</v>
      </c>
      <c r="G44" s="1210">
        <f t="shared" ref="G44" si="8">+F44*0.22</f>
        <v>0</v>
      </c>
      <c r="H44" s="1210">
        <f t="shared" ref="H44" si="9">+F44+G44</f>
        <v>0</v>
      </c>
      <c r="I44" s="1090"/>
    </row>
    <row r="45" spans="1:9" s="1097" customFormat="1" x14ac:dyDescent="0.2">
      <c r="A45" s="1225" t="s">
        <v>39</v>
      </c>
      <c r="B45" s="1213" t="s">
        <v>1007</v>
      </c>
      <c r="C45" s="1082"/>
      <c r="D45" s="1081"/>
      <c r="E45" s="1081"/>
      <c r="F45" s="1082"/>
      <c r="G45" s="1082"/>
      <c r="H45" s="1082"/>
      <c r="I45" s="1217"/>
    </row>
    <row r="46" spans="1:9" s="1091" customFormat="1" ht="12.75" outlineLevel="1" x14ac:dyDescent="0.2">
      <c r="A46" s="1115" t="s">
        <v>40</v>
      </c>
      <c r="B46" s="1153" t="s">
        <v>846</v>
      </c>
      <c r="C46" s="1211"/>
      <c r="D46" s="1147"/>
      <c r="E46" s="1147"/>
      <c r="F46" s="1153"/>
      <c r="G46" s="1153"/>
      <c r="H46" s="1153"/>
      <c r="I46" s="1147"/>
    </row>
    <row r="47" spans="1:9" s="1083" customFormat="1" x14ac:dyDescent="0.2">
      <c r="A47" s="1203"/>
      <c r="B47" s="1113" t="s">
        <v>1042</v>
      </c>
      <c r="C47" s="1204" t="s">
        <v>990</v>
      </c>
      <c r="D47" s="1205" t="s">
        <v>1000</v>
      </c>
      <c r="E47" s="1205" t="str">
        <f>IFERROR(+F47/('OSNOVNE STORITVE'!$E$54+$F$89),"%")</f>
        <v>%</v>
      </c>
      <c r="F47" s="1206">
        <v>0</v>
      </c>
      <c r="G47" s="1206">
        <f t="shared" si="3"/>
        <v>0</v>
      </c>
      <c r="H47" s="1206">
        <f t="shared" ref="H47:H48" si="10">+F47+G47</f>
        <v>0</v>
      </c>
      <c r="I47" s="1090"/>
    </row>
    <row r="48" spans="1:9" s="1083" customFormat="1" x14ac:dyDescent="0.2">
      <c r="A48" s="1203"/>
      <c r="B48" s="1207"/>
      <c r="C48" s="1208" t="s">
        <v>990</v>
      </c>
      <c r="D48" s="1209" t="s">
        <v>1000</v>
      </c>
      <c r="E48" s="1205" t="str">
        <f>IFERROR(+F48/('OSNOVNE STORITVE'!$E$54+$F$89),"%")</f>
        <v>%</v>
      </c>
      <c r="F48" s="1210">
        <v>0</v>
      </c>
      <c r="G48" s="1210">
        <f t="shared" si="3"/>
        <v>0</v>
      </c>
      <c r="H48" s="1210">
        <f t="shared" si="10"/>
        <v>0</v>
      </c>
      <c r="I48" s="1090"/>
    </row>
    <row r="49" spans="1:9" s="1091" customFormat="1" ht="12.75" outlineLevel="1" x14ac:dyDescent="0.2">
      <c r="A49" s="1115" t="s">
        <v>41</v>
      </c>
      <c r="B49" s="1147" t="s">
        <v>202</v>
      </c>
      <c r="C49" s="1211"/>
      <c r="D49" s="1147"/>
      <c r="E49" s="1147"/>
      <c r="F49" s="1153"/>
      <c r="G49" s="1153"/>
      <c r="H49" s="1153"/>
      <c r="I49" s="1147"/>
    </row>
    <row r="50" spans="1:9" s="1083" customFormat="1" x14ac:dyDescent="0.2">
      <c r="A50" s="1203"/>
      <c r="B50" s="1113" t="s">
        <v>1042</v>
      </c>
      <c r="C50" s="1204" t="s">
        <v>990</v>
      </c>
      <c r="D50" s="1205" t="s">
        <v>1000</v>
      </c>
      <c r="E50" s="1205" t="str">
        <f>IFERROR(+F50/('OSNOVNE STORITVE'!$E$54+$F$89),"%")</f>
        <v>%</v>
      </c>
      <c r="F50" s="1206">
        <v>0</v>
      </c>
      <c r="G50" s="1206">
        <f t="shared" si="3"/>
        <v>0</v>
      </c>
      <c r="H50" s="1206">
        <f t="shared" si="5"/>
        <v>0</v>
      </c>
      <c r="I50" s="1090"/>
    </row>
    <row r="51" spans="1:9" s="1083" customFormat="1" x14ac:dyDescent="0.2">
      <c r="A51" s="1203"/>
      <c r="B51" s="1207"/>
      <c r="C51" s="1208" t="s">
        <v>990</v>
      </c>
      <c r="D51" s="1209" t="s">
        <v>1000</v>
      </c>
      <c r="E51" s="1205" t="str">
        <f>IFERROR(+F51/('OSNOVNE STORITVE'!$E$54+$F$89),"%")</f>
        <v>%</v>
      </c>
      <c r="F51" s="1210">
        <v>0</v>
      </c>
      <c r="G51" s="1210">
        <f t="shared" si="3"/>
        <v>0</v>
      </c>
      <c r="H51" s="1210">
        <f t="shared" si="5"/>
        <v>0</v>
      </c>
      <c r="I51" s="1090"/>
    </row>
    <row r="52" spans="1:9" s="1097" customFormat="1" x14ac:dyDescent="0.2">
      <c r="A52" s="1226">
        <v>4</v>
      </c>
      <c r="B52" s="1213" t="s">
        <v>60</v>
      </c>
      <c r="C52" s="1082"/>
      <c r="D52" s="1081"/>
      <c r="E52" s="1081"/>
      <c r="F52" s="1082"/>
      <c r="G52" s="1082"/>
      <c r="H52" s="1082"/>
      <c r="I52" s="1217"/>
    </row>
    <row r="53" spans="1:9" s="1091" customFormat="1" ht="12.75" outlineLevel="1" x14ac:dyDescent="0.2">
      <c r="A53" s="1115" t="s">
        <v>42</v>
      </c>
      <c r="B53" s="1147" t="s">
        <v>203</v>
      </c>
      <c r="C53" s="1211"/>
      <c r="D53" s="1147"/>
      <c r="E53" s="1147"/>
      <c r="F53" s="1153"/>
      <c r="G53" s="1153"/>
      <c r="H53" s="1153"/>
      <c r="I53" s="1147"/>
    </row>
    <row r="54" spans="1:9" s="1114" customFormat="1" ht="90" outlineLevel="2" x14ac:dyDescent="0.2">
      <c r="A54" s="1219"/>
      <c r="B54" s="1113" t="s">
        <v>1044</v>
      </c>
      <c r="C54" s="1227" t="s">
        <v>990</v>
      </c>
      <c r="D54" s="1224" t="s">
        <v>1009</v>
      </c>
      <c r="E54" s="1205" t="str">
        <f>IFERROR(+F54/('OSNOVNE STORITVE'!$E$54+$F$89),"%")</f>
        <v>%</v>
      </c>
      <c r="F54" s="1228">
        <v>0</v>
      </c>
      <c r="G54" s="1228">
        <f>+F54*0.22</f>
        <v>0</v>
      </c>
      <c r="H54" s="1228">
        <f>+F54+G54</f>
        <v>0</v>
      </c>
      <c r="I54" s="1224" t="s">
        <v>1043</v>
      </c>
    </row>
    <row r="55" spans="1:9" s="1083" customFormat="1" x14ac:dyDescent="0.2">
      <c r="A55" s="1203"/>
      <c r="B55" s="1113"/>
      <c r="C55" s="1204" t="s">
        <v>990</v>
      </c>
      <c r="D55" s="1205" t="s">
        <v>1000</v>
      </c>
      <c r="E55" s="1205" t="str">
        <f>IFERROR(+F55/('OSNOVNE STORITVE'!$E$54+$F$89),"%")</f>
        <v>%</v>
      </c>
      <c r="F55" s="1206">
        <v>0</v>
      </c>
      <c r="G55" s="1206">
        <f t="shared" si="3"/>
        <v>0</v>
      </c>
      <c r="H55" s="1206">
        <f t="shared" ref="H55:H56" si="11">+F55+G55</f>
        <v>0</v>
      </c>
      <c r="I55" s="1229"/>
    </row>
    <row r="56" spans="1:9" s="1083" customFormat="1" x14ac:dyDescent="0.2">
      <c r="A56" s="1203"/>
      <c r="B56" s="1207"/>
      <c r="C56" s="1208" t="s">
        <v>990</v>
      </c>
      <c r="D56" s="1209" t="s">
        <v>1000</v>
      </c>
      <c r="E56" s="1205" t="str">
        <f>IFERROR(+F56/('OSNOVNE STORITVE'!$E$54+$F$89),"%")</f>
        <v>%</v>
      </c>
      <c r="F56" s="1210">
        <v>0</v>
      </c>
      <c r="G56" s="1210">
        <f t="shared" si="3"/>
        <v>0</v>
      </c>
      <c r="H56" s="1210">
        <f t="shared" si="11"/>
        <v>0</v>
      </c>
      <c r="I56" s="1130"/>
    </row>
    <row r="57" spans="1:9" s="1091" customFormat="1" ht="12.75" outlineLevel="1" x14ac:dyDescent="0.2">
      <c r="A57" s="1115" t="s">
        <v>43</v>
      </c>
      <c r="B57" s="1147" t="s">
        <v>865</v>
      </c>
      <c r="C57" s="1211"/>
      <c r="D57" s="1147"/>
      <c r="E57" s="1147"/>
      <c r="F57" s="1153"/>
      <c r="G57" s="1153"/>
      <c r="H57" s="1153"/>
      <c r="I57" s="1147"/>
    </row>
    <row r="58" spans="1:9" s="1083" customFormat="1" ht="112.5" x14ac:dyDescent="0.2">
      <c r="A58" s="1203"/>
      <c r="B58" s="1113" t="s">
        <v>505</v>
      </c>
      <c r="C58" s="1204"/>
      <c r="D58" s="1224" t="s">
        <v>1122</v>
      </c>
      <c r="E58" s="1205" t="str">
        <f>IFERROR(+F58/('OSNOVNE STORITVE'!$E$54+$F$89),"%")</f>
        <v>%</v>
      </c>
      <c r="F58" s="1206">
        <v>0</v>
      </c>
      <c r="G58" s="1206">
        <f t="shared" si="3"/>
        <v>0</v>
      </c>
      <c r="H58" s="1206">
        <f t="shared" si="5"/>
        <v>0</v>
      </c>
      <c r="I58" s="1123" t="s">
        <v>1035</v>
      </c>
    </row>
    <row r="59" spans="1:9" s="1083" customFormat="1" x14ac:dyDescent="0.2">
      <c r="A59" s="1203"/>
      <c r="B59" s="1207"/>
      <c r="C59" s="1208" t="s">
        <v>990</v>
      </c>
      <c r="D59" s="1222" t="s">
        <v>1000</v>
      </c>
      <c r="E59" s="1205" t="str">
        <f>IFERROR(+F59/('OSNOVNE STORITVE'!$E$54+$F$89),"%")</f>
        <v>%</v>
      </c>
      <c r="F59" s="1210">
        <v>0</v>
      </c>
      <c r="G59" s="1210">
        <f t="shared" si="3"/>
        <v>0</v>
      </c>
      <c r="H59" s="1210">
        <f t="shared" si="5"/>
        <v>0</v>
      </c>
      <c r="I59" s="1222"/>
    </row>
    <row r="60" spans="1:9" s="1091" customFormat="1" ht="12.75" outlineLevel="1" x14ac:dyDescent="0.2">
      <c r="A60" s="1115" t="s">
        <v>44</v>
      </c>
      <c r="B60" s="1153" t="s">
        <v>963</v>
      </c>
      <c r="C60" s="1211"/>
      <c r="D60" s="1147"/>
      <c r="E60" s="1147"/>
      <c r="F60" s="1153"/>
      <c r="G60" s="1153"/>
      <c r="H60" s="1153"/>
      <c r="I60" s="1147"/>
    </row>
    <row r="61" spans="1:9" s="1083" customFormat="1" ht="101.25" x14ac:dyDescent="0.2">
      <c r="A61" s="1203"/>
      <c r="B61" s="1113" t="s">
        <v>505</v>
      </c>
      <c r="C61" s="1204"/>
      <c r="D61" s="1132" t="s">
        <v>1123</v>
      </c>
      <c r="E61" s="1224" t="str">
        <f>IFERROR(+F61/('OSNOVNE STORITVE'!$E$54+$F$89),"%")</f>
        <v>%</v>
      </c>
      <c r="F61" s="1228">
        <v>0</v>
      </c>
      <c r="G61" s="1228">
        <f t="shared" si="3"/>
        <v>0</v>
      </c>
      <c r="H61" s="1228">
        <f t="shared" ref="H61:H62" si="12">+F61+G61</f>
        <v>0</v>
      </c>
      <c r="I61" s="1123" t="s">
        <v>1035</v>
      </c>
    </row>
    <row r="62" spans="1:9" s="1083" customFormat="1" x14ac:dyDescent="0.2">
      <c r="A62" s="1203"/>
      <c r="B62" s="1207"/>
      <c r="C62" s="1208" t="s">
        <v>990</v>
      </c>
      <c r="D62" s="1222" t="s">
        <v>1000</v>
      </c>
      <c r="E62" s="1205" t="str">
        <f>IFERROR(+F62/('OSNOVNE STORITVE'!$E$54+$F$89),"%")</f>
        <v>%</v>
      </c>
      <c r="F62" s="1230">
        <v>0</v>
      </c>
      <c r="G62" s="1230">
        <f t="shared" si="3"/>
        <v>0</v>
      </c>
      <c r="H62" s="1230">
        <f t="shared" si="12"/>
        <v>0</v>
      </c>
      <c r="I62" s="1222"/>
    </row>
    <row r="63" spans="1:9" s="1091" customFormat="1" ht="12.75" outlineLevel="1" x14ac:dyDescent="0.2">
      <c r="A63" s="1115" t="s">
        <v>45</v>
      </c>
      <c r="B63" s="1147" t="s">
        <v>866</v>
      </c>
      <c r="C63" s="1211"/>
      <c r="D63" s="1147"/>
      <c r="E63" s="1147"/>
      <c r="F63" s="1153"/>
      <c r="G63" s="1153"/>
      <c r="H63" s="1153"/>
      <c r="I63" s="1231"/>
    </row>
    <row r="64" spans="1:9" s="1083" customFormat="1" ht="112.5" x14ac:dyDescent="0.2">
      <c r="A64" s="1203"/>
      <c r="B64" s="1113" t="s">
        <v>505</v>
      </c>
      <c r="C64" s="1204"/>
      <c r="D64" s="1132" t="s">
        <v>1124</v>
      </c>
      <c r="E64" s="1224" t="str">
        <f>IFERROR(+F64/('OSNOVNE STORITVE'!$E$54+$F$89),"%")</f>
        <v>%</v>
      </c>
      <c r="F64" s="1228">
        <v>0</v>
      </c>
      <c r="G64" s="1228">
        <f t="shared" si="3"/>
        <v>0</v>
      </c>
      <c r="H64" s="1228">
        <f t="shared" ref="H64:H65" si="13">+F64+G64</f>
        <v>0</v>
      </c>
      <c r="I64" s="1123" t="s">
        <v>1035</v>
      </c>
    </row>
    <row r="65" spans="1:9" s="1083" customFormat="1" x14ac:dyDescent="0.2">
      <c r="A65" s="1203"/>
      <c r="B65" s="1207"/>
      <c r="C65" s="1208" t="s">
        <v>990</v>
      </c>
      <c r="D65" s="1222" t="s">
        <v>1000</v>
      </c>
      <c r="E65" s="1205" t="str">
        <f>IFERROR(+F65/('OSNOVNE STORITVE'!$E$54+$F$89),"%")</f>
        <v>%</v>
      </c>
      <c r="F65" s="1230">
        <v>0</v>
      </c>
      <c r="G65" s="1230">
        <f t="shared" si="3"/>
        <v>0</v>
      </c>
      <c r="H65" s="1230">
        <f t="shared" si="13"/>
        <v>0</v>
      </c>
      <c r="I65" s="1222"/>
    </row>
    <row r="66" spans="1:9" s="1091" customFormat="1" ht="12.75" outlineLevel="1" x14ac:dyDescent="0.2">
      <c r="A66" s="1115" t="s">
        <v>46</v>
      </c>
      <c r="B66" s="1153" t="s">
        <v>847</v>
      </c>
      <c r="C66" s="1211"/>
      <c r="D66" s="1147"/>
      <c r="E66" s="1147"/>
      <c r="F66" s="1153"/>
      <c r="G66" s="1153"/>
      <c r="H66" s="1153"/>
      <c r="I66" s="1147"/>
    </row>
    <row r="67" spans="1:9" s="1114" customFormat="1" ht="78.75" outlineLevel="2" x14ac:dyDescent="0.2">
      <c r="A67" s="1112"/>
      <c r="B67" s="1232" t="s">
        <v>1045</v>
      </c>
      <c r="C67" s="1131"/>
      <c r="D67" s="1132" t="s">
        <v>1019</v>
      </c>
      <c r="E67" s="1224" t="str">
        <f>IFERROR(+F67/('OSNOVNE STORITVE'!$E$54+$F$89),"%")</f>
        <v>%</v>
      </c>
      <c r="F67" s="1133">
        <v>0</v>
      </c>
      <c r="G67" s="1133">
        <f>+F67*0.22</f>
        <v>0</v>
      </c>
      <c r="H67" s="1133">
        <f>+F67+G67</f>
        <v>0</v>
      </c>
      <c r="I67" s="1123" t="s">
        <v>1047</v>
      </c>
    </row>
    <row r="68" spans="1:9" s="1083" customFormat="1" x14ac:dyDescent="0.2">
      <c r="A68" s="1203"/>
      <c r="B68" s="1113"/>
      <c r="C68" s="1204" t="s">
        <v>990</v>
      </c>
      <c r="D68" s="1205" t="s">
        <v>1000</v>
      </c>
      <c r="E68" s="1205" t="str">
        <f>IFERROR(+F68/('OSNOVNE STORITVE'!$E$54+$F$89),"%")</f>
        <v>%</v>
      </c>
      <c r="F68" s="1206">
        <v>0</v>
      </c>
      <c r="G68" s="1206">
        <f t="shared" si="3"/>
        <v>0</v>
      </c>
      <c r="H68" s="1206">
        <f t="shared" ref="H68:H69" si="14">+F68+G68</f>
        <v>0</v>
      </c>
      <c r="I68" s="1205"/>
    </row>
    <row r="69" spans="1:9" s="1083" customFormat="1" x14ac:dyDescent="0.2">
      <c r="A69" s="1203"/>
      <c r="B69" s="1207"/>
      <c r="C69" s="1208" t="s">
        <v>990</v>
      </c>
      <c r="D69" s="1209" t="s">
        <v>1000</v>
      </c>
      <c r="E69" s="1205" t="str">
        <f>IFERROR(+F69/('OSNOVNE STORITVE'!$E$54+$F$89),"%")</f>
        <v>%</v>
      </c>
      <c r="F69" s="1210">
        <v>0</v>
      </c>
      <c r="G69" s="1210">
        <f t="shared" si="3"/>
        <v>0</v>
      </c>
      <c r="H69" s="1210">
        <f t="shared" si="14"/>
        <v>0</v>
      </c>
      <c r="I69" s="1209"/>
    </row>
    <row r="70" spans="1:9" s="1097" customFormat="1" x14ac:dyDescent="0.2">
      <c r="A70" s="1233">
        <v>5</v>
      </c>
      <c r="B70" s="1213" t="s">
        <v>47</v>
      </c>
      <c r="C70" s="1082"/>
      <c r="D70" s="1081"/>
      <c r="E70" s="1081"/>
      <c r="F70" s="1082"/>
      <c r="G70" s="1082"/>
      <c r="H70" s="1082"/>
      <c r="I70" s="1217"/>
    </row>
    <row r="71" spans="1:9" s="1091" customFormat="1" ht="12.75" outlineLevel="1" x14ac:dyDescent="0.2">
      <c r="A71" s="1115" t="s">
        <v>48</v>
      </c>
      <c r="B71" s="1166" t="s">
        <v>205</v>
      </c>
      <c r="C71" s="1211"/>
      <c r="D71" s="1147"/>
      <c r="E71" s="1147"/>
      <c r="F71" s="1153"/>
      <c r="G71" s="1153"/>
      <c r="H71" s="1153"/>
      <c r="I71" s="1147"/>
    </row>
    <row r="72" spans="1:9" s="1083" customFormat="1" x14ac:dyDescent="0.2">
      <c r="A72" s="1203"/>
      <c r="B72" s="1113"/>
      <c r="C72" s="1204" t="s">
        <v>990</v>
      </c>
      <c r="D72" s="1205" t="s">
        <v>1000</v>
      </c>
      <c r="E72" s="1205" t="str">
        <f>IFERROR(+F72/('OSNOVNE STORITVE'!$E$54+$F$89),"%")</f>
        <v>%</v>
      </c>
      <c r="F72" s="1206">
        <v>0</v>
      </c>
      <c r="G72" s="1206">
        <f t="shared" si="3"/>
        <v>0</v>
      </c>
      <c r="H72" s="1206">
        <f t="shared" si="5"/>
        <v>0</v>
      </c>
      <c r="I72" s="1205"/>
    </row>
    <row r="73" spans="1:9" s="1083" customFormat="1" x14ac:dyDescent="0.2">
      <c r="A73" s="1203"/>
      <c r="B73" s="1207"/>
      <c r="C73" s="1208" t="s">
        <v>990</v>
      </c>
      <c r="D73" s="1209" t="s">
        <v>1000</v>
      </c>
      <c r="E73" s="1205" t="str">
        <f>IFERROR(+F73/('OSNOVNE STORITVE'!$E$54+$F$89),"%")</f>
        <v>%</v>
      </c>
      <c r="F73" s="1210">
        <v>0</v>
      </c>
      <c r="G73" s="1210">
        <f t="shared" si="3"/>
        <v>0</v>
      </c>
      <c r="H73" s="1210">
        <f t="shared" si="5"/>
        <v>0</v>
      </c>
      <c r="I73" s="1209"/>
    </row>
    <row r="74" spans="1:9" s="1091" customFormat="1" ht="12.75" outlineLevel="1" x14ac:dyDescent="0.2">
      <c r="A74" s="1115" t="s">
        <v>49</v>
      </c>
      <c r="B74" s="1166" t="s">
        <v>206</v>
      </c>
      <c r="C74" s="1211"/>
      <c r="D74" s="1147"/>
      <c r="E74" s="1147"/>
      <c r="F74" s="1153"/>
      <c r="G74" s="1153"/>
      <c r="H74" s="1153"/>
      <c r="I74" s="1147"/>
    </row>
    <row r="75" spans="1:9" s="1083" customFormat="1" x14ac:dyDescent="0.2">
      <c r="A75" s="1203"/>
      <c r="B75" s="1113"/>
      <c r="C75" s="1204" t="s">
        <v>990</v>
      </c>
      <c r="D75" s="1205" t="s">
        <v>1000</v>
      </c>
      <c r="E75" s="1205" t="str">
        <f>IFERROR(+F75/('OSNOVNE STORITVE'!$E$54+$F$89),"%")</f>
        <v>%</v>
      </c>
      <c r="F75" s="1206">
        <v>0</v>
      </c>
      <c r="G75" s="1206">
        <f t="shared" si="3"/>
        <v>0</v>
      </c>
      <c r="H75" s="1206">
        <f t="shared" ref="H75:H76" si="15">+F75+G75</f>
        <v>0</v>
      </c>
      <c r="I75" s="1205"/>
    </row>
    <row r="76" spans="1:9" s="1083" customFormat="1" x14ac:dyDescent="0.2">
      <c r="A76" s="1203"/>
      <c r="B76" s="1207"/>
      <c r="C76" s="1208" t="s">
        <v>990</v>
      </c>
      <c r="D76" s="1209" t="s">
        <v>1000</v>
      </c>
      <c r="E76" s="1205" t="str">
        <f>IFERROR(+F76/('OSNOVNE STORITVE'!$E$54+$F$89),"%")</f>
        <v>%</v>
      </c>
      <c r="F76" s="1210">
        <v>0</v>
      </c>
      <c r="G76" s="1210">
        <f t="shared" si="3"/>
        <v>0</v>
      </c>
      <c r="H76" s="1210">
        <f t="shared" si="15"/>
        <v>0</v>
      </c>
      <c r="I76" s="1209"/>
    </row>
    <row r="77" spans="1:9" s="1083" customFormat="1" x14ac:dyDescent="0.2">
      <c r="A77" s="1234">
        <v>6</v>
      </c>
      <c r="B77" s="1235" t="s">
        <v>50</v>
      </c>
      <c r="C77" s="1082"/>
      <c r="D77" s="1215"/>
      <c r="E77" s="1215"/>
      <c r="F77" s="1216"/>
      <c r="G77" s="1216"/>
      <c r="H77" s="1216"/>
      <c r="I77" s="1236"/>
    </row>
    <row r="78" spans="1:9" s="1091" customFormat="1" ht="12.75" x14ac:dyDescent="0.2">
      <c r="A78" s="1115" t="s">
        <v>54</v>
      </c>
      <c r="B78" s="1166" t="s">
        <v>207</v>
      </c>
      <c r="C78" s="1211"/>
      <c r="D78" s="1147"/>
      <c r="E78" s="1147"/>
      <c r="F78" s="1153"/>
      <c r="G78" s="1153"/>
      <c r="H78" s="1153"/>
      <c r="I78" s="1147"/>
    </row>
    <row r="79" spans="1:9" s="1083" customFormat="1" x14ac:dyDescent="0.2">
      <c r="A79" s="1203"/>
      <c r="B79" s="1113"/>
      <c r="C79" s="1204" t="s">
        <v>990</v>
      </c>
      <c r="D79" s="1205" t="s">
        <v>1000</v>
      </c>
      <c r="E79" s="1205" t="str">
        <f>IFERROR(+F79/('OSNOVNE STORITVE'!$E$54+$F$89),"%")</f>
        <v>%</v>
      </c>
      <c r="F79" s="1206">
        <v>0</v>
      </c>
      <c r="G79" s="1206">
        <f t="shared" si="3"/>
        <v>0</v>
      </c>
      <c r="H79" s="1206">
        <f t="shared" si="5"/>
        <v>0</v>
      </c>
      <c r="I79" s="1205"/>
    </row>
    <row r="80" spans="1:9" s="1083" customFormat="1" x14ac:dyDescent="0.2">
      <c r="A80" s="1203"/>
      <c r="B80" s="1207"/>
      <c r="C80" s="1208" t="s">
        <v>990</v>
      </c>
      <c r="D80" s="1209" t="s">
        <v>1000</v>
      </c>
      <c r="E80" s="1205" t="str">
        <f>IFERROR(+F80/('OSNOVNE STORITVE'!$E$54+$F$89),"%")</f>
        <v>%</v>
      </c>
      <c r="F80" s="1210">
        <v>0</v>
      </c>
      <c r="G80" s="1210">
        <f t="shared" si="3"/>
        <v>0</v>
      </c>
      <c r="H80" s="1210">
        <f t="shared" si="5"/>
        <v>0</v>
      </c>
      <c r="I80" s="1209"/>
    </row>
    <row r="81" spans="1:13" s="1091" customFormat="1" ht="12.75" x14ac:dyDescent="0.2">
      <c r="A81" s="1115" t="s">
        <v>55</v>
      </c>
      <c r="B81" s="1166" t="s">
        <v>208</v>
      </c>
      <c r="C81" s="1211"/>
      <c r="D81" s="1147"/>
      <c r="E81" s="1147"/>
      <c r="F81" s="1153"/>
      <c r="G81" s="1153"/>
      <c r="H81" s="1153"/>
      <c r="I81" s="1147"/>
    </row>
    <row r="82" spans="1:13" s="1083" customFormat="1" x14ac:dyDescent="0.2">
      <c r="A82" s="1203"/>
      <c r="B82" s="1113"/>
      <c r="C82" s="1204" t="s">
        <v>990</v>
      </c>
      <c r="D82" s="1205" t="s">
        <v>1000</v>
      </c>
      <c r="E82" s="1205" t="str">
        <f>IFERROR(+F82/('OSNOVNE STORITVE'!$E$54+$F$89),"%")</f>
        <v>%</v>
      </c>
      <c r="F82" s="1206">
        <v>0</v>
      </c>
      <c r="G82" s="1206">
        <f t="shared" si="3"/>
        <v>0</v>
      </c>
      <c r="H82" s="1206">
        <f t="shared" ref="H82:H83" si="16">+F82+G82</f>
        <v>0</v>
      </c>
      <c r="I82" s="1205"/>
    </row>
    <row r="83" spans="1:13" s="1083" customFormat="1" x14ac:dyDescent="0.2">
      <c r="A83" s="1203"/>
      <c r="B83" s="1207"/>
      <c r="C83" s="1208" t="s">
        <v>990</v>
      </c>
      <c r="D83" s="1209" t="s">
        <v>1000</v>
      </c>
      <c r="E83" s="1205" t="str">
        <f>IFERROR(+F83/('OSNOVNE STORITVE'!$E$54+$F$89),"%")</f>
        <v>%</v>
      </c>
      <c r="F83" s="1210">
        <v>0</v>
      </c>
      <c r="G83" s="1210">
        <f t="shared" si="3"/>
        <v>0</v>
      </c>
      <c r="H83" s="1210">
        <f t="shared" si="16"/>
        <v>0</v>
      </c>
      <c r="I83" s="1209"/>
    </row>
    <row r="84" spans="1:13" s="1091" customFormat="1" ht="12.75" x14ac:dyDescent="0.2">
      <c r="A84" s="1115" t="s">
        <v>56</v>
      </c>
      <c r="B84" s="1166" t="s">
        <v>209</v>
      </c>
      <c r="C84" s="1211"/>
      <c r="D84" s="1147"/>
      <c r="E84" s="1147"/>
      <c r="F84" s="1153"/>
      <c r="G84" s="1153"/>
      <c r="H84" s="1153"/>
      <c r="I84" s="1147"/>
    </row>
    <row r="85" spans="1:13" s="1083" customFormat="1" x14ac:dyDescent="0.2">
      <c r="A85" s="1203"/>
      <c r="B85" s="1113"/>
      <c r="C85" s="1204" t="s">
        <v>990</v>
      </c>
      <c r="D85" s="1205" t="s">
        <v>1000</v>
      </c>
      <c r="E85" s="1205" t="str">
        <f>IFERROR(+F85/('OSNOVNE STORITVE'!$E$54+$F$89),"%")</f>
        <v>%</v>
      </c>
      <c r="F85" s="1206">
        <v>0</v>
      </c>
      <c r="G85" s="1206">
        <f t="shared" si="3"/>
        <v>0</v>
      </c>
      <c r="H85" s="1206">
        <f t="shared" si="5"/>
        <v>0</v>
      </c>
      <c r="I85" s="1205"/>
    </row>
    <row r="86" spans="1:13" s="1083" customFormat="1" x14ac:dyDescent="0.2">
      <c r="A86" s="1237"/>
      <c r="B86" s="1238"/>
      <c r="C86" s="1239" t="s">
        <v>990</v>
      </c>
      <c r="D86" s="1240" t="s">
        <v>1000</v>
      </c>
      <c r="E86" s="1205" t="str">
        <f>IFERROR(+F86/('OSNOVNE STORITVE'!$E$54+$F$89),"%")</f>
        <v>%</v>
      </c>
      <c r="F86" s="1241">
        <v>0</v>
      </c>
      <c r="G86" s="1241">
        <f t="shared" si="3"/>
        <v>0</v>
      </c>
      <c r="H86" s="1241">
        <f t="shared" si="5"/>
        <v>0</v>
      </c>
      <c r="I86" s="1240"/>
    </row>
    <row r="87" spans="1:13" s="1179" customFormat="1" x14ac:dyDescent="0.2">
      <c r="A87" s="1174"/>
      <c r="B87" s="1175"/>
      <c r="C87" s="1242"/>
      <c r="D87" s="1243"/>
      <c r="E87" s="1243"/>
      <c r="F87" s="1242"/>
      <c r="G87" s="1242"/>
      <c r="H87" s="1242"/>
      <c r="I87" s="1117"/>
    </row>
    <row r="88" spans="1:13" s="1179" customFormat="1" x14ac:dyDescent="0.2">
      <c r="A88" s="1174"/>
      <c r="B88" s="1175"/>
      <c r="C88" s="1176"/>
      <c r="D88" s="1177"/>
      <c r="E88" s="1177"/>
      <c r="F88" s="1176"/>
      <c r="G88" s="1176"/>
      <c r="H88" s="1176"/>
      <c r="I88" s="1117"/>
    </row>
    <row r="89" spans="1:13" s="1179" customFormat="1" ht="22.5" x14ac:dyDescent="0.2">
      <c r="A89" s="1180"/>
      <c r="B89" s="1181" t="s">
        <v>201</v>
      </c>
      <c r="C89" s="1182"/>
      <c r="D89" s="1183"/>
      <c r="E89" s="1183"/>
      <c r="F89" s="1182">
        <f>SUM(F18:F87)</f>
        <v>0</v>
      </c>
      <c r="G89" s="1182">
        <f>SUM(G18:G87)</f>
        <v>0</v>
      </c>
      <c r="H89" s="1182">
        <f>SUM(H18:H87)</f>
        <v>0</v>
      </c>
      <c r="I89" s="1117"/>
    </row>
    <row r="90" spans="1:13" s="1179" customFormat="1" x14ac:dyDescent="0.2">
      <c r="A90" s="1174"/>
      <c r="B90" s="1175" t="s">
        <v>746</v>
      </c>
      <c r="C90" s="1244"/>
      <c r="D90" s="1245"/>
      <c r="E90" s="1245"/>
      <c r="F90" s="1244" t="str">
        <f>IFERROR(F89/'OSNOVNI PODATKI'!$E$368,"")</f>
        <v/>
      </c>
      <c r="G90" s="1244" t="str">
        <f>IFERROR(G89/'OSNOVNI PODATKI'!$E$368,"")</f>
        <v/>
      </c>
      <c r="H90" s="1244" t="str">
        <f>IFERROR(H89/'OSNOVNI PODATKI'!$E$368,"")</f>
        <v/>
      </c>
      <c r="I90" s="1117"/>
    </row>
    <row r="91" spans="1:13" s="1179" customFormat="1" x14ac:dyDescent="0.2">
      <c r="A91" s="1189"/>
      <c r="B91" s="1190"/>
      <c r="C91" s="1191"/>
      <c r="D91" s="1192"/>
      <c r="E91" s="1192"/>
      <c r="F91" s="1191"/>
      <c r="G91" s="1191"/>
      <c r="H91" s="1191"/>
    </row>
    <row r="93" spans="1:13" s="1056" customFormat="1" ht="15.75" x14ac:dyDescent="0.25">
      <c r="B93" s="1057"/>
      <c r="D93" s="1057"/>
      <c r="E93" s="1057"/>
    </row>
    <row r="94" spans="1:13" x14ac:dyDescent="0.25">
      <c r="C94" s="1196"/>
      <c r="D94" s="1197"/>
      <c r="E94" s="1197"/>
      <c r="F94" s="1196"/>
      <c r="G94" s="1196"/>
      <c r="H94" s="1196"/>
      <c r="I94" s="1196"/>
      <c r="M94" s="1198"/>
    </row>
    <row r="95" spans="1:13" x14ac:dyDescent="0.25">
      <c r="C95" s="1196"/>
      <c r="D95" s="1197"/>
      <c r="E95" s="1197"/>
      <c r="F95" s="1196"/>
      <c r="G95" s="1196"/>
      <c r="H95" s="1196"/>
      <c r="I95" s="1196"/>
      <c r="M95" s="1198"/>
    </row>
    <row r="96" spans="1:13" x14ac:dyDescent="0.25">
      <c r="C96" s="1196"/>
      <c r="D96" s="1197"/>
      <c r="E96" s="1197"/>
      <c r="F96" s="1196"/>
      <c r="G96" s="1196"/>
      <c r="H96" s="1196"/>
      <c r="I96" s="1196"/>
      <c r="M96" s="1198"/>
    </row>
    <row r="97" spans="3:13" x14ac:dyDescent="0.25">
      <c r="C97" s="1196"/>
      <c r="D97" s="1197"/>
      <c r="E97" s="1197"/>
      <c r="F97" s="1196"/>
      <c r="G97" s="1196"/>
      <c r="H97" s="1196"/>
      <c r="I97" s="1196"/>
      <c r="M97" s="1198"/>
    </row>
    <row r="98" spans="3:13" x14ac:dyDescent="0.25">
      <c r="C98" s="1196"/>
      <c r="D98" s="1197"/>
      <c r="E98" s="1197"/>
      <c r="F98" s="1196"/>
      <c r="G98" s="1196"/>
      <c r="H98" s="1196"/>
      <c r="I98" s="1196"/>
      <c r="M98" s="1198"/>
    </row>
  </sheetData>
  <mergeCells count="1">
    <mergeCell ref="C10:D10"/>
  </mergeCells>
  <pageMargins left="0.39370078740157483" right="0.39370078740157483" top="0.98425196850393704" bottom="0.39370078740157483" header="0.31496062992125984" footer="0.31496062992125984"/>
  <pageSetup paperSize="9" orientation="landscape" r:id="rId1"/>
  <ignoredErrors>
    <ignoredError sqref="C1:D5 E13:H88 E89:E90 F90:H90" unlockedFormula="1"/>
    <ignoredError sqref="F89:H89" formulaRange="1"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tabColor rgb="FF00B0F0"/>
  </sheetPr>
  <dimension ref="A1:G84"/>
  <sheetViews>
    <sheetView showGridLines="0" topLeftCell="A55" workbookViewId="0">
      <selection activeCell="G18" sqref="G18"/>
    </sheetView>
    <sheetView workbookViewId="1"/>
  </sheetViews>
  <sheetFormatPr defaultColWidth="9.140625" defaultRowHeight="12.75" x14ac:dyDescent="0.2"/>
  <cols>
    <col min="1" max="1" width="4.140625" style="134" customWidth="1"/>
    <col min="2" max="2" width="55.85546875" style="134" customWidth="1"/>
    <col min="3" max="4" width="13.7109375" style="134" customWidth="1"/>
    <col min="5" max="5" width="13.7109375" style="144" customWidth="1"/>
    <col min="6" max="6" width="13.7109375" style="134" customWidth="1"/>
    <col min="7" max="7" width="22" style="134" customWidth="1"/>
    <col min="8" max="8" width="3.42578125" style="134" customWidth="1"/>
    <col min="9" max="9" width="25.140625" style="134" customWidth="1"/>
    <col min="10" max="10" width="2.28515625" style="134" customWidth="1"/>
    <col min="11" max="11" width="22" style="134" customWidth="1"/>
    <col min="12" max="16384" width="9.140625" style="134"/>
  </cols>
  <sheetData>
    <row r="1" spans="1:6" ht="18.75" x14ac:dyDescent="0.2">
      <c r="A1" s="1246" t="s">
        <v>1102</v>
      </c>
      <c r="B1" s="1246"/>
      <c r="C1" s="1246"/>
    </row>
    <row r="2" spans="1:6" x14ac:dyDescent="0.2">
      <c r="A2" s="134" t="s">
        <v>1114</v>
      </c>
    </row>
    <row r="5" spans="1:6" s="139" customFormat="1" ht="15.75" x14ac:dyDescent="0.25">
      <c r="A5" s="147" t="s">
        <v>125</v>
      </c>
      <c r="B5" s="147" t="s">
        <v>174</v>
      </c>
      <c r="C5" s="147"/>
      <c r="D5" s="147"/>
      <c r="E5" s="148"/>
      <c r="F5" s="136"/>
    </row>
    <row r="6" spans="1:6" x14ac:dyDescent="0.2">
      <c r="A6" s="173"/>
      <c r="B6" s="173" t="s">
        <v>175</v>
      </c>
      <c r="C6" s="173"/>
      <c r="D6" s="173"/>
      <c r="E6" s="180"/>
      <c r="F6" s="1247">
        <v>15</v>
      </c>
    </row>
    <row r="7" spans="1:6" x14ac:dyDescent="0.2">
      <c r="A7" s="174"/>
      <c r="B7" s="174" t="s">
        <v>176</v>
      </c>
      <c r="C7" s="174"/>
      <c r="D7" s="174"/>
      <c r="E7" s="181"/>
      <c r="F7" s="1248">
        <v>12</v>
      </c>
    </row>
    <row r="8" spans="1:6" x14ac:dyDescent="0.2">
      <c r="A8" s="183"/>
      <c r="B8" s="183" t="s">
        <v>1107</v>
      </c>
      <c r="C8" s="183"/>
      <c r="D8" s="183"/>
      <c r="E8" s="792"/>
      <c r="F8" s="1249">
        <v>8</v>
      </c>
    </row>
    <row r="9" spans="1:6" x14ac:dyDescent="0.2">
      <c r="A9" s="183"/>
      <c r="B9" s="183" t="s">
        <v>1105</v>
      </c>
      <c r="C9" s="183"/>
      <c r="D9" s="184"/>
      <c r="E9" s="183"/>
      <c r="F9" s="1249">
        <v>6</v>
      </c>
    </row>
    <row r="10" spans="1:6" s="138" customFormat="1" x14ac:dyDescent="0.2">
      <c r="A10" s="175"/>
      <c r="B10" s="175" t="s">
        <v>1106</v>
      </c>
      <c r="C10" s="175"/>
      <c r="D10" s="175"/>
      <c r="E10" s="185"/>
      <c r="F10" s="1250">
        <f>+F9*5</f>
        <v>30</v>
      </c>
    </row>
    <row r="11" spans="1:6" x14ac:dyDescent="0.2">
      <c r="C11" s="1251" t="s">
        <v>128</v>
      </c>
      <c r="D11" s="1251" t="s">
        <v>129</v>
      </c>
      <c r="E11" s="134"/>
    </row>
    <row r="12" spans="1:6" x14ac:dyDescent="0.2">
      <c r="A12" s="173"/>
      <c r="B12" s="173" t="s">
        <v>1103</v>
      </c>
      <c r="C12" s="1252">
        <v>2023.92</v>
      </c>
      <c r="D12" s="1252">
        <f>+C12*12</f>
        <v>24287.040000000001</v>
      </c>
      <c r="E12" s="1253"/>
      <c r="F12" s="1254"/>
    </row>
    <row r="13" spans="1:6" x14ac:dyDescent="0.2">
      <c r="A13" s="174"/>
      <c r="B13" s="1255" t="s">
        <v>1104</v>
      </c>
      <c r="C13" s="1256">
        <v>1318.64</v>
      </c>
      <c r="D13" s="1256">
        <f>+C13*12</f>
        <v>15823.68</v>
      </c>
      <c r="E13" s="1257"/>
      <c r="F13" s="1258"/>
    </row>
    <row r="14" spans="1:6" x14ac:dyDescent="0.2">
      <c r="A14" s="175"/>
      <c r="B14" s="1259" t="s">
        <v>131</v>
      </c>
      <c r="C14" s="1260">
        <f>+C12/C13</f>
        <v>1.5348540920948857</v>
      </c>
      <c r="D14" s="1260">
        <f>+D12/D13</f>
        <v>1.5348540920948857</v>
      </c>
      <c r="E14" s="149"/>
      <c r="F14" s="154"/>
    </row>
    <row r="15" spans="1:6" x14ac:dyDescent="0.2">
      <c r="A15" s="142"/>
      <c r="B15" s="1261"/>
      <c r="C15" s="1262"/>
      <c r="D15" s="1262"/>
      <c r="E15" s="186"/>
      <c r="F15" s="187"/>
    </row>
    <row r="16" spans="1:6" x14ac:dyDescent="0.2">
      <c r="A16" s="1263"/>
      <c r="B16" s="1264">
        <v>2023</v>
      </c>
      <c r="C16" s="1264"/>
      <c r="D16" s="1264"/>
      <c r="E16" s="1251" t="s">
        <v>179</v>
      </c>
      <c r="F16" s="1251" t="s">
        <v>180</v>
      </c>
    </row>
    <row r="17" spans="1:6" x14ac:dyDescent="0.2">
      <c r="A17" s="173"/>
      <c r="B17" s="173" t="s">
        <v>23</v>
      </c>
      <c r="C17" s="173"/>
      <c r="D17" s="173"/>
      <c r="E17" s="1265">
        <v>249</v>
      </c>
      <c r="F17" s="173"/>
    </row>
    <row r="18" spans="1:6" x14ac:dyDescent="0.2">
      <c r="A18" s="174"/>
      <c r="B18" s="174" t="s">
        <v>24</v>
      </c>
      <c r="C18" s="174"/>
      <c r="D18" s="174"/>
      <c r="E18" s="1266">
        <v>11</v>
      </c>
      <c r="F18" s="174"/>
    </row>
    <row r="19" spans="1:6" x14ac:dyDescent="0.2">
      <c r="A19" s="174"/>
      <c r="B19" s="174" t="s">
        <v>181</v>
      </c>
      <c r="C19" s="174"/>
      <c r="D19" s="174"/>
      <c r="E19" s="1266">
        <v>25</v>
      </c>
      <c r="F19" s="174"/>
    </row>
    <row r="20" spans="1:6" x14ac:dyDescent="0.2">
      <c r="A20" s="174"/>
      <c r="B20" s="174" t="s">
        <v>182</v>
      </c>
      <c r="C20" s="174"/>
      <c r="D20" s="174"/>
      <c r="E20" s="1266">
        <v>5</v>
      </c>
      <c r="F20" s="174"/>
    </row>
    <row r="21" spans="1:6" x14ac:dyDescent="0.2">
      <c r="A21" s="175"/>
      <c r="B21" s="175" t="s">
        <v>183</v>
      </c>
      <c r="C21" s="175"/>
      <c r="D21" s="175"/>
      <c r="E21" s="1266">
        <v>5</v>
      </c>
      <c r="F21" s="175"/>
    </row>
    <row r="22" spans="1:6" x14ac:dyDescent="0.2">
      <c r="A22" s="143"/>
      <c r="B22" s="1267" t="s">
        <v>1109</v>
      </c>
      <c r="C22" s="1312"/>
      <c r="D22" s="1312"/>
      <c r="E22" s="1313">
        <f>+E17-E19-E20-E21</f>
        <v>214</v>
      </c>
      <c r="F22" s="1312"/>
    </row>
    <row r="23" spans="1:6" x14ac:dyDescent="0.2">
      <c r="A23" s="182"/>
      <c r="B23" s="174" t="s">
        <v>1110</v>
      </c>
      <c r="C23" s="182"/>
      <c r="D23" s="182"/>
      <c r="E23" s="1268">
        <f>+E22/12</f>
        <v>17.833333333333332</v>
      </c>
      <c r="F23" s="182"/>
    </row>
    <row r="24" spans="1:6" x14ac:dyDescent="0.2">
      <c r="E24" s="1269"/>
    </row>
    <row r="25" spans="1:6" x14ac:dyDescent="0.2">
      <c r="C25" s="140"/>
      <c r="D25" s="135"/>
    </row>
    <row r="26" spans="1:6" s="139" customFormat="1" ht="15.75" x14ac:dyDescent="0.25">
      <c r="A26" s="147" t="s">
        <v>125</v>
      </c>
      <c r="B26" s="147" t="s">
        <v>126</v>
      </c>
      <c r="C26" s="147"/>
      <c r="D26" s="147"/>
      <c r="E26" s="148"/>
      <c r="F26" s="136"/>
    </row>
    <row r="27" spans="1:6" ht="15" customHeight="1" x14ac:dyDescent="0.2">
      <c r="C27" s="140"/>
      <c r="F27" s="136"/>
    </row>
    <row r="28" spans="1:6" x14ac:dyDescent="0.2">
      <c r="A28" s="1263" t="s">
        <v>127</v>
      </c>
      <c r="B28" s="1264" t="s">
        <v>177</v>
      </c>
      <c r="C28" s="1251" t="s">
        <v>128</v>
      </c>
      <c r="D28" s="1251" t="s">
        <v>129</v>
      </c>
      <c r="E28" s="1270" t="s">
        <v>130</v>
      </c>
      <c r="F28" s="1270"/>
    </row>
    <row r="29" spans="1:6" x14ac:dyDescent="0.2">
      <c r="A29" s="173" t="s">
        <v>3</v>
      </c>
      <c r="B29" s="173" t="s">
        <v>184</v>
      </c>
      <c r="C29" s="1252">
        <f>+C30*C31</f>
        <v>3069.7081841897711</v>
      </c>
      <c r="D29" s="1252">
        <f>+C29*12</f>
        <v>36836.498210277256</v>
      </c>
      <c r="E29" s="1253">
        <f>+C29/$E$23/$F$8</f>
        <v>21.516646150862883</v>
      </c>
      <c r="F29" s="1254"/>
    </row>
    <row r="30" spans="1:6" x14ac:dyDescent="0.2">
      <c r="A30" s="174"/>
      <c r="B30" s="1255" t="s">
        <v>185</v>
      </c>
      <c r="C30" s="1271">
        <v>2000</v>
      </c>
      <c r="D30" s="1256">
        <f>+C30*12</f>
        <v>24000</v>
      </c>
      <c r="E30" s="1257">
        <f>+C30/$E$23/$F$8</f>
        <v>14.018691588785048</v>
      </c>
      <c r="F30" s="1258"/>
    </row>
    <row r="31" spans="1:6" x14ac:dyDescent="0.2">
      <c r="A31" s="175"/>
      <c r="B31" s="1259" t="s">
        <v>131</v>
      </c>
      <c r="C31" s="1260">
        <f>C14</f>
        <v>1.5348540920948857</v>
      </c>
      <c r="D31" s="1260">
        <f>D14</f>
        <v>1.5348540920948857</v>
      </c>
      <c r="E31" s="149"/>
      <c r="F31" s="154"/>
    </row>
    <row r="32" spans="1:6" x14ac:dyDescent="0.2">
      <c r="A32" s="173" t="s">
        <v>4</v>
      </c>
      <c r="B32" s="173" t="s">
        <v>171</v>
      </c>
      <c r="C32" s="1272">
        <v>100</v>
      </c>
      <c r="D32" s="1252">
        <f>+C32*12</f>
        <v>1200</v>
      </c>
      <c r="E32" s="1273"/>
      <c r="F32" s="1274"/>
    </row>
    <row r="33" spans="1:7" x14ac:dyDescent="0.2">
      <c r="A33" s="174" t="s">
        <v>5</v>
      </c>
      <c r="B33" s="174" t="s">
        <v>172</v>
      </c>
      <c r="C33" s="1271">
        <v>50</v>
      </c>
      <c r="D33" s="1256">
        <f>+C33*12</f>
        <v>600</v>
      </c>
      <c r="E33" s="1275"/>
      <c r="F33" s="1276"/>
    </row>
    <row r="34" spans="1:7" ht="14.25" customHeight="1" x14ac:dyDescent="0.2">
      <c r="A34" s="175" t="s">
        <v>110</v>
      </c>
      <c r="B34" s="175" t="s">
        <v>173</v>
      </c>
      <c r="C34" s="1277"/>
      <c r="D34" s="1278">
        <v>1500</v>
      </c>
      <c r="E34" s="1260"/>
      <c r="F34" s="1279"/>
    </row>
    <row r="35" spans="1:7" ht="14.25" customHeight="1" x14ac:dyDescent="0.2">
      <c r="A35" s="1280"/>
      <c r="B35" s="1280" t="s">
        <v>132</v>
      </c>
      <c r="C35" s="1281">
        <f>+C34+C33+C32+C29</f>
        <v>3219.7081841897711</v>
      </c>
      <c r="D35" s="1281">
        <f>+D34+D33+D32+D29</f>
        <v>40136.498210277256</v>
      </c>
      <c r="E35" s="1282"/>
      <c r="F35" s="1282"/>
    </row>
    <row r="36" spans="1:7" ht="14.25" customHeight="1" x14ac:dyDescent="0.2">
      <c r="C36" s="1283"/>
      <c r="D36" s="1283"/>
      <c r="E36" s="1283"/>
      <c r="F36" s="1270" t="s">
        <v>170</v>
      </c>
    </row>
    <row r="37" spans="1:7" s="143" customFormat="1" ht="14.25" customHeight="1" x14ac:dyDescent="0.2">
      <c r="A37" s="151"/>
      <c r="B37" s="151" t="s">
        <v>178</v>
      </c>
      <c r="C37" s="1284">
        <f>+C35*F6</f>
        <v>48295.622762846564</v>
      </c>
      <c r="D37" s="1284">
        <f>+D35*F6</f>
        <v>602047.4731541588</v>
      </c>
      <c r="E37" s="151"/>
      <c r="F37" s="152">
        <f>+D37/D67</f>
        <v>0.67286107265675932</v>
      </c>
    </row>
    <row r="38" spans="1:7" ht="14.25" customHeight="1" x14ac:dyDescent="0.2">
      <c r="C38" s="1283"/>
      <c r="D38" s="1283"/>
      <c r="E38" s="146"/>
      <c r="F38" s="155"/>
    </row>
    <row r="39" spans="1:7" ht="14.25" customHeight="1" x14ac:dyDescent="0.2">
      <c r="A39" s="1263" t="s">
        <v>133</v>
      </c>
      <c r="B39" s="1264" t="s">
        <v>134</v>
      </c>
      <c r="C39" s="1251"/>
      <c r="D39" s="1251" t="s">
        <v>129</v>
      </c>
      <c r="E39" s="1270"/>
      <c r="F39" s="156"/>
    </row>
    <row r="40" spans="1:7" ht="14.25" customHeight="1" x14ac:dyDescent="0.2">
      <c r="A40" s="173" t="s">
        <v>3</v>
      </c>
      <c r="B40" s="173" t="s">
        <v>135</v>
      </c>
      <c r="C40" s="173"/>
      <c r="D40" s="1272">
        <v>18000</v>
      </c>
      <c r="E40" s="167"/>
      <c r="F40" s="168"/>
      <c r="G40" s="141"/>
    </row>
    <row r="41" spans="1:7" ht="25.5" x14ac:dyDescent="0.2">
      <c r="A41" s="174" t="s">
        <v>4</v>
      </c>
      <c r="B41" s="1285" t="s">
        <v>166</v>
      </c>
      <c r="C41" s="174"/>
      <c r="D41" s="1271">
        <f>3600*F6</f>
        <v>54000</v>
      </c>
      <c r="E41" s="169"/>
      <c r="F41" s="170"/>
    </row>
    <row r="42" spans="1:7" ht="14.25" customHeight="1" x14ac:dyDescent="0.2">
      <c r="A42" s="174" t="s">
        <v>5</v>
      </c>
      <c r="B42" s="174" t="s">
        <v>167</v>
      </c>
      <c r="C42" s="174"/>
      <c r="D42" s="1271">
        <v>6000</v>
      </c>
      <c r="E42" s="169"/>
      <c r="F42" s="170"/>
    </row>
    <row r="43" spans="1:7" ht="14.25" customHeight="1" x14ac:dyDescent="0.2">
      <c r="A43" s="174" t="s">
        <v>110</v>
      </c>
      <c r="B43" s="174" t="s">
        <v>136</v>
      </c>
      <c r="C43" s="174"/>
      <c r="D43" s="1271">
        <v>10000</v>
      </c>
      <c r="E43" s="169"/>
      <c r="F43" s="170"/>
    </row>
    <row r="44" spans="1:7" ht="14.25" customHeight="1" x14ac:dyDescent="0.2">
      <c r="A44" s="174" t="s">
        <v>111</v>
      </c>
      <c r="B44" s="174" t="s">
        <v>137</v>
      </c>
      <c r="C44" s="174"/>
      <c r="D44" s="1271">
        <v>6000</v>
      </c>
      <c r="E44" s="169"/>
      <c r="F44" s="170"/>
    </row>
    <row r="45" spans="1:7" ht="14.25" customHeight="1" x14ac:dyDescent="0.2">
      <c r="A45" s="174" t="s">
        <v>6</v>
      </c>
      <c r="B45" s="174" t="s">
        <v>138</v>
      </c>
      <c r="C45" s="174"/>
      <c r="D45" s="1271">
        <v>18000</v>
      </c>
      <c r="E45" s="169"/>
      <c r="F45" s="170"/>
    </row>
    <row r="46" spans="1:7" ht="14.25" customHeight="1" x14ac:dyDescent="0.2">
      <c r="A46" s="174" t="s">
        <v>139</v>
      </c>
      <c r="B46" s="174" t="s">
        <v>140</v>
      </c>
      <c r="C46" s="174"/>
      <c r="D46" s="1271">
        <v>12000</v>
      </c>
      <c r="E46" s="169"/>
      <c r="F46" s="170"/>
    </row>
    <row r="47" spans="1:7" ht="14.25" customHeight="1" x14ac:dyDescent="0.2">
      <c r="A47" s="174" t="s">
        <v>7</v>
      </c>
      <c r="B47" s="174" t="s">
        <v>141</v>
      </c>
      <c r="C47" s="174"/>
      <c r="D47" s="1271">
        <v>24000</v>
      </c>
      <c r="E47" s="169"/>
      <c r="F47" s="170"/>
    </row>
    <row r="48" spans="1:7" ht="14.25" customHeight="1" x14ac:dyDescent="0.2">
      <c r="A48" s="174" t="s">
        <v>8</v>
      </c>
      <c r="B48" s="174" t="s">
        <v>142</v>
      </c>
      <c r="C48" s="174"/>
      <c r="D48" s="1271">
        <v>19200</v>
      </c>
      <c r="E48" s="169"/>
      <c r="F48" s="170"/>
    </row>
    <row r="49" spans="1:6" ht="14.25" customHeight="1" x14ac:dyDescent="0.2">
      <c r="A49" s="174" t="s">
        <v>9</v>
      </c>
      <c r="B49" s="174" t="s">
        <v>143</v>
      </c>
      <c r="C49" s="174"/>
      <c r="D49" s="1271">
        <v>1800</v>
      </c>
      <c r="E49" s="169"/>
      <c r="F49" s="170"/>
    </row>
    <row r="50" spans="1:6" ht="14.25" customHeight="1" x14ac:dyDescent="0.2">
      <c r="A50" s="174" t="s">
        <v>10</v>
      </c>
      <c r="B50" s="174" t="s">
        <v>144</v>
      </c>
      <c r="C50" s="174"/>
      <c r="D50" s="1271">
        <v>3000</v>
      </c>
      <c r="E50" s="169"/>
      <c r="F50" s="170"/>
    </row>
    <row r="51" spans="1:6" ht="14.25" customHeight="1" x14ac:dyDescent="0.2">
      <c r="A51" s="174" t="s">
        <v>11</v>
      </c>
      <c r="B51" s="174" t="s">
        <v>145</v>
      </c>
      <c r="C51" s="174"/>
      <c r="D51" s="1271">
        <v>9000</v>
      </c>
      <c r="E51" s="169"/>
      <c r="F51" s="170"/>
    </row>
    <row r="52" spans="1:6" ht="14.25" customHeight="1" x14ac:dyDescent="0.2">
      <c r="A52" s="174" t="s">
        <v>12</v>
      </c>
      <c r="B52" s="174" t="s">
        <v>146</v>
      </c>
      <c r="C52" s="174"/>
      <c r="D52" s="1271">
        <v>3600</v>
      </c>
      <c r="E52" s="169"/>
      <c r="F52" s="170"/>
    </row>
    <row r="53" spans="1:6" ht="14.25" customHeight="1" x14ac:dyDescent="0.2">
      <c r="A53" s="174" t="s">
        <v>13</v>
      </c>
      <c r="B53" s="174" t="s">
        <v>147</v>
      </c>
      <c r="C53" s="174"/>
      <c r="D53" s="1271">
        <v>8000</v>
      </c>
      <c r="E53" s="169"/>
      <c r="F53" s="170"/>
    </row>
    <row r="54" spans="1:6" ht="14.25" customHeight="1" x14ac:dyDescent="0.2">
      <c r="A54" s="174" t="s">
        <v>14</v>
      </c>
      <c r="B54" s="174" t="s">
        <v>148</v>
      </c>
      <c r="C54" s="174"/>
      <c r="D54" s="1271">
        <v>13000</v>
      </c>
      <c r="E54" s="169"/>
      <c r="F54" s="170"/>
    </row>
    <row r="55" spans="1:6" ht="14.25" customHeight="1" x14ac:dyDescent="0.2">
      <c r="A55" s="174" t="s">
        <v>15</v>
      </c>
      <c r="B55" s="174" t="s">
        <v>149</v>
      </c>
      <c r="C55" s="174"/>
      <c r="D55" s="1271">
        <v>12000</v>
      </c>
      <c r="E55" s="169"/>
      <c r="F55" s="170"/>
    </row>
    <row r="56" spans="1:6" ht="14.25" customHeight="1" x14ac:dyDescent="0.2">
      <c r="A56" s="174" t="s">
        <v>16</v>
      </c>
      <c r="B56" s="174" t="s">
        <v>150</v>
      </c>
      <c r="C56" s="174"/>
      <c r="D56" s="1271">
        <v>4500</v>
      </c>
      <c r="E56" s="169"/>
      <c r="F56" s="170"/>
    </row>
    <row r="57" spans="1:6" ht="14.25" customHeight="1" x14ac:dyDescent="0.2">
      <c r="A57" s="174" t="s">
        <v>17</v>
      </c>
      <c r="B57" s="174" t="s">
        <v>151</v>
      </c>
      <c r="C57" s="174"/>
      <c r="D57" s="1271">
        <v>1000</v>
      </c>
      <c r="E57" s="169"/>
      <c r="F57" s="170"/>
    </row>
    <row r="58" spans="1:6" ht="14.25" customHeight="1" x14ac:dyDescent="0.2">
      <c r="A58" s="174" t="s">
        <v>18</v>
      </c>
      <c r="B58" s="174" t="s">
        <v>152</v>
      </c>
      <c r="C58" s="174"/>
      <c r="D58" s="1271">
        <v>18000</v>
      </c>
      <c r="E58" s="169"/>
      <c r="F58" s="170"/>
    </row>
    <row r="59" spans="1:6" ht="14.25" customHeight="1" x14ac:dyDescent="0.2">
      <c r="A59" s="174" t="s">
        <v>19</v>
      </c>
      <c r="B59" s="174" t="s">
        <v>153</v>
      </c>
      <c r="C59" s="174"/>
      <c r="D59" s="1271">
        <v>3000</v>
      </c>
      <c r="E59" s="169"/>
      <c r="F59" s="170"/>
    </row>
    <row r="60" spans="1:6" ht="14.25" customHeight="1" x14ac:dyDescent="0.2">
      <c r="A60" s="174" t="s">
        <v>20</v>
      </c>
      <c r="B60" s="174" t="s">
        <v>154</v>
      </c>
      <c r="C60" s="174"/>
      <c r="D60" s="1271">
        <v>2000</v>
      </c>
      <c r="E60" s="169"/>
      <c r="F60" s="170"/>
    </row>
    <row r="61" spans="1:6" ht="14.25" customHeight="1" x14ac:dyDescent="0.2">
      <c r="A61" s="174" t="s">
        <v>21</v>
      </c>
      <c r="B61" s="174" t="s">
        <v>155</v>
      </c>
      <c r="C61" s="174"/>
      <c r="D61" s="1271">
        <v>8000</v>
      </c>
      <c r="E61" s="169"/>
      <c r="F61" s="170"/>
    </row>
    <row r="62" spans="1:6" ht="14.25" customHeight="1" x14ac:dyDescent="0.2">
      <c r="A62" s="175" t="s">
        <v>22</v>
      </c>
      <c r="B62" s="175" t="s">
        <v>156</v>
      </c>
      <c r="C62" s="175"/>
      <c r="D62" s="1278">
        <v>12000</v>
      </c>
      <c r="E62" s="171"/>
      <c r="F62" s="172"/>
    </row>
    <row r="63" spans="1:6" s="140" customFormat="1" ht="14.25" customHeight="1" x14ac:dyDescent="0.2">
      <c r="A63" s="151"/>
      <c r="B63" s="151" t="s">
        <v>157</v>
      </c>
      <c r="C63" s="151"/>
      <c r="D63" s="1286">
        <f>SUM(D40:D62)</f>
        <v>266100</v>
      </c>
      <c r="F63" s="152">
        <f>+D63/D67</f>
        <v>0.29739902485749153</v>
      </c>
    </row>
    <row r="64" spans="1:6" ht="14.25" customHeight="1" x14ac:dyDescent="0.2">
      <c r="A64" s="161"/>
      <c r="B64" s="1287"/>
      <c r="C64" s="1288"/>
      <c r="D64" s="1289"/>
      <c r="E64" s="153"/>
      <c r="F64" s="157"/>
    </row>
    <row r="65" spans="1:6" ht="14.25" customHeight="1" x14ac:dyDescent="0.2">
      <c r="A65" s="1290" t="s">
        <v>158</v>
      </c>
      <c r="B65" s="1290" t="s">
        <v>168</v>
      </c>
      <c r="C65" s="1291"/>
      <c r="D65" s="1286">
        <f>+D63*0.1</f>
        <v>26610</v>
      </c>
      <c r="E65" s="153"/>
      <c r="F65" s="152">
        <f>+D65/D67</f>
        <v>2.9739902485749155E-2</v>
      </c>
    </row>
    <row r="66" spans="1:6" ht="14.25" customHeight="1" thickBot="1" x14ac:dyDescent="0.25">
      <c r="A66" s="162"/>
      <c r="B66" s="162"/>
      <c r="C66" s="1292"/>
      <c r="D66" s="1293"/>
      <c r="E66" s="163"/>
      <c r="F66" s="164"/>
    </row>
    <row r="67" spans="1:6" ht="14.25" customHeight="1" thickBot="1" x14ac:dyDescent="0.25">
      <c r="A67" s="1294"/>
      <c r="B67" s="1294" t="s">
        <v>159</v>
      </c>
      <c r="C67" s="1295"/>
      <c r="D67" s="1296">
        <f>+D65+D63+D37</f>
        <v>894757.4731541588</v>
      </c>
      <c r="E67" s="165"/>
      <c r="F67" s="166">
        <v>1</v>
      </c>
    </row>
    <row r="68" spans="1:6" ht="16.5" customHeight="1" x14ac:dyDescent="0.2">
      <c r="C68" s="1283"/>
      <c r="D68" s="1283"/>
      <c r="E68" s="134"/>
      <c r="F68" s="158"/>
    </row>
    <row r="69" spans="1:6" ht="16.5" customHeight="1" x14ac:dyDescent="0.2">
      <c r="C69" s="1283"/>
      <c r="D69" s="1283"/>
      <c r="E69" s="134"/>
      <c r="F69" s="158"/>
    </row>
    <row r="70" spans="1:6" ht="13.5" customHeight="1" x14ac:dyDescent="0.25">
      <c r="A70" s="147" t="s">
        <v>160</v>
      </c>
      <c r="B70" s="147" t="s">
        <v>161</v>
      </c>
      <c r="C70" s="147"/>
      <c r="D70" s="147"/>
      <c r="E70" s="137"/>
      <c r="F70" s="148"/>
    </row>
    <row r="71" spans="1:6" ht="13.5" customHeight="1" x14ac:dyDescent="0.2">
      <c r="E71" s="134"/>
      <c r="F71" s="158"/>
    </row>
    <row r="72" spans="1:6" s="140" customFormat="1" ht="13.5" customHeight="1" x14ac:dyDescent="0.2">
      <c r="A72" s="1290" t="s">
        <v>127</v>
      </c>
      <c r="B72" s="1290" t="s">
        <v>1111</v>
      </c>
      <c r="C72" s="1297" t="s">
        <v>128</v>
      </c>
      <c r="D72" s="1297" t="s">
        <v>129</v>
      </c>
      <c r="E72" s="1270"/>
      <c r="F72" s="1270"/>
    </row>
    <row r="73" spans="1:6" ht="13.5" customHeight="1" x14ac:dyDescent="0.2">
      <c r="A73" s="173"/>
      <c r="B73" s="173" t="s">
        <v>1108</v>
      </c>
      <c r="C73" s="1252">
        <f>+E23*F9*F7</f>
        <v>1284</v>
      </c>
      <c r="D73" s="1252">
        <f>+C73*12</f>
        <v>15408</v>
      </c>
      <c r="E73" s="173"/>
      <c r="F73" s="793">
        <f>+D73/D74</f>
        <v>0.6</v>
      </c>
    </row>
    <row r="74" spans="1:6" ht="13.5" customHeight="1" x14ac:dyDescent="0.2">
      <c r="B74" s="134" t="s">
        <v>1112</v>
      </c>
      <c r="C74" s="1298">
        <f>+F6*E23*F8</f>
        <v>2140</v>
      </c>
      <c r="D74" s="1298">
        <f>+C74*12</f>
        <v>25680</v>
      </c>
      <c r="E74" s="134"/>
      <c r="F74" s="158"/>
    </row>
    <row r="75" spans="1:6" ht="13.5" customHeight="1" x14ac:dyDescent="0.2">
      <c r="A75" s="142"/>
      <c r="B75" s="142"/>
      <c r="C75" s="1262"/>
      <c r="D75" s="1299"/>
      <c r="E75" s="142"/>
      <c r="F75" s="160"/>
    </row>
    <row r="76" spans="1:6" ht="13.5" customHeight="1" x14ac:dyDescent="0.2">
      <c r="A76" s="161"/>
      <c r="B76" s="151" t="s">
        <v>162</v>
      </c>
      <c r="C76" s="1300"/>
      <c r="D76" s="1284">
        <f>+D73</f>
        <v>15408</v>
      </c>
      <c r="E76" s="161"/>
      <c r="F76" s="152"/>
    </row>
    <row r="77" spans="1:6" ht="13.5" customHeight="1" x14ac:dyDescent="0.2">
      <c r="C77" s="1283"/>
      <c r="D77" s="1283"/>
      <c r="E77" s="145"/>
      <c r="F77" s="159"/>
    </row>
    <row r="78" spans="1:6" ht="13.5" customHeight="1" x14ac:dyDescent="0.2">
      <c r="C78" s="1283"/>
      <c r="D78" s="1283"/>
      <c r="E78" s="145"/>
      <c r="F78" s="159"/>
    </row>
    <row r="79" spans="1:6" ht="13.5" customHeight="1" x14ac:dyDescent="0.2">
      <c r="A79" s="151" t="s">
        <v>133</v>
      </c>
      <c r="B79" s="151" t="s">
        <v>163</v>
      </c>
      <c r="C79" s="1300"/>
      <c r="D79" s="176"/>
      <c r="E79" s="176"/>
      <c r="F79" s="1301">
        <f>+D67/D76</f>
        <v>58.070967883836893</v>
      </c>
    </row>
    <row r="80" spans="1:6" ht="13.5" customHeight="1" x14ac:dyDescent="0.2">
      <c r="C80" s="1283"/>
      <c r="D80" s="145"/>
      <c r="E80" s="145"/>
      <c r="F80" s="1283"/>
    </row>
    <row r="81" spans="1:6" ht="13.5" customHeight="1" x14ac:dyDescent="0.2">
      <c r="C81" s="1283"/>
      <c r="D81" s="145"/>
      <c r="E81" s="145"/>
      <c r="F81" s="1283"/>
    </row>
    <row r="82" spans="1:6" ht="13.5" customHeight="1" x14ac:dyDescent="0.2">
      <c r="A82" s="1290" t="s">
        <v>158</v>
      </c>
      <c r="B82" s="1290" t="s">
        <v>164</v>
      </c>
      <c r="C82" s="1291"/>
      <c r="D82" s="150"/>
      <c r="E82" s="150"/>
      <c r="F82" s="1291"/>
    </row>
    <row r="83" spans="1:6" ht="13.5" customHeight="1" x14ac:dyDescent="0.2">
      <c r="A83" s="151"/>
      <c r="B83" s="177" t="s">
        <v>165</v>
      </c>
      <c r="C83" s="1300"/>
      <c r="D83" s="178"/>
      <c r="E83" s="178"/>
      <c r="F83" s="1302">
        <f>+F79/E29</f>
        <v>2.6988856663197054</v>
      </c>
    </row>
    <row r="84" spans="1:6" x14ac:dyDescent="0.2">
      <c r="A84" s="151"/>
      <c r="B84" s="177" t="s">
        <v>169</v>
      </c>
      <c r="C84" s="151"/>
      <c r="D84" s="179"/>
      <c r="E84" s="179"/>
      <c r="F84" s="1302">
        <f>+F79/E30</f>
        <v>4.1423957090470314</v>
      </c>
    </row>
  </sheetData>
  <pageMargins left="0.7" right="0.7" top="0.75" bottom="0.75" header="0.3" footer="0.3"/>
  <pageSetup paperSize="9" orientation="portrait" horizontalDpi="1200" verticalDpi="1200" r:id="rId1"/>
  <ignoredErrors>
    <ignoredError sqref="C29:F30 C32:F84 C31 E31:F31 E22:E23 C12:D14 F10" unlockedFormula="1"/>
    <ignoredError sqref="D31" formula="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677FE-92A5-46EF-8ED9-1CC8AC536F93}">
  <sheetPr codeName="Sheet7"/>
  <dimension ref="A1:AA184"/>
  <sheetViews>
    <sheetView showGridLines="0" workbookViewId="0">
      <selection activeCell="K48" sqref="K48"/>
    </sheetView>
    <sheetView workbookViewId="1"/>
  </sheetViews>
  <sheetFormatPr defaultRowHeight="12.75" x14ac:dyDescent="0.2"/>
  <cols>
    <col min="2" max="2" width="28.42578125" customWidth="1"/>
    <col min="3" max="4" width="11.7109375" customWidth="1"/>
    <col min="5" max="5" width="17.42578125" customWidth="1"/>
    <col min="6" max="7" width="11.7109375" customWidth="1"/>
    <col min="8" max="8" width="14.140625" customWidth="1"/>
    <col min="9" max="9" width="11.7109375" customWidth="1"/>
    <col min="10" max="10" width="18.5703125" customWidth="1"/>
    <col min="11" max="11" width="15.42578125" customWidth="1"/>
    <col min="12" max="12" width="11.7109375" customWidth="1"/>
    <col min="14" max="14" width="28.85546875" customWidth="1"/>
    <col min="15" max="20" width="12" customWidth="1"/>
    <col min="21" max="21" width="10.85546875" style="489" bestFit="1" customWidth="1"/>
    <col min="22" max="22" width="13.7109375" style="489" customWidth="1"/>
    <col min="23" max="23" width="13.140625" style="489" customWidth="1"/>
    <col min="24" max="24" width="16" style="489" customWidth="1"/>
    <col min="25" max="27" width="9.140625" style="489"/>
  </cols>
  <sheetData>
    <row r="1" spans="1:9" s="3" customFormat="1" ht="26.25" x14ac:dyDescent="0.4">
      <c r="B1" s="5" t="s">
        <v>941</v>
      </c>
      <c r="C1" s="6"/>
      <c r="D1" s="6"/>
      <c r="E1" s="6"/>
      <c r="F1" s="6"/>
      <c r="G1" s="6"/>
      <c r="H1" s="6"/>
      <c r="I1" s="526"/>
    </row>
    <row r="2" spans="1:9" ht="13.5" thickBot="1" x14ac:dyDescent="0.25"/>
    <row r="3" spans="1:9" s="78" customFormat="1" ht="18.75" x14ac:dyDescent="0.2">
      <c r="A3" s="831" t="s">
        <v>1140</v>
      </c>
      <c r="B3" s="831"/>
      <c r="C3" s="831"/>
      <c r="D3" s="831"/>
      <c r="E3" s="831"/>
      <c r="F3" s="831"/>
      <c r="G3" s="831"/>
      <c r="H3" s="831"/>
      <c r="I3" s="831"/>
    </row>
    <row r="4" spans="1:9" s="78" customFormat="1" ht="18.75" x14ac:dyDescent="0.2">
      <c r="A4" s="882"/>
      <c r="B4" s="882"/>
      <c r="C4" s="882"/>
      <c r="D4" s="882"/>
      <c r="E4" s="882"/>
      <c r="F4" s="882"/>
      <c r="G4" s="882"/>
      <c r="H4" s="882"/>
      <c r="I4" s="882"/>
    </row>
    <row r="5" spans="1:9" s="78" customFormat="1" x14ac:dyDescent="0.2">
      <c r="A5" s="81"/>
      <c r="B5" s="550" t="s">
        <v>950</v>
      </c>
      <c r="C5" s="657">
        <f>'OSNOVNI PODATKI'!F11</f>
        <v>1</v>
      </c>
      <c r="D5" s="550" t="str">
        <f>IF(C5=1,'OSNOVNI PODATKI'!B11,'OSNOVNI PODATKI'!B12)</f>
        <v>ENA STAVBA Z RAZLIČNIMI DELI (PRI IZRAČUNU POTREBNIH NU SE UPOŠTEVA SEŠTEVEK POVRŠIN VSEH DELOV)</v>
      </c>
      <c r="E5" s="509"/>
      <c r="F5" s="509"/>
      <c r="G5" s="210"/>
      <c r="H5" s="210"/>
      <c r="I5" s="210"/>
    </row>
    <row r="6" spans="1:9" s="78" customFormat="1" x14ac:dyDescent="0.2">
      <c r="A6" s="81"/>
      <c r="B6" s="550" t="s">
        <v>951</v>
      </c>
      <c r="C6" s="632">
        <f>'OSNOVNI PODATKI'!E326</f>
        <v>0</v>
      </c>
      <c r="D6" s="550"/>
      <c r="E6" s="509"/>
      <c r="F6" s="509"/>
      <c r="G6" s="210"/>
      <c r="H6" s="210"/>
      <c r="I6" s="210"/>
    </row>
    <row r="7" spans="1:9" s="78" customFormat="1" x14ac:dyDescent="0.2">
      <c r="A7" s="81"/>
      <c r="D7" s="212"/>
      <c r="E7" s="212"/>
      <c r="F7" s="212"/>
    </row>
    <row r="8" spans="1:9" s="78" customFormat="1" x14ac:dyDescent="0.2">
      <c r="A8" s="81"/>
      <c r="B8" s="212" t="str">
        <f>'OSNOVNI PODATKI'!A14</f>
        <v>STAVBA 1 / DEL 1</v>
      </c>
      <c r="C8" s="553">
        <f>'OSNOVNI PODATKI'!E14</f>
        <v>0</v>
      </c>
      <c r="D8" s="212"/>
      <c r="E8" s="212"/>
      <c r="F8" s="212"/>
    </row>
    <row r="9" spans="1:9" s="78" customFormat="1" x14ac:dyDescent="0.2">
      <c r="A9" s="81"/>
      <c r="B9" s="205" t="s">
        <v>722</v>
      </c>
      <c r="C9" s="86">
        <f>'OSNOVNI PODATKI'!E15</f>
        <v>0</v>
      </c>
      <c r="D9" s="509"/>
      <c r="E9" s="509"/>
      <c r="F9" s="509"/>
      <c r="G9" s="509"/>
      <c r="H9" s="509"/>
      <c r="I9" s="509"/>
    </row>
    <row r="10" spans="1:9" s="78" customFormat="1" x14ac:dyDescent="0.2">
      <c r="A10" s="81"/>
      <c r="B10" s="205" t="s">
        <v>952</v>
      </c>
      <c r="C10" s="86">
        <f>'OSNOVNI PODATKI'!E16</f>
        <v>0</v>
      </c>
      <c r="D10" s="509"/>
      <c r="E10" s="509"/>
      <c r="F10" s="509"/>
      <c r="G10" s="509"/>
      <c r="H10" s="509"/>
      <c r="I10" s="509"/>
    </row>
    <row r="11" spans="1:9" s="78" customFormat="1" x14ac:dyDescent="0.2">
      <c r="A11" s="81"/>
      <c r="B11" s="205" t="s">
        <v>953</v>
      </c>
      <c r="C11" s="86">
        <f>IF($C$5=1,$C$6,C10)</f>
        <v>0</v>
      </c>
      <c r="D11" s="509"/>
      <c r="E11" s="509"/>
      <c r="F11" s="509"/>
      <c r="G11" s="509"/>
      <c r="H11" s="509"/>
      <c r="I11" s="509"/>
    </row>
    <row r="12" spans="1:9" s="78" customFormat="1" x14ac:dyDescent="0.2">
      <c r="A12" s="81"/>
      <c r="B12" s="550" t="s">
        <v>885</v>
      </c>
      <c r="C12" s="549" t="str">
        <f>'OSNOVNI PODATKI'!E26</f>
        <v>/</v>
      </c>
      <c r="D12" s="509"/>
      <c r="E12" s="509"/>
      <c r="F12" s="509"/>
      <c r="G12" s="509"/>
      <c r="H12" s="509"/>
      <c r="I12" s="509"/>
    </row>
    <row r="13" spans="1:9" s="78" customFormat="1" x14ac:dyDescent="0.2">
      <c r="A13" s="81"/>
      <c r="B13" s="205" t="s">
        <v>117</v>
      </c>
      <c r="C13" s="86" t="str">
        <f>'OSNOVNI PODATKI'!E17</f>
        <v>Cenovni razred II</v>
      </c>
      <c r="D13" s="509"/>
      <c r="E13" s="509"/>
      <c r="F13" s="509"/>
      <c r="G13" s="509"/>
      <c r="H13" s="509"/>
      <c r="I13" s="509"/>
    </row>
    <row r="14" spans="1:9" s="78" customFormat="1" x14ac:dyDescent="0.2">
      <c r="A14" s="81"/>
      <c r="B14" s="542" t="s">
        <v>84</v>
      </c>
      <c r="C14" s="644" t="str">
        <f>IFERROR(0.005*POWER(IF((C21+C22+C23)&lt;25%*C20,C11*(1000+C12),(C20-37.5%*C20+50%)*C11*(1000+C12)),0.8868)/C11,"/")</f>
        <v>/</v>
      </c>
      <c r="D14" s="645" t="s">
        <v>955</v>
      </c>
      <c r="E14" s="644"/>
      <c r="F14" s="212"/>
    </row>
    <row r="15" spans="1:9" s="78" customFormat="1" x14ac:dyDescent="0.2">
      <c r="A15" s="81"/>
      <c r="B15" s="545" t="s">
        <v>85</v>
      </c>
      <c r="C15" s="646" t="str">
        <f>IFERROR(0.0058*POWER(IF((C21+C22+C23)&lt;25%*C20,C11*(1000+C12),(C20-37.5%*C20+50%)*C11*(1000+C12)),0.8868)/C11,"/")</f>
        <v>/</v>
      </c>
      <c r="D15" s="647" t="s">
        <v>955</v>
      </c>
      <c r="E15" s="646"/>
      <c r="F15" s="212"/>
    </row>
    <row r="16" spans="1:9" s="78" customFormat="1" x14ac:dyDescent="0.2">
      <c r="A16" s="81"/>
      <c r="B16" s="545" t="s">
        <v>86</v>
      </c>
      <c r="C16" s="646" t="str">
        <f>IFERROR(0.0069*POWER(IF((C21+C22+C23)&lt;25%*C20,C11*(1000+C12),(C20-37.5%*C20+50%)*C11*(1000+C12)),0.8868)/C11,"/")</f>
        <v>/</v>
      </c>
      <c r="D16" s="647" t="s">
        <v>955</v>
      </c>
      <c r="E16" s="646"/>
      <c r="F16" s="212"/>
    </row>
    <row r="17" spans="1:9" s="78" customFormat="1" x14ac:dyDescent="0.2">
      <c r="A17" s="81"/>
      <c r="B17" s="545" t="s">
        <v>87</v>
      </c>
      <c r="C17" s="646" t="str">
        <f>IFERROR(0.0086*POWER(IF((C21+C22+C23)&lt;25%*C20,C11*(1000+C12),(C20-37.5%*C20+50%)*C11*(1000+C12)),0.8868)/C11,"/")</f>
        <v>/</v>
      </c>
      <c r="D17" s="647" t="s">
        <v>955</v>
      </c>
      <c r="E17" s="646"/>
      <c r="F17" s="212"/>
    </row>
    <row r="18" spans="1:9" s="78" customFormat="1" x14ac:dyDescent="0.2">
      <c r="A18" s="81"/>
      <c r="B18" s="545" t="s">
        <v>88</v>
      </c>
      <c r="C18" s="646" t="str">
        <f>IFERROR(0.0097*POWER(IF((C21+C22+C23)&lt;25%*C20,C11*(1000+C12),(C20-37.5%*C20+50%)*C11*(1000+C12)),0.8868)/C11,"/")</f>
        <v>/</v>
      </c>
      <c r="D18" s="647" t="s">
        <v>955</v>
      </c>
      <c r="E18" s="646"/>
      <c r="F18" s="212"/>
    </row>
    <row r="19" spans="1:9" s="78" customFormat="1" x14ac:dyDescent="0.2">
      <c r="A19" s="81"/>
      <c r="B19" s="547" t="s">
        <v>884</v>
      </c>
      <c r="C19" s="648" t="str">
        <f>IFERROR(0.0105*POWER(IF((C21+C22+C23)&lt;25%*C20,C11*(1000+C12),(C20-37.5%*C20+50%)*C11*(1000+C12)),0.8868)/C11,"/")</f>
        <v>/</v>
      </c>
      <c r="D19" s="649" t="s">
        <v>955</v>
      </c>
      <c r="E19" s="648"/>
      <c r="F19" s="212"/>
    </row>
    <row r="20" spans="1:9" s="78" customFormat="1" x14ac:dyDescent="0.2">
      <c r="A20" s="81"/>
      <c r="B20" s="545" t="str">
        <f>'OSNOVNI PODATKI'!B68</f>
        <v>GRADBENO OBRTNIŠKA DELA (GO)</v>
      </c>
      <c r="C20" s="651">
        <f>'OSNOVNI PODATKI'!D37</f>
        <v>0</v>
      </c>
      <c r="D20" s="649"/>
      <c r="E20" s="876" t="e">
        <f>C20*C11*(1000+C12)</f>
        <v>#VALUE!</v>
      </c>
      <c r="F20" s="212"/>
    </row>
    <row r="21" spans="1:9" s="78" customFormat="1" x14ac:dyDescent="0.2">
      <c r="A21" s="81"/>
      <c r="B21" s="545" t="str">
        <f>'OSNOVNI PODATKI'!B69</f>
        <v>ELEKTRIČNE INŠTALACIJE (EI)</v>
      </c>
      <c r="C21" s="651">
        <f>'OSNOVNI PODATKI'!D38</f>
        <v>0</v>
      </c>
      <c r="D21" s="649"/>
      <c r="E21" s="876" t="e">
        <f>C21*C11*(1000+C12)</f>
        <v>#VALUE!</v>
      </c>
      <c r="F21" s="212"/>
    </row>
    <row r="22" spans="1:9" s="78" customFormat="1" x14ac:dyDescent="0.2">
      <c r="A22" s="81"/>
      <c r="B22" s="545" t="str">
        <f>'OSNOVNI PODATKI'!B70</f>
        <v>STROJNE INŠTALACIJE (SI)</v>
      </c>
      <c r="C22" s="651">
        <f>'OSNOVNI PODATKI'!D39</f>
        <v>0</v>
      </c>
      <c r="D22" s="649"/>
      <c r="E22" s="876" t="e">
        <f>C22*C11*(1000+C12)</f>
        <v>#VALUE!</v>
      </c>
      <c r="F22" s="212"/>
    </row>
    <row r="23" spans="1:9" s="78" customFormat="1" x14ac:dyDescent="0.2">
      <c r="A23" s="81"/>
      <c r="B23" s="545" t="str">
        <f>'OSNOVNI PODATKI'!B71</f>
        <v>TEHNOLOGIJA (TH)</v>
      </c>
      <c r="C23" s="651">
        <f>'OSNOVNI PODATKI'!D40</f>
        <v>0</v>
      </c>
      <c r="D23" s="649"/>
      <c r="E23" s="876" t="e">
        <f>C23*C11*(1000+C12)</f>
        <v>#VALUE!</v>
      </c>
      <c r="F23" s="212"/>
    </row>
    <row r="24" spans="1:9" s="78" customFormat="1" x14ac:dyDescent="0.2">
      <c r="A24" s="81"/>
      <c r="C24" s="655"/>
      <c r="D24" s="509"/>
      <c r="E24" s="656"/>
      <c r="F24" s="509"/>
      <c r="G24" s="509"/>
      <c r="H24" s="509"/>
      <c r="I24" s="509"/>
    </row>
    <row r="25" spans="1:9" s="78" customFormat="1" ht="14.25" x14ac:dyDescent="0.2">
      <c r="B25" s="86" t="s">
        <v>886</v>
      </c>
      <c r="C25" s="527" t="str">
        <f>IFERROR(LOOKUP(C13,B14:C18),"/")</f>
        <v>/</v>
      </c>
      <c r="D25" s="394" t="s">
        <v>877</v>
      </c>
      <c r="E25" s="509"/>
      <c r="F25" s="509"/>
      <c r="G25" s="509"/>
      <c r="H25" s="509"/>
      <c r="I25" s="509"/>
    </row>
    <row r="26" spans="1:9" s="78" customFormat="1" ht="14.25" x14ac:dyDescent="0.2">
      <c r="B26" s="86" t="s">
        <v>887</v>
      </c>
      <c r="C26" s="527" t="str" cm="1">
        <f t="array" ref="C26">IFERROR(INDEX(C14:C19,MATCH(C13,B14:B18)+1),"/")</f>
        <v>/</v>
      </c>
      <c r="D26" s="394" t="s">
        <v>877</v>
      </c>
      <c r="E26" s="509"/>
      <c r="F26" s="509"/>
      <c r="G26" s="509"/>
      <c r="H26" s="509"/>
      <c r="I26" s="509"/>
    </row>
    <row r="27" spans="1:9" s="78" customFormat="1" x14ac:dyDescent="0.2">
      <c r="B27" s="86" t="s">
        <v>737</v>
      </c>
      <c r="C27" s="551">
        <f>IFERROR(ROUND(C25*C10,0),0)</f>
        <v>0</v>
      </c>
      <c r="D27" s="394" t="s">
        <v>879</v>
      </c>
      <c r="E27" s="509"/>
      <c r="F27" s="509"/>
      <c r="G27" s="509"/>
      <c r="H27" s="509"/>
      <c r="I27" s="509"/>
    </row>
    <row r="28" spans="1:9" s="78" customFormat="1" x14ac:dyDescent="0.2">
      <c r="B28" s="86" t="s">
        <v>738</v>
      </c>
      <c r="C28" s="551">
        <f>IFERROR(ROUND(C26*C10,0),0)</f>
        <v>0</v>
      </c>
      <c r="D28" s="394" t="s">
        <v>879</v>
      </c>
      <c r="E28" s="509"/>
      <c r="F28" s="509"/>
      <c r="G28" s="509"/>
      <c r="H28" s="509"/>
      <c r="I28" s="509"/>
    </row>
    <row r="29" spans="1:9" s="78" customFormat="1" x14ac:dyDescent="0.2">
      <c r="A29" s="81"/>
      <c r="C29" s="300"/>
      <c r="D29" s="212"/>
      <c r="E29" s="212"/>
      <c r="F29" s="212"/>
    </row>
    <row r="30" spans="1:9" s="78" customFormat="1" x14ac:dyDescent="0.2">
      <c r="A30" s="81"/>
      <c r="B30" s="212" t="str">
        <f>'OSNOVNI PODATKI'!A45</f>
        <v>STAVBA 2 / DEL 2</v>
      </c>
      <c r="C30" s="553">
        <f>'OSNOVNI PODATKI'!E45</f>
        <v>0</v>
      </c>
      <c r="D30" s="212"/>
      <c r="E30" s="212"/>
      <c r="F30" s="212"/>
    </row>
    <row r="31" spans="1:9" s="78" customFormat="1" x14ac:dyDescent="0.2">
      <c r="A31" s="81"/>
      <c r="B31" s="205" t="s">
        <v>722</v>
      </c>
      <c r="C31" s="86">
        <f>'OSNOVNI PODATKI'!E46</f>
        <v>0</v>
      </c>
      <c r="D31" s="509"/>
      <c r="E31" s="509"/>
      <c r="F31" s="509"/>
      <c r="G31" s="509"/>
      <c r="H31" s="509"/>
      <c r="I31" s="509"/>
    </row>
    <row r="32" spans="1:9" s="78" customFormat="1" x14ac:dyDescent="0.2">
      <c r="A32" s="81"/>
      <c r="B32" s="205" t="s">
        <v>952</v>
      </c>
      <c r="C32" s="86">
        <f>'OSNOVNI PODATKI'!E47</f>
        <v>0</v>
      </c>
      <c r="D32" s="509"/>
      <c r="E32" s="509"/>
      <c r="F32" s="509"/>
      <c r="G32" s="509"/>
      <c r="H32" s="509"/>
      <c r="I32" s="509"/>
    </row>
    <row r="33" spans="1:9" s="78" customFormat="1" x14ac:dyDescent="0.2">
      <c r="A33" s="81"/>
      <c r="B33" s="205" t="s">
        <v>953</v>
      </c>
      <c r="C33" s="86">
        <f>IF($C$5=1,$C$6,C32)</f>
        <v>0</v>
      </c>
      <c r="D33" s="509"/>
      <c r="E33" s="509"/>
      <c r="F33" s="509"/>
      <c r="G33" s="509"/>
      <c r="H33" s="509"/>
      <c r="I33" s="509"/>
    </row>
    <row r="34" spans="1:9" s="78" customFormat="1" x14ac:dyDescent="0.2">
      <c r="A34" s="81"/>
      <c r="B34" s="550" t="s">
        <v>885</v>
      </c>
      <c r="C34" s="549" t="str">
        <f>'OSNOVNI PODATKI'!E57</f>
        <v>/</v>
      </c>
      <c r="D34" s="509"/>
      <c r="E34" s="509"/>
      <c r="F34" s="509"/>
      <c r="G34" s="509"/>
      <c r="H34" s="509"/>
      <c r="I34" s="509"/>
    </row>
    <row r="35" spans="1:9" s="78" customFormat="1" x14ac:dyDescent="0.2">
      <c r="A35" s="81"/>
      <c r="B35" s="205" t="s">
        <v>117</v>
      </c>
      <c r="C35" s="86" t="str">
        <f>'OSNOVNI PODATKI'!E48</f>
        <v>Cenovni razred II</v>
      </c>
      <c r="D35" s="509"/>
      <c r="E35" s="509"/>
      <c r="F35" s="509"/>
      <c r="G35" s="509"/>
      <c r="H35" s="509"/>
      <c r="I35" s="509"/>
    </row>
    <row r="36" spans="1:9" s="78" customFormat="1" x14ac:dyDescent="0.2">
      <c r="A36" s="81"/>
      <c r="B36" s="542" t="s">
        <v>84</v>
      </c>
      <c r="C36" s="644" t="str">
        <f>IFERROR(0.005*POWER(IF((C43+C44+C45)&lt;25%*C42,C33*(1000+C34),(C42-37.5%*C42+50%)*C33*(1000+C34)),0.8868)/C33,"/")</f>
        <v>/</v>
      </c>
      <c r="D36" s="544" t="s">
        <v>878</v>
      </c>
      <c r="E36" s="212"/>
      <c r="F36" s="212"/>
    </row>
    <row r="37" spans="1:9" s="78" customFormat="1" x14ac:dyDescent="0.2">
      <c r="A37" s="81"/>
      <c r="B37" s="545" t="s">
        <v>85</v>
      </c>
      <c r="C37" s="646" t="str">
        <f>IFERROR(0.0058*POWER(IF((C43+C44+C45)&lt;25%*C42,C33*(1000+C34),(C42-37.5%*C42+50%)*C33*(1000+C34)),0.8868)/C33,"/")</f>
        <v>/</v>
      </c>
      <c r="D37" s="508" t="s">
        <v>878</v>
      </c>
      <c r="E37" s="212"/>
      <c r="F37" s="212"/>
    </row>
    <row r="38" spans="1:9" s="78" customFormat="1" x14ac:dyDescent="0.2">
      <c r="A38" s="81"/>
      <c r="B38" s="545" t="s">
        <v>86</v>
      </c>
      <c r="C38" s="646" t="str">
        <f>IFERROR(0.0069*POWER(IF((C43+C44+C45)&lt;25%*C42,C33*(1000+C34),(C42-37.5%*C42+50%)*C33*(1000+C34)),0.8868)/C33,"/")</f>
        <v>/</v>
      </c>
      <c r="D38" s="508" t="s">
        <v>878</v>
      </c>
      <c r="E38" s="212"/>
      <c r="F38" s="212"/>
    </row>
    <row r="39" spans="1:9" s="78" customFormat="1" x14ac:dyDescent="0.2">
      <c r="A39" s="81"/>
      <c r="B39" s="545" t="s">
        <v>87</v>
      </c>
      <c r="C39" s="646" t="str">
        <f>IFERROR(0.0086*POWER(IF((C43+C44+C45)&lt;25%*C42,C33*(1000+C34),(C42-37.5%*C42+50%)*C33*(1000+C34)),0.8868)/C33,"/")</f>
        <v>/</v>
      </c>
      <c r="D39" s="508" t="s">
        <v>878</v>
      </c>
      <c r="E39" s="212"/>
      <c r="F39" s="212"/>
    </row>
    <row r="40" spans="1:9" s="78" customFormat="1" x14ac:dyDescent="0.2">
      <c r="A40" s="81"/>
      <c r="B40" s="545" t="s">
        <v>88</v>
      </c>
      <c r="C40" s="646" t="str">
        <f>IFERROR(0.0097*POWER(IF((C43+C44+C45)&lt;25%*C42,C33*(1000+C34),(C42-37.5%*C42+50%)*C33*(1000+C34)),0.8868)/C33,"/")</f>
        <v>/</v>
      </c>
      <c r="D40" s="508" t="s">
        <v>878</v>
      </c>
      <c r="E40" s="212"/>
      <c r="F40" s="212"/>
    </row>
    <row r="41" spans="1:9" s="78" customFormat="1" x14ac:dyDescent="0.2">
      <c r="A41" s="81"/>
      <c r="B41" s="547" t="s">
        <v>884</v>
      </c>
      <c r="C41" s="648" t="str">
        <f>IFERROR(0.0105*POWER(IF((C43+C44+C45)&lt;25%*C42,C33*(1000+C34),(C42-37.5%*C42+50%)*C33*(1000+C34)),0.8868)/C33,"/")</f>
        <v>/</v>
      </c>
      <c r="D41" s="506" t="s">
        <v>878</v>
      </c>
      <c r="E41" s="212"/>
      <c r="F41" s="212"/>
    </row>
    <row r="42" spans="1:9" s="78" customFormat="1" x14ac:dyDescent="0.2">
      <c r="A42" s="81"/>
      <c r="B42" s="545" t="str">
        <f>'OSNOVNI PODATKI'!B68</f>
        <v>GRADBENO OBRTNIŠKA DELA (GO)</v>
      </c>
      <c r="C42" s="651">
        <f>'OSNOVNI PODATKI'!D68</f>
        <v>0</v>
      </c>
      <c r="D42" s="649"/>
      <c r="E42" s="876" t="e">
        <f>C42*C33*(1000+C34)</f>
        <v>#VALUE!</v>
      </c>
      <c r="F42" s="212"/>
    </row>
    <row r="43" spans="1:9" s="78" customFormat="1" x14ac:dyDescent="0.2">
      <c r="A43" s="81"/>
      <c r="B43" s="545" t="str">
        <f>'OSNOVNI PODATKI'!B69</f>
        <v>ELEKTRIČNE INŠTALACIJE (EI)</v>
      </c>
      <c r="C43" s="651">
        <f>'OSNOVNI PODATKI'!D69</f>
        <v>0</v>
      </c>
      <c r="D43" s="649"/>
      <c r="E43" s="876" t="e">
        <f>C43*C33*(1000+C34)</f>
        <v>#VALUE!</v>
      </c>
      <c r="F43" s="212"/>
    </row>
    <row r="44" spans="1:9" s="78" customFormat="1" x14ac:dyDescent="0.2">
      <c r="A44" s="81"/>
      <c r="B44" s="545" t="str">
        <f>'OSNOVNI PODATKI'!B70</f>
        <v>STROJNE INŠTALACIJE (SI)</v>
      </c>
      <c r="C44" s="651">
        <f>'OSNOVNI PODATKI'!D70</f>
        <v>0</v>
      </c>
      <c r="D44" s="649"/>
      <c r="E44" s="876" t="e">
        <f>C44*C33*(1000+C34)</f>
        <v>#VALUE!</v>
      </c>
      <c r="F44" s="212"/>
    </row>
    <row r="45" spans="1:9" s="78" customFormat="1" x14ac:dyDescent="0.2">
      <c r="A45" s="81"/>
      <c r="B45" s="545" t="str">
        <f>'OSNOVNI PODATKI'!B71</f>
        <v>TEHNOLOGIJA (TH)</v>
      </c>
      <c r="C45" s="651">
        <f>'OSNOVNI PODATKI'!D71</f>
        <v>0</v>
      </c>
      <c r="D45" s="649"/>
      <c r="E45" s="876" t="e">
        <f>C45*C33*(1000+C34)</f>
        <v>#VALUE!</v>
      </c>
      <c r="F45" s="212"/>
    </row>
    <row r="46" spans="1:9" s="78" customFormat="1" x14ac:dyDescent="0.2">
      <c r="A46" s="81"/>
      <c r="C46" s="86"/>
      <c r="D46" s="509"/>
      <c r="E46" s="509"/>
      <c r="F46" s="509"/>
      <c r="G46" s="509"/>
      <c r="H46" s="509"/>
      <c r="I46" s="509"/>
    </row>
    <row r="47" spans="1:9" s="78" customFormat="1" ht="14.25" x14ac:dyDescent="0.2">
      <c r="B47" s="86" t="s">
        <v>886</v>
      </c>
      <c r="C47" s="527" t="str">
        <f>IFERROR(LOOKUP(C35,B36:C40),"/")</f>
        <v>/</v>
      </c>
      <c r="D47" s="394" t="s">
        <v>877</v>
      </c>
      <c r="E47" s="509"/>
      <c r="F47" s="509"/>
      <c r="G47" s="509"/>
      <c r="H47" s="509"/>
      <c r="I47" s="509"/>
    </row>
    <row r="48" spans="1:9" s="78" customFormat="1" ht="14.25" x14ac:dyDescent="0.2">
      <c r="B48" s="86" t="s">
        <v>887</v>
      </c>
      <c r="C48" s="527" t="str" cm="1">
        <f t="array" ref="C48">IFERROR(INDEX(C36:C41,MATCH(C35,B36:B40)+1),"/")</f>
        <v>/</v>
      </c>
      <c r="D48" s="394" t="s">
        <v>877</v>
      </c>
      <c r="E48" s="509"/>
      <c r="F48" s="509"/>
      <c r="G48" s="509"/>
      <c r="H48" s="509"/>
      <c r="I48" s="509"/>
    </row>
    <row r="49" spans="1:9" s="78" customFormat="1" x14ac:dyDescent="0.2">
      <c r="B49" s="86" t="s">
        <v>737</v>
      </c>
      <c r="C49" s="551">
        <f>IFERROR(ROUND(C47*C32,0),0)</f>
        <v>0</v>
      </c>
      <c r="D49" s="394" t="s">
        <v>879</v>
      </c>
      <c r="E49" s="509"/>
      <c r="F49" s="509"/>
      <c r="G49" s="509"/>
      <c r="H49" s="509"/>
      <c r="I49" s="509"/>
    </row>
    <row r="50" spans="1:9" s="78" customFormat="1" x14ac:dyDescent="0.2">
      <c r="B50" s="86" t="s">
        <v>738</v>
      </c>
      <c r="C50" s="551">
        <f>IFERROR(ROUND(C48*C32,0),0)</f>
        <v>0</v>
      </c>
      <c r="D50" s="394" t="s">
        <v>879</v>
      </c>
      <c r="E50" s="509"/>
      <c r="F50" s="509"/>
      <c r="G50" s="509"/>
      <c r="H50" s="509"/>
      <c r="I50" s="509"/>
    </row>
    <row r="51" spans="1:9" s="78" customFormat="1" x14ac:dyDescent="0.2">
      <c r="A51" s="81"/>
      <c r="C51" s="212"/>
      <c r="D51" s="212"/>
      <c r="E51" s="212"/>
      <c r="F51" s="212"/>
    </row>
    <row r="52" spans="1:9" s="78" customFormat="1" x14ac:dyDescent="0.2">
      <c r="A52" s="81"/>
      <c r="B52" s="212" t="str">
        <f>'OSNOVNI PODATKI'!A76</f>
        <v>STAVBA 3 / DEL 3</v>
      </c>
      <c r="C52" s="553">
        <f>'OSNOVNI PODATKI'!E76</f>
        <v>0</v>
      </c>
      <c r="D52" s="212"/>
      <c r="E52" s="212"/>
      <c r="F52" s="212"/>
    </row>
    <row r="53" spans="1:9" s="78" customFormat="1" x14ac:dyDescent="0.2">
      <c r="A53" s="81"/>
      <c r="B53" s="205" t="s">
        <v>722</v>
      </c>
      <c r="C53" s="86">
        <f>'OSNOVNI PODATKI'!E77</f>
        <v>0</v>
      </c>
      <c r="D53" s="509"/>
      <c r="E53" s="509"/>
      <c r="F53" s="509"/>
      <c r="G53" s="509"/>
      <c r="H53" s="509"/>
      <c r="I53" s="509"/>
    </row>
    <row r="54" spans="1:9" s="78" customFormat="1" x14ac:dyDescent="0.2">
      <c r="A54" s="81"/>
      <c r="B54" s="205" t="s">
        <v>952</v>
      </c>
      <c r="C54" s="86">
        <f>'OSNOVNI PODATKI'!E78</f>
        <v>0</v>
      </c>
      <c r="D54" s="509"/>
      <c r="E54" s="509"/>
      <c r="F54" s="509"/>
      <c r="G54" s="509"/>
      <c r="H54" s="509"/>
      <c r="I54" s="509"/>
    </row>
    <row r="55" spans="1:9" s="78" customFormat="1" x14ac:dyDescent="0.2">
      <c r="A55" s="81"/>
      <c r="B55" s="205" t="s">
        <v>953</v>
      </c>
      <c r="C55" s="86">
        <f>IF($C$5=1,$C$6,C54)</f>
        <v>0</v>
      </c>
      <c r="D55" s="509"/>
      <c r="E55" s="509"/>
      <c r="F55" s="509"/>
      <c r="G55" s="509"/>
      <c r="H55" s="509"/>
      <c r="I55" s="509"/>
    </row>
    <row r="56" spans="1:9" s="78" customFormat="1" x14ac:dyDescent="0.2">
      <c r="A56" s="81"/>
      <c r="B56" s="550" t="s">
        <v>885</v>
      </c>
      <c r="C56" s="549" t="str">
        <f>'OSNOVNI PODATKI'!E88</f>
        <v>/</v>
      </c>
      <c r="D56" s="509"/>
      <c r="E56" s="509"/>
      <c r="F56" s="509"/>
      <c r="G56" s="509"/>
      <c r="H56" s="509"/>
      <c r="I56" s="509"/>
    </row>
    <row r="57" spans="1:9" s="78" customFormat="1" x14ac:dyDescent="0.2">
      <c r="A57" s="81"/>
      <c r="B57" s="205" t="s">
        <v>117</v>
      </c>
      <c r="C57" s="86" t="str">
        <f>'OSNOVNI PODATKI'!E79</f>
        <v>Cenovni razred II</v>
      </c>
      <c r="D57" s="509"/>
      <c r="E57" s="509"/>
      <c r="F57" s="509"/>
      <c r="G57" s="509"/>
      <c r="H57" s="509"/>
      <c r="I57" s="509"/>
    </row>
    <row r="58" spans="1:9" s="78" customFormat="1" x14ac:dyDescent="0.2">
      <c r="A58" s="81"/>
      <c r="B58" s="542" t="s">
        <v>84</v>
      </c>
      <c r="C58" s="644" t="str">
        <f>IFERROR(0.005*POWER(IF((C65+C66+C67)&lt;25%*C64,C55*(1000+C56),(C64-37.5%*C64+50%)*C55*(1000+C56)),0.8868)/C55,"/")</f>
        <v>/</v>
      </c>
      <c r="D58" s="544" t="s">
        <v>878</v>
      </c>
      <c r="E58" s="212"/>
      <c r="F58" s="212"/>
    </row>
    <row r="59" spans="1:9" s="78" customFormat="1" x14ac:dyDescent="0.2">
      <c r="A59" s="81"/>
      <c r="B59" s="545" t="s">
        <v>85</v>
      </c>
      <c r="C59" s="646" t="str">
        <f>IFERROR(0.0058*POWER(IF((C65+C66+C67)&lt;25%*C64,C55*(1000+C56),(C64-37.5%*C64+50%)*C55*(1000+C56)),0.8868)/C55,"/")</f>
        <v>/</v>
      </c>
      <c r="D59" s="508" t="s">
        <v>878</v>
      </c>
      <c r="E59" s="212"/>
      <c r="F59" s="212"/>
    </row>
    <row r="60" spans="1:9" s="78" customFormat="1" x14ac:dyDescent="0.2">
      <c r="A60" s="81"/>
      <c r="B60" s="545" t="s">
        <v>86</v>
      </c>
      <c r="C60" s="646" t="str">
        <f>IFERROR(0.0069*POWER(IF((C65+C66+C67)&lt;25%*C64,C55*(1000+C56),(C64-37.5%*C64+50%)*C55*(1000+C56)),0.8868)/C55,"/")</f>
        <v>/</v>
      </c>
      <c r="D60" s="508" t="s">
        <v>878</v>
      </c>
      <c r="E60" s="212"/>
      <c r="F60" s="212"/>
    </row>
    <row r="61" spans="1:9" s="78" customFormat="1" x14ac:dyDescent="0.2">
      <c r="A61" s="81"/>
      <c r="B61" s="545" t="s">
        <v>87</v>
      </c>
      <c r="C61" s="646" t="str">
        <f>IFERROR(0.0086*POWER(IF((C65+C66+C67)&lt;25%*C64,C55*(1000+C56),(C64-37.5%*C64+50%)*C55*(1000+C56)),0.8868)/C55,"/")</f>
        <v>/</v>
      </c>
      <c r="D61" s="508" t="s">
        <v>878</v>
      </c>
      <c r="E61" s="212"/>
      <c r="F61" s="212"/>
    </row>
    <row r="62" spans="1:9" s="78" customFormat="1" x14ac:dyDescent="0.2">
      <c r="A62" s="81"/>
      <c r="B62" s="545" t="s">
        <v>88</v>
      </c>
      <c r="C62" s="646" t="str">
        <f>IFERROR(0.0097*POWER(IF((C65+C66+C67)&lt;25%*C64,C55*(1000+C56),(C64-37.5%*C64+50%)*C55*(1000+C56)),0.8868)/C55,"/")</f>
        <v>/</v>
      </c>
      <c r="D62" s="508" t="s">
        <v>878</v>
      </c>
      <c r="E62" s="212"/>
      <c r="F62" s="212"/>
    </row>
    <row r="63" spans="1:9" s="78" customFormat="1" x14ac:dyDescent="0.2">
      <c r="A63" s="81"/>
      <c r="B63" s="547" t="s">
        <v>884</v>
      </c>
      <c r="C63" s="648" t="str">
        <f>IFERROR(0.0105*POWER(IF((C65+C66+C67)&lt;25%*C64,C55*(1000+C56),(C64-37.5%*C64+50%)*C55*(1000+C56)),0.8868)/C55,"/")</f>
        <v>/</v>
      </c>
      <c r="D63" s="506" t="s">
        <v>878</v>
      </c>
      <c r="E63" s="212"/>
      <c r="F63" s="212"/>
    </row>
    <row r="64" spans="1:9" s="78" customFormat="1" x14ac:dyDescent="0.2">
      <c r="A64" s="81"/>
      <c r="B64" s="545" t="str">
        <f>'OSNOVNI PODATKI'!B99</f>
        <v>GRADBENO OBRTNIŠKA DELA (GO)</v>
      </c>
      <c r="C64" s="651">
        <f>'OSNOVNI PODATKI'!D99</f>
        <v>0</v>
      </c>
      <c r="D64" s="649"/>
      <c r="E64" s="876" t="e">
        <f>C64*C55*(1000+C56)</f>
        <v>#VALUE!</v>
      </c>
      <c r="F64" s="212"/>
    </row>
    <row r="65" spans="1:9" s="78" customFormat="1" x14ac:dyDescent="0.2">
      <c r="A65" s="81"/>
      <c r="B65" s="545" t="str">
        <f>'OSNOVNI PODATKI'!B100</f>
        <v>ELEKTRIČNE INŠTALACIJE (EI)</v>
      </c>
      <c r="C65" s="651">
        <f>'OSNOVNI PODATKI'!D100</f>
        <v>0</v>
      </c>
      <c r="D65" s="649"/>
      <c r="E65" s="876" t="e">
        <f>C65*C55*(1000+C56)</f>
        <v>#VALUE!</v>
      </c>
      <c r="F65" s="212"/>
    </row>
    <row r="66" spans="1:9" s="78" customFormat="1" x14ac:dyDescent="0.2">
      <c r="A66" s="81"/>
      <c r="B66" s="545" t="str">
        <f>'OSNOVNI PODATKI'!B101</f>
        <v>STROJNE INŠTALACIJE (SI)</v>
      </c>
      <c r="C66" s="651">
        <f>'OSNOVNI PODATKI'!D101</f>
        <v>0</v>
      </c>
      <c r="D66" s="649"/>
      <c r="E66" s="876" t="e">
        <f>C66*C55*(1000+C56)</f>
        <v>#VALUE!</v>
      </c>
      <c r="F66" s="212"/>
    </row>
    <row r="67" spans="1:9" s="78" customFormat="1" x14ac:dyDescent="0.2">
      <c r="A67" s="81"/>
      <c r="B67" s="545" t="str">
        <f>'OSNOVNI PODATKI'!B102</f>
        <v>TEHNOLOGIJA (TH)</v>
      </c>
      <c r="C67" s="651">
        <f>'OSNOVNI PODATKI'!D102</f>
        <v>0</v>
      </c>
      <c r="D67" s="649"/>
      <c r="E67" s="876" t="e">
        <f>C67*C55*(1000+C56)</f>
        <v>#VALUE!</v>
      </c>
      <c r="F67" s="212"/>
    </row>
    <row r="68" spans="1:9" s="78" customFormat="1" x14ac:dyDescent="0.2">
      <c r="A68" s="81"/>
      <c r="C68" s="86"/>
      <c r="D68" s="509"/>
      <c r="E68" s="509"/>
      <c r="F68" s="509"/>
      <c r="G68" s="509"/>
      <c r="H68" s="509"/>
      <c r="I68" s="509"/>
    </row>
    <row r="69" spans="1:9" s="78" customFormat="1" ht="14.25" x14ac:dyDescent="0.2">
      <c r="B69" s="86" t="s">
        <v>886</v>
      </c>
      <c r="C69" s="527" t="str">
        <f>IFERROR(LOOKUP(C57,B58:C62),"/")</f>
        <v>/</v>
      </c>
      <c r="D69" s="394" t="s">
        <v>877</v>
      </c>
      <c r="E69" s="509"/>
      <c r="F69" s="509"/>
      <c r="G69" s="509"/>
      <c r="H69" s="509"/>
      <c r="I69" s="509"/>
    </row>
    <row r="70" spans="1:9" s="78" customFormat="1" ht="14.25" x14ac:dyDescent="0.2">
      <c r="B70" s="86" t="s">
        <v>887</v>
      </c>
      <c r="C70" s="527" t="str" cm="1">
        <f t="array" ref="C70">IFERROR(INDEX(C58:C63,MATCH(C57,B58:B62)+1),"/")</f>
        <v>/</v>
      </c>
      <c r="D70" s="394" t="s">
        <v>877</v>
      </c>
      <c r="E70" s="509"/>
      <c r="F70" s="509"/>
      <c r="G70" s="509"/>
      <c r="H70" s="509"/>
      <c r="I70" s="509"/>
    </row>
    <row r="71" spans="1:9" s="78" customFormat="1" x14ac:dyDescent="0.2">
      <c r="B71" s="86" t="s">
        <v>737</v>
      </c>
      <c r="C71" s="551">
        <f>IFERROR(ROUND(C69*C54,0),0)</f>
        <v>0</v>
      </c>
      <c r="D71" s="394" t="s">
        <v>879</v>
      </c>
      <c r="E71" s="509"/>
      <c r="F71" s="509"/>
      <c r="G71" s="509"/>
      <c r="H71" s="509"/>
      <c r="I71" s="509"/>
    </row>
    <row r="72" spans="1:9" s="78" customFormat="1" x14ac:dyDescent="0.2">
      <c r="B72" s="86" t="s">
        <v>738</v>
      </c>
      <c r="C72" s="551">
        <f>IFERROR(ROUND(C70*C54,0),0)</f>
        <v>0</v>
      </c>
      <c r="D72" s="394" t="s">
        <v>879</v>
      </c>
      <c r="E72" s="509"/>
      <c r="F72" s="509"/>
      <c r="G72" s="509"/>
      <c r="H72" s="509"/>
      <c r="I72" s="509"/>
    </row>
    <row r="73" spans="1:9" s="78" customFormat="1" x14ac:dyDescent="0.2">
      <c r="A73" s="81"/>
      <c r="C73" s="212"/>
      <c r="D73" s="212"/>
      <c r="E73" s="212"/>
      <c r="F73" s="212"/>
    </row>
    <row r="74" spans="1:9" s="78" customFormat="1" x14ac:dyDescent="0.2">
      <c r="A74" s="81"/>
      <c r="B74" s="212" t="str">
        <f>'OSNOVNI PODATKI'!A107</f>
        <v>STAVBA 4 / DEL 4</v>
      </c>
      <c r="C74" s="553">
        <f>'OSNOVNI PODATKI'!E107</f>
        <v>0</v>
      </c>
      <c r="D74" s="212"/>
      <c r="E74" s="212"/>
      <c r="F74" s="212"/>
    </row>
    <row r="75" spans="1:9" s="78" customFormat="1" x14ac:dyDescent="0.2">
      <c r="A75" s="81"/>
      <c r="B75" s="205" t="s">
        <v>722</v>
      </c>
      <c r="C75" s="86">
        <f>'OSNOVNI PODATKI'!E108</f>
        <v>0</v>
      </c>
      <c r="D75" s="509"/>
      <c r="E75" s="509"/>
      <c r="F75" s="509"/>
      <c r="G75" s="509"/>
      <c r="H75" s="509"/>
      <c r="I75" s="509"/>
    </row>
    <row r="76" spans="1:9" s="78" customFormat="1" x14ac:dyDescent="0.2">
      <c r="A76" s="81"/>
      <c r="B76" s="205" t="s">
        <v>952</v>
      </c>
      <c r="C76" s="86">
        <f>'OSNOVNI PODATKI'!E109</f>
        <v>0</v>
      </c>
      <c r="D76" s="509"/>
      <c r="E76" s="509"/>
      <c r="F76" s="509"/>
      <c r="G76" s="509"/>
      <c r="H76" s="509"/>
      <c r="I76" s="509"/>
    </row>
    <row r="77" spans="1:9" s="78" customFormat="1" x14ac:dyDescent="0.2">
      <c r="A77" s="81"/>
      <c r="B77" s="205" t="s">
        <v>953</v>
      </c>
      <c r="C77" s="86">
        <f>IF($C$5=1,$C$6,C76)</f>
        <v>0</v>
      </c>
      <c r="D77" s="509"/>
      <c r="E77" s="509"/>
      <c r="F77" s="509"/>
      <c r="G77" s="509"/>
      <c r="H77" s="509"/>
      <c r="I77" s="509"/>
    </row>
    <row r="78" spans="1:9" s="78" customFormat="1" x14ac:dyDescent="0.2">
      <c r="A78" s="81"/>
      <c r="B78" s="550" t="s">
        <v>885</v>
      </c>
      <c r="C78" s="549" t="str">
        <f>'OSNOVNI PODATKI'!E119</f>
        <v>/</v>
      </c>
      <c r="D78" s="509"/>
      <c r="E78" s="509"/>
      <c r="F78" s="509"/>
      <c r="G78" s="509"/>
      <c r="H78" s="509"/>
      <c r="I78" s="509"/>
    </row>
    <row r="79" spans="1:9" s="78" customFormat="1" x14ac:dyDescent="0.2">
      <c r="A79" s="81"/>
      <c r="B79" s="205" t="s">
        <v>117</v>
      </c>
      <c r="C79" s="86" t="str">
        <f>'OSNOVNI PODATKI'!E110</f>
        <v>Cenovni razred II</v>
      </c>
      <c r="D79" s="509"/>
      <c r="E79" s="509"/>
      <c r="F79" s="509"/>
      <c r="G79" s="509"/>
      <c r="H79" s="509"/>
      <c r="I79" s="509"/>
    </row>
    <row r="80" spans="1:9" s="78" customFormat="1" x14ac:dyDescent="0.2">
      <c r="A80" s="81"/>
      <c r="B80" s="542" t="s">
        <v>84</v>
      </c>
      <c r="C80" s="644" t="str">
        <f>IFERROR(0.005*POWER(IF((C87+C88+C89)&lt;25%*C86,C77*(1000+C78),(C86-37.5%*C86+50%)*C77*(1000+C78)),0.8868)/C77,"/")</f>
        <v>/</v>
      </c>
      <c r="D80" s="544" t="s">
        <v>878</v>
      </c>
      <c r="E80" s="212"/>
      <c r="F80" s="212"/>
    </row>
    <row r="81" spans="1:12" s="78" customFormat="1" x14ac:dyDescent="0.2">
      <c r="A81" s="81"/>
      <c r="B81" s="545" t="s">
        <v>85</v>
      </c>
      <c r="C81" s="646" t="str">
        <f>IFERROR(0.0058*POWER(IF((C87+C88+C89)&lt;25%*C86,C77*(1000+C78),(C86-37.5%*C86+50%)*C77*(1000+C78)),0.8868)/C77,"/")</f>
        <v>/</v>
      </c>
      <c r="D81" s="508" t="s">
        <v>878</v>
      </c>
      <c r="E81" s="212"/>
      <c r="F81" s="212"/>
    </row>
    <row r="82" spans="1:12" s="78" customFormat="1" x14ac:dyDescent="0.2">
      <c r="A82" s="81"/>
      <c r="B82" s="545" t="s">
        <v>86</v>
      </c>
      <c r="C82" s="646" t="str">
        <f>IFERROR(0.0069*POWER(IF((C87+C88+C89)&lt;25%*C86,C77*(1000+C78),(C86-37.5%*C86+50%)*C77*(1000+C78)),0.8868)/C77,"/")</f>
        <v>/</v>
      </c>
      <c r="D82" s="508" t="s">
        <v>878</v>
      </c>
      <c r="E82" s="212"/>
      <c r="F82" s="212"/>
    </row>
    <row r="83" spans="1:12" s="78" customFormat="1" x14ac:dyDescent="0.2">
      <c r="A83" s="81"/>
      <c r="B83" s="545" t="s">
        <v>87</v>
      </c>
      <c r="C83" s="646" t="str">
        <f>IFERROR(0.0086*POWER(IF((C87+C88+C89)&lt;25%*C86,C77*(1000+C78),(C86-37.5%*C86+50%)*C77*(1000+C78)),0.8868)/C77,"/")</f>
        <v>/</v>
      </c>
      <c r="D83" s="508" t="s">
        <v>878</v>
      </c>
      <c r="E83" s="212"/>
      <c r="F83" s="212"/>
    </row>
    <row r="84" spans="1:12" s="78" customFormat="1" x14ac:dyDescent="0.2">
      <c r="A84" s="81"/>
      <c r="B84" s="545" t="s">
        <v>88</v>
      </c>
      <c r="C84" s="646" t="str">
        <f>IFERROR(0.0097*POWER(IF((C87+C88+C89)&lt;25%*C86,C77*(1000+C78),(C86-37.5%*C86+50%)*C77*(1000+C78)),0.8868)/C77,"/")</f>
        <v>/</v>
      </c>
      <c r="D84" s="508" t="s">
        <v>878</v>
      </c>
      <c r="E84" s="212"/>
      <c r="F84" s="212"/>
    </row>
    <row r="85" spans="1:12" s="78" customFormat="1" x14ac:dyDescent="0.2">
      <c r="A85" s="81"/>
      <c r="B85" s="547" t="s">
        <v>884</v>
      </c>
      <c r="C85" s="648" t="str">
        <f>IFERROR(0.0105*POWER(IF((C87+C88+C89)&lt;25%*C86,C77*(1000+C78),(C86-37.5%*C86+50%)*C77*(1000+C78)),0.8868)/C77,"/")</f>
        <v>/</v>
      </c>
      <c r="D85" s="506" t="s">
        <v>878</v>
      </c>
      <c r="E85" s="212"/>
      <c r="F85" s="212"/>
    </row>
    <row r="86" spans="1:12" s="78" customFormat="1" x14ac:dyDescent="0.2">
      <c r="A86" s="81"/>
      <c r="B86" s="545" t="str">
        <f>'OSNOVNI PODATKI'!B130</f>
        <v>GRADBENO OBRTNIŠKA DELA (GO)</v>
      </c>
      <c r="C86" s="651">
        <f>'OSNOVNI PODATKI'!D130</f>
        <v>0</v>
      </c>
      <c r="D86" s="649"/>
      <c r="E86" s="876" t="e">
        <f>C86*C77*(1000+C78)</f>
        <v>#VALUE!</v>
      </c>
      <c r="F86" s="212"/>
      <c r="L86" s="647"/>
    </row>
    <row r="87" spans="1:12" s="78" customFormat="1" x14ac:dyDescent="0.2">
      <c r="A87" s="81"/>
      <c r="B87" s="545" t="str">
        <f>'OSNOVNI PODATKI'!B131</f>
        <v>ELEKTRIČNE INŠTALACIJE (EI)</v>
      </c>
      <c r="C87" s="651">
        <f>'OSNOVNI PODATKI'!D131</f>
        <v>0</v>
      </c>
      <c r="D87" s="649"/>
      <c r="E87" s="876" t="e">
        <f>C87*C77*(1000+C78)</f>
        <v>#VALUE!</v>
      </c>
      <c r="F87" s="212"/>
      <c r="L87" s="647"/>
    </row>
    <row r="88" spans="1:12" s="78" customFormat="1" x14ac:dyDescent="0.2">
      <c r="A88" s="81"/>
      <c r="B88" s="545" t="str">
        <f>'OSNOVNI PODATKI'!B132</f>
        <v>STROJNE INŠTALACIJE (SI)</v>
      </c>
      <c r="C88" s="651">
        <f>'OSNOVNI PODATKI'!D132</f>
        <v>0</v>
      </c>
      <c r="D88" s="649"/>
      <c r="E88" s="876" t="e">
        <f>C88*C77*(1000+C78)</f>
        <v>#VALUE!</v>
      </c>
      <c r="F88" s="212"/>
      <c r="L88" s="647"/>
    </row>
    <row r="89" spans="1:12" s="78" customFormat="1" x14ac:dyDescent="0.2">
      <c r="A89" s="81"/>
      <c r="B89" s="545" t="str">
        <f>'OSNOVNI PODATKI'!B133</f>
        <v>TEHNOLOGIJA (TH)</v>
      </c>
      <c r="C89" s="651">
        <f>'OSNOVNI PODATKI'!D133</f>
        <v>0</v>
      </c>
      <c r="D89" s="649"/>
      <c r="E89" s="876" t="e">
        <f>C89*C77*(1000+C78)</f>
        <v>#VALUE!</v>
      </c>
      <c r="F89" s="212"/>
      <c r="L89" s="647"/>
    </row>
    <row r="90" spans="1:12" s="78" customFormat="1" x14ac:dyDescent="0.2">
      <c r="A90" s="81"/>
      <c r="C90" s="86"/>
      <c r="D90" s="509"/>
      <c r="E90" s="509"/>
      <c r="F90" s="509"/>
      <c r="G90" s="509"/>
      <c r="H90" s="509"/>
      <c r="I90" s="509"/>
    </row>
    <row r="91" spans="1:12" s="78" customFormat="1" ht="14.25" x14ac:dyDescent="0.2">
      <c r="B91" s="86" t="s">
        <v>886</v>
      </c>
      <c r="C91" s="527" t="str">
        <f>IFERROR(LOOKUP(C79,B80:C84),"/")</f>
        <v>/</v>
      </c>
      <c r="D91" s="394" t="s">
        <v>877</v>
      </c>
      <c r="E91" s="509"/>
      <c r="F91" s="509"/>
      <c r="G91" s="509"/>
      <c r="H91" s="509"/>
      <c r="I91" s="509"/>
    </row>
    <row r="92" spans="1:12" s="78" customFormat="1" ht="14.25" x14ac:dyDescent="0.2">
      <c r="B92" s="86" t="s">
        <v>887</v>
      </c>
      <c r="C92" s="527" t="str" cm="1">
        <f t="array" ref="C92">IFERROR(INDEX(C80:C85,MATCH(C79,B80:B84)+1),"/")</f>
        <v>/</v>
      </c>
      <c r="D92" s="394" t="s">
        <v>877</v>
      </c>
      <c r="E92" s="509"/>
      <c r="F92" s="509"/>
      <c r="G92" s="509"/>
      <c r="H92" s="509"/>
      <c r="I92" s="509"/>
    </row>
    <row r="93" spans="1:12" s="78" customFormat="1" x14ac:dyDescent="0.2">
      <c r="B93" s="86" t="s">
        <v>737</v>
      </c>
      <c r="C93" s="551">
        <f>IFERROR(ROUND(C91*C76,0),0)</f>
        <v>0</v>
      </c>
      <c r="D93" s="394" t="s">
        <v>879</v>
      </c>
      <c r="E93" s="509"/>
      <c r="F93" s="509"/>
      <c r="G93" s="509"/>
      <c r="H93" s="509"/>
      <c r="I93" s="509"/>
    </row>
    <row r="94" spans="1:12" s="78" customFormat="1" x14ac:dyDescent="0.2">
      <c r="B94" s="86" t="s">
        <v>738</v>
      </c>
      <c r="C94" s="551">
        <f>IFERROR(ROUND(C92*C76,0),0)</f>
        <v>0</v>
      </c>
      <c r="D94" s="394" t="s">
        <v>879</v>
      </c>
      <c r="E94" s="509"/>
      <c r="F94" s="509"/>
      <c r="G94" s="509"/>
      <c r="H94" s="509"/>
      <c r="I94" s="509"/>
    </row>
    <row r="95" spans="1:12" s="78" customFormat="1" x14ac:dyDescent="0.2">
      <c r="A95" s="81"/>
      <c r="C95" s="212"/>
      <c r="D95" s="212"/>
      <c r="E95" s="212"/>
      <c r="F95" s="212"/>
    </row>
    <row r="96" spans="1:12" s="78" customFormat="1" x14ac:dyDescent="0.2">
      <c r="A96" s="81"/>
      <c r="B96" s="212" t="str">
        <f>'OSNOVNI PODATKI'!A138</f>
        <v>STAVBA 5 / DEL 5</v>
      </c>
      <c r="C96" s="553">
        <f>'OSNOVNI PODATKI'!E138</f>
        <v>0</v>
      </c>
      <c r="D96" s="212"/>
      <c r="E96" s="212"/>
      <c r="F96" s="212"/>
    </row>
    <row r="97" spans="1:12" s="78" customFormat="1" x14ac:dyDescent="0.2">
      <c r="A97" s="81"/>
      <c r="B97" s="205" t="s">
        <v>722</v>
      </c>
      <c r="C97" s="86">
        <f>'OSNOVNI PODATKI'!E139</f>
        <v>0</v>
      </c>
      <c r="D97" s="509"/>
      <c r="E97" s="509"/>
      <c r="F97" s="509"/>
      <c r="G97" s="509"/>
      <c r="H97" s="509"/>
      <c r="I97" s="509"/>
    </row>
    <row r="98" spans="1:12" s="78" customFormat="1" x14ac:dyDescent="0.2">
      <c r="A98" s="81"/>
      <c r="B98" s="205" t="s">
        <v>952</v>
      </c>
      <c r="C98" s="86">
        <f>'OSNOVNI PODATKI'!E140</f>
        <v>0</v>
      </c>
      <c r="D98" s="509"/>
      <c r="E98" s="509"/>
      <c r="F98" s="509"/>
      <c r="G98" s="509"/>
      <c r="H98" s="509"/>
      <c r="I98" s="509"/>
    </row>
    <row r="99" spans="1:12" s="78" customFormat="1" x14ac:dyDescent="0.2">
      <c r="A99" s="81"/>
      <c r="B99" s="205" t="s">
        <v>953</v>
      </c>
      <c r="C99" s="86">
        <f>IF($C$5=1,$C$6,C98)</f>
        <v>0</v>
      </c>
      <c r="D99" s="509"/>
      <c r="E99" s="509"/>
      <c r="F99" s="509"/>
      <c r="G99" s="509"/>
      <c r="H99" s="509"/>
      <c r="I99" s="509"/>
    </row>
    <row r="100" spans="1:12" s="78" customFormat="1" x14ac:dyDescent="0.2">
      <c r="A100" s="81"/>
      <c r="B100" s="550" t="s">
        <v>885</v>
      </c>
      <c r="C100" s="549" t="str">
        <f>'OSNOVNI PODATKI'!E150</f>
        <v>/</v>
      </c>
      <c r="D100" s="509"/>
      <c r="E100" s="509"/>
      <c r="F100" s="509"/>
      <c r="G100" s="509"/>
      <c r="H100" s="509"/>
      <c r="I100" s="509"/>
    </row>
    <row r="101" spans="1:12" s="78" customFormat="1" x14ac:dyDescent="0.2">
      <c r="A101" s="81"/>
      <c r="B101" s="205" t="s">
        <v>117</v>
      </c>
      <c r="C101" s="86" t="str">
        <f>'OSNOVNI PODATKI'!E141</f>
        <v>Cenovni razred II</v>
      </c>
      <c r="D101" s="509"/>
      <c r="E101" s="509"/>
      <c r="F101" s="509"/>
      <c r="G101" s="509"/>
      <c r="H101" s="509"/>
      <c r="I101" s="509"/>
    </row>
    <row r="102" spans="1:12" s="78" customFormat="1" x14ac:dyDescent="0.2">
      <c r="A102" s="81"/>
      <c r="B102" s="542" t="s">
        <v>84</v>
      </c>
      <c r="C102" s="644" t="str">
        <f>IFERROR(0.005*POWER(IF((C109+C110+C111)&lt;25%*C108,C99*(1000+C100),(C108-37.5%*C108+50%)*C99*(1000+C100)),0.8868)/C99,"/")</f>
        <v>/</v>
      </c>
      <c r="D102" s="544" t="s">
        <v>878</v>
      </c>
      <c r="E102" s="212"/>
      <c r="F102" s="212"/>
    </row>
    <row r="103" spans="1:12" s="78" customFormat="1" x14ac:dyDescent="0.2">
      <c r="A103" s="81"/>
      <c r="B103" s="545" t="s">
        <v>85</v>
      </c>
      <c r="C103" s="646" t="str">
        <f>IFERROR(0.0058*POWER(IF((C109+C110+C111)&lt;25%*C108,C99*(1000+C100),(C108-37.5%*C108+50%)*C99*(1000+C100)),0.8868)/C99,"/")</f>
        <v>/</v>
      </c>
      <c r="D103" s="508" t="s">
        <v>878</v>
      </c>
      <c r="E103" s="212"/>
      <c r="F103" s="212"/>
    </row>
    <row r="104" spans="1:12" s="78" customFormat="1" x14ac:dyDescent="0.2">
      <c r="A104" s="81"/>
      <c r="B104" s="545" t="s">
        <v>86</v>
      </c>
      <c r="C104" s="646" t="str">
        <f>IFERROR(0.0069*POWER(IF((C109+C110+C111)&lt;25%*C108,C99*(1000+C100),(C108-37.5%*C108+50%)*C99*(1000+C100)),0.8868)/C99,"/")</f>
        <v>/</v>
      </c>
      <c r="D104" s="508" t="s">
        <v>878</v>
      </c>
      <c r="E104" s="212"/>
      <c r="F104" s="212"/>
    </row>
    <row r="105" spans="1:12" s="78" customFormat="1" x14ac:dyDescent="0.2">
      <c r="A105" s="81"/>
      <c r="B105" s="545" t="s">
        <v>87</v>
      </c>
      <c r="C105" s="646" t="str">
        <f>IFERROR(0.0086*POWER(IF((C109+C110+C111)&lt;25%*C108,C99*(1000+C100),(C108-37.5%*C108+50%)*C99*(1000+C100)),0.8868)/C99,"/")</f>
        <v>/</v>
      </c>
      <c r="D105" s="508" t="s">
        <v>878</v>
      </c>
      <c r="E105" s="212"/>
      <c r="F105" s="212"/>
    </row>
    <row r="106" spans="1:12" s="78" customFormat="1" x14ac:dyDescent="0.2">
      <c r="A106" s="81"/>
      <c r="B106" s="545" t="s">
        <v>88</v>
      </c>
      <c r="C106" s="646" t="str">
        <f>IFERROR(0.0097*POWER(IF((C109+C110+C111)&lt;25%*C108,C99*(1000+C100),(C108-37.5%*C108+50%)*C99*(1000+C100)),0.8868)/C99,"/")</f>
        <v>/</v>
      </c>
      <c r="D106" s="508" t="s">
        <v>878</v>
      </c>
      <c r="E106" s="212"/>
      <c r="F106" s="212"/>
    </row>
    <row r="107" spans="1:12" s="78" customFormat="1" x14ac:dyDescent="0.2">
      <c r="A107" s="81"/>
      <c r="B107" s="547" t="s">
        <v>884</v>
      </c>
      <c r="C107" s="648" t="str">
        <f>IFERROR(0.0105*POWER(IF((C109+C110+C111)&lt;25%*C108,C99*(1000+C100),(C108-37.5%*C108+50%)*C99*(1000+C100)),0.8868)/C99,"/")</f>
        <v>/</v>
      </c>
      <c r="D107" s="506" t="s">
        <v>878</v>
      </c>
      <c r="E107" s="212"/>
      <c r="F107" s="212"/>
    </row>
    <row r="108" spans="1:12" s="78" customFormat="1" x14ac:dyDescent="0.2">
      <c r="A108" s="81"/>
      <c r="B108" s="545" t="str">
        <f>'OSNOVNI PODATKI'!B161</f>
        <v>GRADBENO OBRTNIŠKA DELA (GO)</v>
      </c>
      <c r="C108" s="651">
        <f>'OSNOVNI PODATKI'!D161</f>
        <v>0</v>
      </c>
      <c r="D108" s="649"/>
      <c r="E108" s="876" t="e">
        <f>C108*C99*(1000+C100)</f>
        <v>#VALUE!</v>
      </c>
      <c r="F108" s="212"/>
      <c r="L108" s="647"/>
    </row>
    <row r="109" spans="1:12" s="78" customFormat="1" x14ac:dyDescent="0.2">
      <c r="A109" s="81"/>
      <c r="B109" s="545" t="str">
        <f>'OSNOVNI PODATKI'!B157</f>
        <v>INFORMATIVNA OCENA STROŠKOV GRADNJE</v>
      </c>
      <c r="C109" s="651">
        <f>'OSNOVNI PODATKI'!D162</f>
        <v>0</v>
      </c>
      <c r="D109" s="649"/>
      <c r="E109" s="876" t="e">
        <f>C109*C99*(1000+C100)</f>
        <v>#VALUE!</v>
      </c>
      <c r="F109" s="212"/>
      <c r="L109" s="647"/>
    </row>
    <row r="110" spans="1:12" s="78" customFormat="1" x14ac:dyDescent="0.2">
      <c r="A110" s="81"/>
      <c r="B110" s="545" t="str">
        <f>'OSNOVNI PODATKI'!B158</f>
        <v>INFORMATIVNA VREDNOST STROŠKOV GRADNJE EUR/m2 BTP</v>
      </c>
      <c r="C110" s="651">
        <f>'OSNOVNI PODATKI'!D163</f>
        <v>0</v>
      </c>
      <c r="D110" s="649"/>
      <c r="E110" s="876" t="e">
        <f>C110*C99*(1000+C100)</f>
        <v>#VALUE!</v>
      </c>
      <c r="F110" s="212"/>
      <c r="L110" s="647"/>
    </row>
    <row r="111" spans="1:12" s="78" customFormat="1" x14ac:dyDescent="0.2">
      <c r="A111" s="81"/>
      <c r="B111" s="545" t="str">
        <f>'OSNOVNI PODATKI'!B159</f>
        <v>IZBRANA VREDNOST STROKOV GRADNJE EUR/m2 BEP</v>
      </c>
      <c r="C111" s="651">
        <f>'OSNOVNI PODATKI'!D164</f>
        <v>0</v>
      </c>
      <c r="D111" s="649"/>
      <c r="E111" s="876" t="e">
        <f>C111*C99*(1000+C100)</f>
        <v>#VALUE!</v>
      </c>
      <c r="F111" s="212"/>
      <c r="L111" s="647"/>
    </row>
    <row r="112" spans="1:12" s="78" customFormat="1" x14ac:dyDescent="0.2">
      <c r="A112" s="81"/>
      <c r="C112" s="86"/>
      <c r="D112" s="509"/>
      <c r="E112" s="509"/>
      <c r="F112" s="509"/>
      <c r="G112" s="509"/>
      <c r="H112" s="509"/>
      <c r="I112" s="509"/>
    </row>
    <row r="113" spans="1:25" s="78" customFormat="1" ht="14.25" x14ac:dyDescent="0.2">
      <c r="B113" s="86" t="s">
        <v>886</v>
      </c>
      <c r="C113" s="527" t="str">
        <f>IFERROR(LOOKUP(C101,B102:C106),"/")</f>
        <v>/</v>
      </c>
      <c r="D113" s="394" t="s">
        <v>877</v>
      </c>
      <c r="E113" s="509"/>
      <c r="F113" s="509"/>
      <c r="G113" s="509"/>
      <c r="H113" s="509"/>
      <c r="I113" s="509"/>
    </row>
    <row r="114" spans="1:25" s="78" customFormat="1" ht="14.25" x14ac:dyDescent="0.2">
      <c r="B114" s="86" t="s">
        <v>887</v>
      </c>
      <c r="C114" s="527" t="str" cm="1">
        <f t="array" ref="C114">IFERROR(INDEX(C102:C107,MATCH(C101,B102:B106)+1),"/")</f>
        <v>/</v>
      </c>
      <c r="D114" s="394" t="s">
        <v>877</v>
      </c>
      <c r="E114" s="509"/>
      <c r="F114" s="509"/>
      <c r="G114" s="509"/>
      <c r="H114" s="509"/>
      <c r="I114" s="509"/>
    </row>
    <row r="115" spans="1:25" s="78" customFormat="1" x14ac:dyDescent="0.2">
      <c r="B115" s="86" t="s">
        <v>737</v>
      </c>
      <c r="C115" s="551">
        <f>IFERROR(ROUND(C113*C98,0),0)</f>
        <v>0</v>
      </c>
      <c r="D115" s="394" t="s">
        <v>879</v>
      </c>
      <c r="E115" s="509"/>
      <c r="F115" s="509"/>
      <c r="G115" s="509"/>
      <c r="H115" s="509"/>
      <c r="I115" s="509"/>
    </row>
    <row r="116" spans="1:25" s="78" customFormat="1" x14ac:dyDescent="0.2">
      <c r="B116" s="86" t="s">
        <v>738</v>
      </c>
      <c r="C116" s="551">
        <f>IFERROR(ROUND(C114*C98,0),0)</f>
        <v>0</v>
      </c>
      <c r="D116" s="394" t="s">
        <v>879</v>
      </c>
      <c r="E116" s="509"/>
      <c r="F116" s="509"/>
      <c r="G116" s="509"/>
      <c r="H116" s="509"/>
      <c r="I116" s="509"/>
    </row>
    <row r="117" spans="1:25" s="78" customFormat="1" x14ac:dyDescent="0.2">
      <c r="A117" s="81"/>
      <c r="C117" s="212"/>
      <c r="D117" s="212"/>
      <c r="E117" s="212"/>
      <c r="F117" s="212"/>
    </row>
    <row r="118" spans="1:25" ht="13.5" thickBot="1" x14ac:dyDescent="0.25"/>
    <row r="119" spans="1:25" s="78" customFormat="1" ht="18.75" x14ac:dyDescent="0.2">
      <c r="A119" s="831" t="s">
        <v>217</v>
      </c>
      <c r="B119" s="829"/>
      <c r="C119" s="830"/>
      <c r="D119" s="830"/>
      <c r="E119" s="830"/>
      <c r="F119" s="830"/>
      <c r="G119" s="830"/>
      <c r="H119" s="829"/>
      <c r="I119" s="829"/>
      <c r="J119" s="829"/>
      <c r="K119" s="829"/>
      <c r="L119" s="829"/>
      <c r="M119" s="829"/>
      <c r="N119" s="829"/>
      <c r="O119" s="829"/>
      <c r="P119" s="829"/>
      <c r="Q119" s="829"/>
      <c r="R119" s="829"/>
      <c r="S119" s="829"/>
      <c r="T119" s="829"/>
      <c r="U119" s="829"/>
      <c r="V119" s="829"/>
      <c r="W119" s="829"/>
      <c r="X119" s="829"/>
      <c r="Y119" s="829"/>
    </row>
    <row r="120" spans="1:25" s="78" customFormat="1" x14ac:dyDescent="0.2">
      <c r="A120" s="212"/>
      <c r="B120" s="212"/>
      <c r="C120" s="212"/>
      <c r="D120" s="212"/>
      <c r="E120" s="212"/>
      <c r="H120" s="212"/>
    </row>
    <row r="121" spans="1:25" s="78" customFormat="1" x14ac:dyDescent="0.2">
      <c r="A121" s="212"/>
      <c r="B121" s="86" t="s">
        <v>875</v>
      </c>
      <c r="C121" s="212"/>
      <c r="D121" s="212"/>
      <c r="E121" s="212"/>
      <c r="F121" s="507">
        <f>'OSNOVNI PODATKI'!G378</f>
        <v>0</v>
      </c>
      <c r="G121" s="212"/>
      <c r="H121" s="212"/>
    </row>
    <row r="122" spans="1:25" s="78" customFormat="1" x14ac:dyDescent="0.2">
      <c r="A122" s="212"/>
      <c r="B122" s="86" t="s">
        <v>876</v>
      </c>
      <c r="C122" s="210"/>
      <c r="D122" s="85"/>
      <c r="E122" s="85"/>
      <c r="F122" s="493">
        <f>'ARHIGRAM 6'!I16</f>
        <v>46</v>
      </c>
      <c r="G122" s="210"/>
      <c r="H122" s="210"/>
    </row>
    <row r="123" spans="1:25" s="78" customFormat="1" x14ac:dyDescent="0.2">
      <c r="A123" s="212"/>
      <c r="B123" s="212"/>
      <c r="C123" s="212"/>
      <c r="D123" s="212"/>
      <c r="E123" s="212"/>
      <c r="G123" s="212"/>
      <c r="H123" s="212"/>
    </row>
    <row r="124" spans="1:25" s="78" customFormat="1" x14ac:dyDescent="0.2">
      <c r="B124" s="86" t="str">
        <f>'OSNOVNI PODATKI'!$B$394</f>
        <v>PRIBITEK ZA PRENOVO</v>
      </c>
      <c r="C124" s="210"/>
      <c r="D124" s="85"/>
      <c r="E124" s="85"/>
      <c r="F124" s="314">
        <f>'OSNOVNI PODATKI'!$F$394</f>
        <v>0</v>
      </c>
      <c r="G124" s="210" t="str">
        <f>'OSNOVNI PODATKI'!G394</f>
        <v>upošteva se v vseh fazah, samo za storitve projektiranja</v>
      </c>
      <c r="H124" s="210"/>
    </row>
    <row r="125" spans="1:25" s="78" customFormat="1" x14ac:dyDescent="0.2">
      <c r="B125" s="86" t="str">
        <f>'OSNOVNI PODATKI'!$B$395</f>
        <v>PRIBITEK ZA VKLJUČEVANJE DRUGIH IZVAJALCEV V POGODBO</v>
      </c>
      <c r="C125" s="210"/>
      <c r="D125" s="85"/>
      <c r="E125" s="85"/>
      <c r="F125" s="314">
        <f>'OSNOVNI PODATKI'!$F$395</f>
        <v>0</v>
      </c>
      <c r="G125" s="210" t="str">
        <f>'OSNOVNI PODATKI'!G395</f>
        <v>upošteva se v vseh fazah, samo za storitve vodenja in koordinacije</v>
      </c>
      <c r="H125" s="210"/>
    </row>
    <row r="126" spans="1:25" s="78" customFormat="1" x14ac:dyDescent="0.2">
      <c r="A126" s="212"/>
      <c r="B126" s="86" t="s">
        <v>971</v>
      </c>
      <c r="C126" s="210"/>
      <c r="D126" s="85"/>
      <c r="E126" s="85"/>
      <c r="F126" s="662" t="str">
        <f>IF('OSNOVNI PODATKI'!A376=TRUE,"DA","NE")</f>
        <v>DA</v>
      </c>
      <c r="G126" s="212"/>
      <c r="H126" s="212"/>
    </row>
    <row r="127" spans="1:25" s="78" customFormat="1" x14ac:dyDescent="0.2">
      <c r="B127" s="86" t="str">
        <f>'OSNOVNI PODATKI'!$B397</f>
        <v>ZASTOPANJE INVESTITORJA V UPRAVNIH POSTOPKIH</v>
      </c>
      <c r="C127" s="210"/>
      <c r="D127" s="85"/>
      <c r="E127" s="85"/>
      <c r="F127" s="662" t="str">
        <f>IF('OSNOVNI PODATKI'!F397=TRUE,"DA","NE")</f>
        <v>NE</v>
      </c>
      <c r="G127" s="664"/>
      <c r="H127" s="210"/>
    </row>
    <row r="128" spans="1:25" s="78" customFormat="1" x14ac:dyDescent="0.2">
      <c r="B128" s="86" t="str">
        <f>'OSNOVNI PODATKI'!$B398</f>
        <v>PROJEKTANTSKI PREDRAČUN</v>
      </c>
      <c r="C128" s="210"/>
      <c r="D128" s="85"/>
      <c r="E128" s="85"/>
      <c r="F128" s="662" t="str">
        <f>IF('OSNOVNI PODATKI'!F398=TRUE,"DA","NE")</f>
        <v>NE</v>
      </c>
      <c r="G128" s="210"/>
      <c r="H128" s="210"/>
    </row>
    <row r="129" spans="1:25" s="78" customFormat="1" x14ac:dyDescent="0.2">
      <c r="B129" s="86" t="str">
        <f>'OSNOVNI PODATKI'!$B399</f>
        <v>IZDELAVA RAZPISNE DOKUMENTACIJE</v>
      </c>
      <c r="C129" s="210"/>
      <c r="D129" s="85"/>
      <c r="E129" s="85"/>
      <c r="F129" s="662" t="str">
        <f>IF('OSNOVNI PODATKI'!F399=TRUE,"DA","NE")</f>
        <v>NE</v>
      </c>
      <c r="G129" s="210"/>
      <c r="H129" s="210"/>
    </row>
    <row r="130" spans="1:25" x14ac:dyDescent="0.2">
      <c r="B130" s="86" t="str">
        <f>'OSNOVNI PODATKI'!$B400</f>
        <v>IZVEDBA RAZPISOV ZA ODDAJO DEL</v>
      </c>
      <c r="C130" s="210"/>
      <c r="D130" s="85"/>
      <c r="E130" s="85"/>
      <c r="F130" s="662" t="str">
        <f>IF('OSNOVNI PODATKI'!F400=TRUE,"DA","NE")</f>
        <v>NE</v>
      </c>
      <c r="G130" s="210"/>
      <c r="H130" s="210"/>
    </row>
    <row r="131" spans="1:25" s="78" customFormat="1" x14ac:dyDescent="0.2">
      <c r="B131" s="86" t="str">
        <f>'OSNOVNI PODATKI'!$B401</f>
        <v>GRADBENI NADZOR</v>
      </c>
      <c r="C131" s="210"/>
      <c r="D131" s="85"/>
      <c r="E131" s="85"/>
      <c r="F131" s="662" t="str">
        <f>IF('OSNOVNI PODATKI'!F401=TRUE,"DA","NE")</f>
        <v>NE</v>
      </c>
      <c r="G131" s="664"/>
      <c r="H131" s="210"/>
    </row>
    <row r="133" spans="1:25" x14ac:dyDescent="0.2">
      <c r="B133" s="213" t="s">
        <v>1074</v>
      </c>
      <c r="C133" s="213"/>
      <c r="D133" s="213"/>
      <c r="E133" s="213"/>
      <c r="F133" s="213"/>
      <c r="G133" s="213"/>
      <c r="H133" s="213"/>
      <c r="K133" s="213" t="s">
        <v>971</v>
      </c>
      <c r="L133" s="213"/>
      <c r="M133" s="213"/>
      <c r="N133" s="213"/>
      <c r="O133" s="213"/>
      <c r="P133" s="213"/>
      <c r="Q133" s="213"/>
      <c r="R133" s="213"/>
    </row>
    <row r="134" spans="1:25" s="12" customFormat="1" ht="38.25" x14ac:dyDescent="0.25">
      <c r="A134" s="107"/>
      <c r="B134" s="108"/>
      <c r="C134" s="108"/>
      <c r="D134" s="108"/>
      <c r="E134" s="109" t="s">
        <v>25</v>
      </c>
      <c r="F134" s="303" t="s">
        <v>916</v>
      </c>
      <c r="G134" s="620" t="s">
        <v>57</v>
      </c>
      <c r="H134" s="110" t="s">
        <v>70</v>
      </c>
      <c r="I134" s="421" t="s">
        <v>915</v>
      </c>
      <c r="J134" s="305"/>
      <c r="K134" s="107"/>
      <c r="L134" s="108"/>
      <c r="M134" s="108"/>
      <c r="N134" s="108"/>
      <c r="O134" s="109" t="s">
        <v>25</v>
      </c>
      <c r="P134" s="303" t="s">
        <v>916</v>
      </c>
      <c r="Q134" s="620" t="s">
        <v>57</v>
      </c>
      <c r="R134" s="110" t="s">
        <v>70</v>
      </c>
      <c r="S134" s="421" t="s">
        <v>915</v>
      </c>
      <c r="T134" s="421"/>
      <c r="U134" s="303" t="s">
        <v>1132</v>
      </c>
      <c r="V134" s="303" t="s">
        <v>1133</v>
      </c>
      <c r="W134" s="769" t="s">
        <v>1134</v>
      </c>
      <c r="X134" s="110" t="s">
        <v>1135</v>
      </c>
    </row>
    <row r="135" spans="1:25" s="13" customFormat="1" ht="14.25" x14ac:dyDescent="0.2">
      <c r="A135" s="103" t="s">
        <v>29</v>
      </c>
      <c r="B135" s="104" t="s">
        <v>30</v>
      </c>
      <c r="C135" s="104"/>
      <c r="D135" s="104"/>
      <c r="E135" s="105"/>
      <c r="F135" s="105"/>
      <c r="G135" s="621"/>
      <c r="H135" s="106"/>
      <c r="K135" s="103" t="s">
        <v>29</v>
      </c>
      <c r="L135" s="104" t="s">
        <v>30</v>
      </c>
      <c r="M135" s="104"/>
      <c r="N135" s="104"/>
      <c r="O135" s="105"/>
      <c r="P135" s="105"/>
      <c r="Q135" s="621"/>
      <c r="R135" s="106"/>
      <c r="U135" s="105"/>
      <c r="V135" s="105"/>
      <c r="W135" s="621"/>
      <c r="X135" s="105"/>
    </row>
    <row r="136" spans="1:25" s="13" customFormat="1" ht="14.25" x14ac:dyDescent="0.2">
      <c r="A136" s="87" t="s">
        <v>31</v>
      </c>
      <c r="B136" s="99" t="s">
        <v>65</v>
      </c>
      <c r="C136" s="99"/>
      <c r="D136" s="99"/>
      <c r="E136" s="88"/>
      <c r="F136" s="88"/>
      <c r="G136" s="622"/>
      <c r="H136" s="89"/>
      <c r="K136" s="87" t="s">
        <v>31</v>
      </c>
      <c r="L136" s="99" t="s">
        <v>65</v>
      </c>
      <c r="M136" s="99"/>
      <c r="N136" s="99"/>
      <c r="O136" s="88"/>
      <c r="P136" s="88"/>
      <c r="Q136" s="622"/>
      <c r="R136" s="89"/>
      <c r="U136" s="88"/>
      <c r="V136" s="88"/>
      <c r="W136" s="622"/>
      <c r="X136" s="88"/>
    </row>
    <row r="137" spans="1:25" s="13" customFormat="1" ht="14.25" x14ac:dyDescent="0.2">
      <c r="A137" s="112" t="s">
        <v>32</v>
      </c>
      <c r="B137" s="113" t="s">
        <v>66</v>
      </c>
      <c r="C137" s="113"/>
      <c r="D137" s="113"/>
      <c r="E137" s="114"/>
      <c r="F137" s="114"/>
      <c r="G137" s="623"/>
      <c r="H137" s="93"/>
      <c r="K137" s="112" t="s">
        <v>32</v>
      </c>
      <c r="L137" s="113" t="s">
        <v>66</v>
      </c>
      <c r="M137" s="113"/>
      <c r="N137" s="113"/>
      <c r="O137" s="114"/>
      <c r="P137" s="114"/>
      <c r="Q137" s="623"/>
      <c r="R137" s="93"/>
      <c r="U137" s="114"/>
      <c r="V137" s="114"/>
      <c r="W137" s="623"/>
      <c r="X137" s="114"/>
    </row>
    <row r="138" spans="1:25" s="13" customFormat="1" ht="14.25" x14ac:dyDescent="0.2">
      <c r="A138" s="111" t="s">
        <v>33</v>
      </c>
      <c r="B138" s="104" t="s">
        <v>34</v>
      </c>
      <c r="C138" s="104"/>
      <c r="D138" s="104"/>
      <c r="E138" s="306">
        <f>SUM(E139:E141)</f>
        <v>5.0000000000000001E-3</v>
      </c>
      <c r="F138" s="306">
        <f>SUM(F139:F141)</f>
        <v>5.0000000000000001E-3</v>
      </c>
      <c r="G138" s="627">
        <f>SUM(G139:G141)</f>
        <v>0</v>
      </c>
      <c r="H138" s="106">
        <f>SUM(H139:H141)</f>
        <v>0</v>
      </c>
      <c r="I138" s="127">
        <f>IFERROR(H138/'OSNOVNI PODATKI'!$E$329,0)</f>
        <v>0</v>
      </c>
      <c r="K138" s="111" t="s">
        <v>33</v>
      </c>
      <c r="L138" s="104" t="s">
        <v>34</v>
      </c>
      <c r="M138" s="104"/>
      <c r="N138" s="104"/>
      <c r="O138" s="306">
        <f>SUM(O139:O141)</f>
        <v>1.4999999999999999E-2</v>
      </c>
      <c r="P138" s="306">
        <f>SUM(P139:P141)</f>
        <v>1.4999999999999999E-2</v>
      </c>
      <c r="Q138" s="627">
        <f>SUM(Q139:Q141)</f>
        <v>0</v>
      </c>
      <c r="R138" s="106">
        <f>SUM(R139:R141)</f>
        <v>0</v>
      </c>
      <c r="S138" s="127">
        <f>IFERROR(R138/'OSNOVNI PODATKI'!$E$329,0)</f>
        <v>0</v>
      </c>
      <c r="T138" s="127"/>
      <c r="U138" s="306">
        <f>SUM(U139:U141)</f>
        <v>0.02</v>
      </c>
      <c r="V138" s="306">
        <f>SUM(V139:V141)</f>
        <v>0.02</v>
      </c>
      <c r="W138" s="627">
        <f t="shared" ref="W138:X138" si="0">SUM(W139:W141)</f>
        <v>0</v>
      </c>
      <c r="X138" s="106">
        <f t="shared" si="0"/>
        <v>0</v>
      </c>
      <c r="Y138" s="127">
        <f>IFERROR(X138/'OSNOVNI PODATKI'!$E$329,0)</f>
        <v>0</v>
      </c>
    </row>
    <row r="139" spans="1:25" s="13" customFormat="1" ht="14.25" x14ac:dyDescent="0.2">
      <c r="A139" s="90" t="s">
        <v>35</v>
      </c>
      <c r="B139" s="98" t="s">
        <v>67</v>
      </c>
      <c r="C139" s="98"/>
      <c r="D139" s="98"/>
      <c r="E139" s="304">
        <v>2.5000000000000001E-3</v>
      </c>
      <c r="F139" s="304">
        <f>E139*(100%+$F$124)</f>
        <v>2.5000000000000001E-3</v>
      </c>
      <c r="G139" s="628">
        <f>F139*$F$121</f>
        <v>0</v>
      </c>
      <c r="H139" s="89">
        <f>+G139*$F$122</f>
        <v>0</v>
      </c>
      <c r="K139" s="90" t="s">
        <v>35</v>
      </c>
      <c r="L139" s="98" t="s">
        <v>67</v>
      </c>
      <c r="M139" s="98"/>
      <c r="N139" s="98"/>
      <c r="O139" s="304">
        <v>2.5000000000000001E-3</v>
      </c>
      <c r="P139" s="304">
        <f>O139*(100%+$F$125)</f>
        <v>2.5000000000000001E-3</v>
      </c>
      <c r="Q139" s="628">
        <f>IF($F$126="DA",P139*$F$121,0)</f>
        <v>0</v>
      </c>
      <c r="R139" s="89">
        <f>+Q139*$F$122</f>
        <v>0</v>
      </c>
      <c r="U139" s="491">
        <f t="shared" ref="U139:V141" si="1">+E139+O139</f>
        <v>5.0000000000000001E-3</v>
      </c>
      <c r="V139" s="491">
        <f t="shared" si="1"/>
        <v>5.0000000000000001E-3</v>
      </c>
      <c r="W139" s="628">
        <f t="shared" ref="W139:W141" si="2">+G139+Q139</f>
        <v>0</v>
      </c>
      <c r="X139" s="89">
        <f t="shared" ref="X139:X141" si="3">+H139+R139</f>
        <v>0</v>
      </c>
    </row>
    <row r="140" spans="1:25" s="13" customFormat="1" ht="14.25" x14ac:dyDescent="0.2">
      <c r="A140" s="90" t="s">
        <v>36</v>
      </c>
      <c r="B140" s="98" t="s">
        <v>68</v>
      </c>
      <c r="C140" s="98"/>
      <c r="D140" s="98"/>
      <c r="E140" s="304">
        <v>2.5000000000000001E-3</v>
      </c>
      <c r="F140" s="304">
        <f>E140*(100%+$F$124)</f>
        <v>2.5000000000000001E-3</v>
      </c>
      <c r="G140" s="628">
        <f t="shared" ref="G140" si="4">F140*$F$121</f>
        <v>0</v>
      </c>
      <c r="H140" s="89">
        <f t="shared" ref="H140" si="5">+G140*$F$122</f>
        <v>0</v>
      </c>
      <c r="K140" s="90" t="s">
        <v>36</v>
      </c>
      <c r="L140" s="98" t="s">
        <v>68</v>
      </c>
      <c r="M140" s="98"/>
      <c r="N140" s="98"/>
      <c r="O140" s="304">
        <v>2.5000000000000001E-3</v>
      </c>
      <c r="P140" s="304">
        <f>O140*(100%+$F$125)</f>
        <v>2.5000000000000001E-3</v>
      </c>
      <c r="Q140" s="628">
        <f>IF($F$126="DA",P140*$F$121,0)</f>
        <v>0</v>
      </c>
      <c r="R140" s="89">
        <f t="shared" ref="R140:R141" si="6">+Q140*$F$122</f>
        <v>0</v>
      </c>
      <c r="U140" s="491">
        <f t="shared" si="1"/>
        <v>5.0000000000000001E-3</v>
      </c>
      <c r="V140" s="491">
        <f t="shared" si="1"/>
        <v>5.0000000000000001E-3</v>
      </c>
      <c r="W140" s="628">
        <f t="shared" si="2"/>
        <v>0</v>
      </c>
      <c r="X140" s="89">
        <f t="shared" si="3"/>
        <v>0</v>
      </c>
    </row>
    <row r="141" spans="1:25" s="13" customFormat="1" ht="14.25" x14ac:dyDescent="0.2">
      <c r="A141" s="116" t="s">
        <v>37</v>
      </c>
      <c r="B141" s="117" t="s">
        <v>844</v>
      </c>
      <c r="C141" s="117"/>
      <c r="D141" s="117"/>
      <c r="E141" s="490"/>
      <c r="F141" s="490"/>
      <c r="G141" s="629"/>
      <c r="H141" s="93"/>
      <c r="K141" s="116" t="s">
        <v>37</v>
      </c>
      <c r="L141" s="117" t="s">
        <v>844</v>
      </c>
      <c r="M141" s="117"/>
      <c r="N141" s="117"/>
      <c r="O141" s="490">
        <v>0.01</v>
      </c>
      <c r="P141" s="490">
        <f>O141*(100%+$F$125)</f>
        <v>0.01</v>
      </c>
      <c r="Q141" s="629">
        <f>IF($F$126="DA",P141*$F$121,0)</f>
        <v>0</v>
      </c>
      <c r="R141" s="93">
        <f t="shared" si="6"/>
        <v>0</v>
      </c>
      <c r="U141" s="492">
        <f t="shared" si="1"/>
        <v>0.01</v>
      </c>
      <c r="V141" s="492">
        <f t="shared" si="1"/>
        <v>0.01</v>
      </c>
      <c r="W141" s="629">
        <f t="shared" si="2"/>
        <v>0</v>
      </c>
      <c r="X141" s="93">
        <f t="shared" si="3"/>
        <v>0</v>
      </c>
    </row>
    <row r="142" spans="1:25" s="13" customFormat="1" ht="14.25" x14ac:dyDescent="0.2">
      <c r="A142" s="115">
        <v>2</v>
      </c>
      <c r="B142" s="104" t="s">
        <v>38</v>
      </c>
      <c r="C142" s="104"/>
      <c r="D142" s="104"/>
      <c r="E142" s="306">
        <f>SUM(E143:E152)</f>
        <v>0.5</v>
      </c>
      <c r="F142" s="306">
        <f>SUM(F143:F152)</f>
        <v>0.5</v>
      </c>
      <c r="G142" s="630">
        <f>SUM(G143:G152)</f>
        <v>0</v>
      </c>
      <c r="H142" s="106">
        <f>SUM(H143:H152)</f>
        <v>0</v>
      </c>
      <c r="I142" s="127">
        <f>IFERROR(H142/'OSNOVNI PODATKI'!$E$329,0)</f>
        <v>0</v>
      </c>
      <c r="K142" s="115">
        <v>2</v>
      </c>
      <c r="L142" s="104" t="s">
        <v>38</v>
      </c>
      <c r="M142" s="104"/>
      <c r="N142" s="104"/>
      <c r="O142" s="306">
        <f>SUM(O143:O152)</f>
        <v>0.1</v>
      </c>
      <c r="P142" s="306">
        <f>SUM(P143:P152)</f>
        <v>0.1</v>
      </c>
      <c r="Q142" s="630">
        <f>SUM(Q143:Q152)</f>
        <v>0</v>
      </c>
      <c r="R142" s="106">
        <f>SUM(R143:R152)</f>
        <v>0</v>
      </c>
      <c r="S142" s="127">
        <f>IFERROR(R142/'OSNOVNI PODATKI'!$E$329,0)</f>
        <v>0</v>
      </c>
      <c r="T142" s="127"/>
      <c r="U142" s="306">
        <f>SUM(U143:U152)</f>
        <v>0.60000000000000009</v>
      </c>
      <c r="V142" s="306">
        <f>SUM(V143:V152)</f>
        <v>0.60000000000000009</v>
      </c>
      <c r="W142" s="630">
        <f t="shared" ref="W142:X142" si="7">SUM(W143:W152)</f>
        <v>0</v>
      </c>
      <c r="X142" s="106">
        <f t="shared" si="7"/>
        <v>0</v>
      </c>
      <c r="Y142" s="127">
        <f>IFERROR(X142/'OSNOVNI PODATKI'!$E$329,0)</f>
        <v>0</v>
      </c>
    </row>
    <row r="143" spans="1:25" s="13" customFormat="1" ht="14.25" x14ac:dyDescent="0.2">
      <c r="A143" s="90" t="s">
        <v>51</v>
      </c>
      <c r="B143" s="98" t="s">
        <v>95</v>
      </c>
      <c r="C143" s="98"/>
      <c r="D143" s="98"/>
      <c r="E143" s="491">
        <v>4.7500000000000001E-2</v>
      </c>
      <c r="F143" s="304">
        <f>E143*(100%+$F$124)</f>
        <v>4.7500000000000001E-2</v>
      </c>
      <c r="G143" s="628">
        <f t="shared" ref="G143:G149" si="8">F143*$F$121</f>
        <v>0</v>
      </c>
      <c r="H143" s="89">
        <f t="shared" ref="H143:H149" si="9">+G143*$F$122</f>
        <v>0</v>
      </c>
      <c r="K143" s="90" t="s">
        <v>51</v>
      </c>
      <c r="L143" s="98" t="s">
        <v>95</v>
      </c>
      <c r="M143" s="98"/>
      <c r="N143" s="98"/>
      <c r="O143" s="491">
        <v>2.5000000000000001E-3</v>
      </c>
      <c r="P143" s="304">
        <f t="shared" ref="P143:P150" si="10">O143*(100%+$F$125)</f>
        <v>2.5000000000000001E-3</v>
      </c>
      <c r="Q143" s="628">
        <f>IF($F$126="DA",P143*$F$121,0)</f>
        <v>0</v>
      </c>
      <c r="R143" s="89">
        <f t="shared" ref="R143:R152" si="11">+Q143*$F$122</f>
        <v>0</v>
      </c>
      <c r="U143" s="491">
        <f>+E143+O143</f>
        <v>0.05</v>
      </c>
      <c r="V143" s="491">
        <f>+F143+P143</f>
        <v>0.05</v>
      </c>
      <c r="W143" s="628">
        <f t="shared" ref="W143:X152" si="12">+G143+Q143</f>
        <v>0</v>
      </c>
      <c r="X143" s="89">
        <f t="shared" si="12"/>
        <v>0</v>
      </c>
    </row>
    <row r="144" spans="1:25" s="13" customFormat="1" ht="14.25" x14ac:dyDescent="0.2">
      <c r="A144" s="91" t="s">
        <v>52</v>
      </c>
      <c r="B144" s="102" t="s">
        <v>744</v>
      </c>
      <c r="C144" s="102"/>
      <c r="D144" s="102"/>
      <c r="E144" s="491">
        <v>0.14249999999999999</v>
      </c>
      <c r="F144" s="304">
        <f>E144*(100%+$F$124)</f>
        <v>0.14249999999999999</v>
      </c>
      <c r="G144" s="628">
        <f t="shared" si="8"/>
        <v>0</v>
      </c>
      <c r="H144" s="89">
        <f t="shared" si="9"/>
        <v>0</v>
      </c>
      <c r="K144" s="91" t="s">
        <v>52</v>
      </c>
      <c r="L144" s="102" t="s">
        <v>744</v>
      </c>
      <c r="M144" s="102"/>
      <c r="N144" s="102"/>
      <c r="O144" s="491">
        <v>7.4999999999999997E-3</v>
      </c>
      <c r="P144" s="304">
        <f t="shared" si="10"/>
        <v>7.4999999999999997E-3</v>
      </c>
      <c r="Q144" s="628">
        <f>IF($F$126="DA",P144*$F$121,0)</f>
        <v>0</v>
      </c>
      <c r="R144" s="89">
        <f t="shared" si="11"/>
        <v>0</v>
      </c>
      <c r="U144" s="491">
        <f t="shared" ref="U144:U152" si="13">+E144+O144</f>
        <v>0.15</v>
      </c>
      <c r="V144" s="491">
        <f t="shared" ref="V144:V152" si="14">+F144+P144</f>
        <v>0.15</v>
      </c>
      <c r="W144" s="628">
        <f t="shared" si="12"/>
        <v>0</v>
      </c>
      <c r="X144" s="89">
        <f t="shared" si="12"/>
        <v>0</v>
      </c>
    </row>
    <row r="145" spans="1:25" s="13" customFormat="1" ht="14.25" x14ac:dyDescent="0.2">
      <c r="A145" s="91" t="s">
        <v>53</v>
      </c>
      <c r="B145" s="102" t="s">
        <v>848</v>
      </c>
      <c r="C145" s="102"/>
      <c r="D145" s="102"/>
      <c r="E145" s="491"/>
      <c r="F145" s="304"/>
      <c r="G145" s="628"/>
      <c r="H145" s="89"/>
      <c r="K145" s="91" t="s">
        <v>53</v>
      </c>
      <c r="L145" s="102" t="s">
        <v>848</v>
      </c>
      <c r="M145" s="102"/>
      <c r="N145" s="102"/>
      <c r="O145" s="491"/>
      <c r="P145" s="304"/>
      <c r="Q145" s="628"/>
      <c r="R145" s="89"/>
      <c r="U145" s="491"/>
      <c r="V145" s="491"/>
      <c r="W145" s="628"/>
      <c r="X145" s="89"/>
    </row>
    <row r="146" spans="1:25" s="13" customFormat="1" ht="14.25" x14ac:dyDescent="0.2">
      <c r="A146" s="91"/>
      <c r="B146" s="102" t="s">
        <v>851</v>
      </c>
      <c r="C146" s="102"/>
      <c r="D146" s="102"/>
      <c r="E146" s="491"/>
      <c r="F146" s="304"/>
      <c r="G146" s="628"/>
      <c r="H146" s="89"/>
      <c r="K146" s="91"/>
      <c r="L146" s="102" t="s">
        <v>851</v>
      </c>
      <c r="M146" s="102"/>
      <c r="N146" s="102"/>
      <c r="O146" s="491">
        <v>6.0000000000000001E-3</v>
      </c>
      <c r="P146" s="304">
        <f t="shared" si="10"/>
        <v>6.0000000000000001E-3</v>
      </c>
      <c r="Q146" s="628">
        <f>IF($F$126="DA",P146*$F$121,0)</f>
        <v>0</v>
      </c>
      <c r="R146" s="89">
        <f t="shared" si="11"/>
        <v>0</v>
      </c>
      <c r="U146" s="491">
        <f t="shared" si="13"/>
        <v>6.0000000000000001E-3</v>
      </c>
      <c r="V146" s="491">
        <f t="shared" si="14"/>
        <v>6.0000000000000001E-3</v>
      </c>
      <c r="W146" s="628">
        <f t="shared" si="12"/>
        <v>0</v>
      </c>
      <c r="X146" s="89">
        <f t="shared" si="12"/>
        <v>0</v>
      </c>
    </row>
    <row r="147" spans="1:25" s="13" customFormat="1" ht="14.25" x14ac:dyDescent="0.2">
      <c r="A147" s="91"/>
      <c r="B147" s="102" t="s">
        <v>852</v>
      </c>
      <c r="C147" s="102"/>
      <c r="D147" s="102"/>
      <c r="E147" s="491"/>
      <c r="F147" s="304"/>
      <c r="G147" s="628"/>
      <c r="H147" s="89"/>
      <c r="K147" s="91"/>
      <c r="L147" s="102" t="s">
        <v>852</v>
      </c>
      <c r="M147" s="102"/>
      <c r="N147" s="102"/>
      <c r="O147" s="491">
        <v>2.4E-2</v>
      </c>
      <c r="P147" s="304">
        <f t="shared" si="10"/>
        <v>2.4E-2</v>
      </c>
      <c r="Q147" s="628">
        <f>IF($F$126="DA",P147*$F$121,0)</f>
        <v>0</v>
      </c>
      <c r="R147" s="89">
        <f t="shared" si="11"/>
        <v>0</v>
      </c>
      <c r="U147" s="491">
        <f t="shared" si="13"/>
        <v>2.4E-2</v>
      </c>
      <c r="V147" s="491">
        <f t="shared" si="14"/>
        <v>2.4E-2</v>
      </c>
      <c r="W147" s="628">
        <f t="shared" si="12"/>
        <v>0</v>
      </c>
      <c r="X147" s="89">
        <f t="shared" si="12"/>
        <v>0</v>
      </c>
    </row>
    <row r="148" spans="1:25" s="800" customFormat="1" ht="14.25" x14ac:dyDescent="0.2">
      <c r="A148" s="795"/>
      <c r="B148" s="796" t="s">
        <v>1053</v>
      </c>
      <c r="C148" s="796"/>
      <c r="D148" s="796"/>
      <c r="E148" s="794"/>
      <c r="F148" s="797"/>
      <c r="G148" s="628"/>
      <c r="H148" s="799"/>
      <c r="K148" s="795"/>
      <c r="L148" s="796" t="s">
        <v>1053</v>
      </c>
      <c r="M148" s="796"/>
      <c r="N148" s="796"/>
      <c r="O148" s="794">
        <v>0.02</v>
      </c>
      <c r="P148" s="801">
        <f t="shared" si="10"/>
        <v>0.02</v>
      </c>
      <c r="Q148" s="846">
        <f>IF($F$126="DA",P148*$F$121,0)</f>
        <v>0</v>
      </c>
      <c r="R148" s="803">
        <f t="shared" si="11"/>
        <v>0</v>
      </c>
      <c r="U148" s="794">
        <f t="shared" si="13"/>
        <v>0.02</v>
      </c>
      <c r="V148" s="794">
        <f t="shared" si="14"/>
        <v>0.02</v>
      </c>
      <c r="W148" s="848">
        <f t="shared" si="12"/>
        <v>0</v>
      </c>
      <c r="X148" s="803">
        <f t="shared" si="12"/>
        <v>0</v>
      </c>
    </row>
    <row r="149" spans="1:25" s="13" customFormat="1" ht="14.25" x14ac:dyDescent="0.2">
      <c r="A149" s="91" t="s">
        <v>96</v>
      </c>
      <c r="B149" s="102" t="s">
        <v>745</v>
      </c>
      <c r="C149" s="102"/>
      <c r="D149" s="102"/>
      <c r="E149" s="491">
        <v>0.23499999999999999</v>
      </c>
      <c r="F149" s="304">
        <f>E149*(100%+$F$124)</f>
        <v>0.23499999999999999</v>
      </c>
      <c r="G149" s="628">
        <f t="shared" si="8"/>
        <v>0</v>
      </c>
      <c r="H149" s="89">
        <f t="shared" si="9"/>
        <v>0</v>
      </c>
      <c r="K149" s="91" t="s">
        <v>96</v>
      </c>
      <c r="L149" s="102" t="s">
        <v>745</v>
      </c>
      <c r="M149" s="102"/>
      <c r="N149" s="102"/>
      <c r="O149" s="491">
        <v>1.4999999999999999E-2</v>
      </c>
      <c r="P149" s="304">
        <f t="shared" si="10"/>
        <v>1.4999999999999999E-2</v>
      </c>
      <c r="Q149" s="628">
        <f>IF($F$126="DA",P149*$F$121,0)</f>
        <v>0</v>
      </c>
      <c r="R149" s="89">
        <f t="shared" si="11"/>
        <v>0</v>
      </c>
      <c r="U149" s="491">
        <f t="shared" si="13"/>
        <v>0.25</v>
      </c>
      <c r="V149" s="491">
        <f t="shared" si="14"/>
        <v>0.25</v>
      </c>
      <c r="W149" s="628">
        <f t="shared" si="12"/>
        <v>0</v>
      </c>
      <c r="X149" s="89">
        <f t="shared" si="12"/>
        <v>0</v>
      </c>
    </row>
    <row r="150" spans="1:25" s="13" customFormat="1" ht="14.25" x14ac:dyDescent="0.2">
      <c r="A150" s="91" t="s">
        <v>97</v>
      </c>
      <c r="B150" s="102" t="s">
        <v>845</v>
      </c>
      <c r="C150" s="102"/>
      <c r="D150" s="102"/>
      <c r="E150" s="491">
        <v>5.5E-2</v>
      </c>
      <c r="F150" s="304">
        <f>E150*(100%+$F$124)</f>
        <v>5.5E-2</v>
      </c>
      <c r="G150" s="845">
        <f t="shared" ref="G150:G151" si="15">F150*$F$121</f>
        <v>0</v>
      </c>
      <c r="H150" s="744">
        <f t="shared" ref="H150:H151" si="16">+G150*$F$122</f>
        <v>0</v>
      </c>
      <c r="K150" s="91" t="s">
        <v>97</v>
      </c>
      <c r="L150" s="102" t="s">
        <v>845</v>
      </c>
      <c r="M150" s="102"/>
      <c r="N150" s="102"/>
      <c r="O150" s="491">
        <v>5.0000000000000001E-3</v>
      </c>
      <c r="P150" s="304">
        <f t="shared" si="10"/>
        <v>5.0000000000000001E-3</v>
      </c>
      <c r="Q150" s="628">
        <f>IF($F$126="DA",P150*$F$121,0)</f>
        <v>0</v>
      </c>
      <c r="R150" s="89">
        <f t="shared" si="11"/>
        <v>0</v>
      </c>
      <c r="U150" s="491">
        <f t="shared" si="13"/>
        <v>0.06</v>
      </c>
      <c r="V150" s="491">
        <f t="shared" si="14"/>
        <v>0.06</v>
      </c>
      <c r="W150" s="628">
        <f t="shared" si="12"/>
        <v>0</v>
      </c>
      <c r="X150" s="89">
        <f t="shared" si="12"/>
        <v>0</v>
      </c>
    </row>
    <row r="151" spans="1:25" s="800" customFormat="1" ht="14.25" x14ac:dyDescent="0.2">
      <c r="A151" s="804"/>
      <c r="B151" s="805" t="s">
        <v>965</v>
      </c>
      <c r="C151" s="805"/>
      <c r="D151" s="805"/>
      <c r="E151" s="806">
        <v>0.02</v>
      </c>
      <c r="F151" s="807">
        <f>E151*(100%+$F$124)</f>
        <v>0.02</v>
      </c>
      <c r="G151" s="846">
        <f t="shared" si="15"/>
        <v>0</v>
      </c>
      <c r="H151" s="803">
        <f t="shared" si="16"/>
        <v>0</v>
      </c>
      <c r="K151" s="804"/>
      <c r="L151" s="805" t="s">
        <v>965</v>
      </c>
      <c r="M151" s="805"/>
      <c r="N151" s="805"/>
      <c r="O151" s="806"/>
      <c r="P151" s="808"/>
      <c r="Q151" s="809"/>
      <c r="R151" s="810"/>
      <c r="U151" s="794">
        <f t="shared" si="13"/>
        <v>0.02</v>
      </c>
      <c r="V151" s="794">
        <f t="shared" si="14"/>
        <v>0.02</v>
      </c>
      <c r="W151" s="849">
        <f t="shared" si="12"/>
        <v>0</v>
      </c>
      <c r="X151" s="810">
        <f t="shared" si="12"/>
        <v>0</v>
      </c>
    </row>
    <row r="152" spans="1:25" s="800" customFormat="1" ht="14.25" x14ac:dyDescent="0.2">
      <c r="A152" s="811"/>
      <c r="B152" s="812" t="s">
        <v>1041</v>
      </c>
      <c r="C152" s="812"/>
      <c r="D152" s="812"/>
      <c r="E152" s="813"/>
      <c r="F152" s="814"/>
      <c r="G152" s="629"/>
      <c r="H152" s="816"/>
      <c r="K152" s="811"/>
      <c r="L152" s="812" t="s">
        <v>1041</v>
      </c>
      <c r="M152" s="812"/>
      <c r="N152" s="812"/>
      <c r="O152" s="813">
        <v>0.02</v>
      </c>
      <c r="P152" s="817">
        <f>O152*(100%+$F$125)</f>
        <v>0.02</v>
      </c>
      <c r="Q152" s="847">
        <f>IF($F$126="DA",P152*$F$121,0)</f>
        <v>0</v>
      </c>
      <c r="R152" s="844">
        <f t="shared" si="11"/>
        <v>0</v>
      </c>
      <c r="U152" s="813">
        <f t="shared" si="13"/>
        <v>0.02</v>
      </c>
      <c r="V152" s="813">
        <f t="shared" si="14"/>
        <v>0.02</v>
      </c>
      <c r="W152" s="850">
        <f t="shared" si="12"/>
        <v>0</v>
      </c>
      <c r="X152" s="844">
        <f t="shared" si="12"/>
        <v>0</v>
      </c>
    </row>
    <row r="153" spans="1:25" s="13" customFormat="1" ht="14.25" x14ac:dyDescent="0.2">
      <c r="A153" s="118" t="s">
        <v>39</v>
      </c>
      <c r="B153" s="104" t="s">
        <v>122</v>
      </c>
      <c r="C153" s="104"/>
      <c r="D153" s="104"/>
      <c r="E153" s="306">
        <f>SUM(E154:E156)</f>
        <v>0.01</v>
      </c>
      <c r="F153" s="306">
        <f>SUM(F154:F156)</f>
        <v>0.01</v>
      </c>
      <c r="G153" s="627">
        <f>SUM(G154:G157)</f>
        <v>0</v>
      </c>
      <c r="H153" s="106">
        <f>SUM(H154:H157)</f>
        <v>0</v>
      </c>
      <c r="I153" s="127">
        <f>IFERROR(H153/'OSNOVNI PODATKI'!$E$329,0)</f>
        <v>0</v>
      </c>
      <c r="K153" s="118" t="s">
        <v>39</v>
      </c>
      <c r="L153" s="104" t="s">
        <v>122</v>
      </c>
      <c r="M153" s="104"/>
      <c r="N153" s="104"/>
      <c r="O153" s="306">
        <f>SUM(O154:O157)</f>
        <v>3.0000000000000002E-2</v>
      </c>
      <c r="P153" s="306">
        <f>SUM(P154:P157)</f>
        <v>3.0000000000000002E-2</v>
      </c>
      <c r="Q153" s="627">
        <f>SUM(Q154:Q157)</f>
        <v>0</v>
      </c>
      <c r="R153" s="106">
        <f>SUM(R154:R157)</f>
        <v>0</v>
      </c>
      <c r="S153" s="127">
        <f>IFERROR(R153/'OSNOVNI PODATKI'!$E$329,0)</f>
        <v>0</v>
      </c>
      <c r="T153" s="127"/>
      <c r="U153" s="306">
        <f>SUM(U154:U157)</f>
        <v>0.04</v>
      </c>
      <c r="V153" s="306">
        <f>SUM(V154:V157)</f>
        <v>0.04</v>
      </c>
      <c r="W153" s="627">
        <f t="shared" ref="W153:X153" si="17">SUM(W154:W157)</f>
        <v>0</v>
      </c>
      <c r="X153" s="106">
        <f t="shared" si="17"/>
        <v>0</v>
      </c>
      <c r="Y153" s="127">
        <f>IFERROR(X153/'OSNOVNI PODATKI'!$E$329,0)</f>
        <v>0</v>
      </c>
    </row>
    <row r="154" spans="1:25" s="13" customFormat="1" ht="14.25" x14ac:dyDescent="0.2">
      <c r="A154" s="91" t="s">
        <v>40</v>
      </c>
      <c r="B154" s="97" t="s">
        <v>846</v>
      </c>
      <c r="C154" s="97"/>
      <c r="D154" s="97"/>
      <c r="E154" s="304">
        <v>5.0000000000000001E-3</v>
      </c>
      <c r="F154" s="304">
        <f>E154*(100%+$F$124)</f>
        <v>5.0000000000000001E-3</v>
      </c>
      <c r="G154" s="628">
        <f t="shared" ref="G154:G156" si="18">F154*$F$121</f>
        <v>0</v>
      </c>
      <c r="H154" s="89">
        <f t="shared" ref="H154:H156" si="19">+G154*$F$122</f>
        <v>0</v>
      </c>
      <c r="K154" s="91" t="s">
        <v>40</v>
      </c>
      <c r="L154" s="97" t="s">
        <v>846</v>
      </c>
      <c r="M154" s="97"/>
      <c r="N154" s="97"/>
      <c r="O154" s="304">
        <v>2.5000000000000001E-3</v>
      </c>
      <c r="P154" s="304">
        <f>O154*(100%+$F$125)</f>
        <v>2.5000000000000001E-3</v>
      </c>
      <c r="Q154" s="628">
        <f>IF($F$126="DA",P154*$F$121,0)</f>
        <v>0</v>
      </c>
      <c r="R154" s="89">
        <f t="shared" ref="R154:R157" si="20">+Q154*$F$122</f>
        <v>0</v>
      </c>
      <c r="U154" s="491">
        <f t="shared" ref="U154:V157" si="21">+E154+O154</f>
        <v>7.4999999999999997E-3</v>
      </c>
      <c r="V154" s="491">
        <f t="shared" si="21"/>
        <v>7.4999999999999997E-3</v>
      </c>
      <c r="W154" s="628">
        <f t="shared" ref="W154:W157" si="22">+G154+Q154</f>
        <v>0</v>
      </c>
      <c r="X154" s="89">
        <f t="shared" ref="X154:X157" si="23">+H154+R154</f>
        <v>0</v>
      </c>
    </row>
    <row r="155" spans="1:25" s="800" customFormat="1" ht="14.25" x14ac:dyDescent="0.2">
      <c r="A155" s="804"/>
      <c r="B155" s="805" t="s">
        <v>1042</v>
      </c>
      <c r="C155" s="805"/>
      <c r="D155" s="805"/>
      <c r="E155" s="806"/>
      <c r="F155" s="807"/>
      <c r="G155" s="828"/>
      <c r="H155" s="810"/>
      <c r="K155" s="795"/>
      <c r="L155" s="805" t="s">
        <v>1042</v>
      </c>
      <c r="M155" s="796"/>
      <c r="N155" s="796"/>
      <c r="O155" s="794">
        <v>7.4999999999999997E-3</v>
      </c>
      <c r="P155" s="801">
        <f>O155*(100%+$F$125)</f>
        <v>7.4999999999999997E-3</v>
      </c>
      <c r="Q155" s="846">
        <f>IF($F$126="DA",P155*$F$121,0)</f>
        <v>0</v>
      </c>
      <c r="R155" s="803">
        <f t="shared" si="20"/>
        <v>0</v>
      </c>
      <c r="U155" s="794">
        <f t="shared" si="21"/>
        <v>7.4999999999999997E-3</v>
      </c>
      <c r="V155" s="794">
        <f t="shared" si="21"/>
        <v>7.4999999999999997E-3</v>
      </c>
      <c r="W155" s="848">
        <f t="shared" si="22"/>
        <v>0</v>
      </c>
      <c r="X155" s="803">
        <f t="shared" si="23"/>
        <v>0</v>
      </c>
    </row>
    <row r="156" spans="1:25" s="13" customFormat="1" ht="14.25" x14ac:dyDescent="0.2">
      <c r="A156" s="91" t="s">
        <v>41</v>
      </c>
      <c r="B156" s="97" t="s">
        <v>202</v>
      </c>
      <c r="C156" s="97"/>
      <c r="D156" s="97"/>
      <c r="E156" s="304">
        <v>5.0000000000000001E-3</v>
      </c>
      <c r="F156" s="304">
        <f>E156*(100%+$F$124)</f>
        <v>5.0000000000000001E-3</v>
      </c>
      <c r="G156" s="628">
        <f t="shared" si="18"/>
        <v>0</v>
      </c>
      <c r="H156" s="89">
        <f t="shared" si="19"/>
        <v>0</v>
      </c>
      <c r="K156" s="91" t="s">
        <v>41</v>
      </c>
      <c r="L156" s="97" t="s">
        <v>202</v>
      </c>
      <c r="M156" s="97"/>
      <c r="N156" s="97"/>
      <c r="O156" s="304">
        <v>2.5000000000000001E-3</v>
      </c>
      <c r="P156" s="304">
        <f>O156*(100%+$F$125)</f>
        <v>2.5000000000000001E-3</v>
      </c>
      <c r="Q156" s="628">
        <f>IF($F$126="DA",P156*$F$121,0)</f>
        <v>0</v>
      </c>
      <c r="R156" s="89">
        <f t="shared" si="20"/>
        <v>0</v>
      </c>
      <c r="U156" s="491">
        <f t="shared" si="21"/>
        <v>7.4999999999999997E-3</v>
      </c>
      <c r="V156" s="491">
        <f t="shared" si="21"/>
        <v>7.4999999999999997E-3</v>
      </c>
      <c r="W156" s="628">
        <f t="shared" si="22"/>
        <v>0</v>
      </c>
      <c r="X156" s="89">
        <f t="shared" si="23"/>
        <v>0</v>
      </c>
    </row>
    <row r="157" spans="1:25" s="800" customFormat="1" ht="14.25" x14ac:dyDescent="0.2">
      <c r="A157" s="811"/>
      <c r="B157" s="812" t="s">
        <v>1042</v>
      </c>
      <c r="C157" s="812"/>
      <c r="D157" s="812"/>
      <c r="E157" s="813"/>
      <c r="F157" s="817"/>
      <c r="G157" s="629"/>
      <c r="H157" s="816"/>
      <c r="K157" s="811"/>
      <c r="L157" s="812" t="s">
        <v>1042</v>
      </c>
      <c r="M157" s="812"/>
      <c r="N157" s="812"/>
      <c r="O157" s="813">
        <v>1.7500000000000002E-2</v>
      </c>
      <c r="P157" s="817">
        <f>O157*(100%+$F$125)</f>
        <v>1.7500000000000002E-2</v>
      </c>
      <c r="Q157" s="847">
        <f>IF($F$126="DA",P157*$F$121,0)</f>
        <v>0</v>
      </c>
      <c r="R157" s="844">
        <f t="shared" si="20"/>
        <v>0</v>
      </c>
      <c r="U157" s="813">
        <f t="shared" si="21"/>
        <v>1.7500000000000002E-2</v>
      </c>
      <c r="V157" s="813">
        <f t="shared" si="21"/>
        <v>1.7500000000000002E-2</v>
      </c>
      <c r="W157" s="850">
        <f t="shared" si="22"/>
        <v>0</v>
      </c>
      <c r="X157" s="844">
        <f t="shared" si="23"/>
        <v>0</v>
      </c>
    </row>
    <row r="158" spans="1:25" s="13" customFormat="1" ht="14.25" x14ac:dyDescent="0.2">
      <c r="A158" s="122">
        <v>4</v>
      </c>
      <c r="B158" s="104" t="s">
        <v>60</v>
      </c>
      <c r="C158" s="104"/>
      <c r="D158" s="104"/>
      <c r="E158" s="306">
        <f>SUM(E159:E166)</f>
        <v>0.28000000000000003</v>
      </c>
      <c r="F158" s="306">
        <f>SUM(F159:F166)</f>
        <v>0.28000000000000003</v>
      </c>
      <c r="G158" s="627">
        <f>SUM(G159:G166)</f>
        <v>0</v>
      </c>
      <c r="H158" s="106">
        <f>SUM(H159:H166)</f>
        <v>0</v>
      </c>
      <c r="I158" s="127">
        <f>IFERROR(H158/'OSNOVNI PODATKI'!$E$329,0)</f>
        <v>0</v>
      </c>
      <c r="K158" s="122">
        <v>4</v>
      </c>
      <c r="L158" s="104" t="s">
        <v>60</v>
      </c>
      <c r="M158" s="104"/>
      <c r="N158" s="104"/>
      <c r="O158" s="306">
        <f>SUM(O159:O166)</f>
        <v>0.04</v>
      </c>
      <c r="P158" s="306">
        <f>SUM(P159:P166)</f>
        <v>0.04</v>
      </c>
      <c r="Q158" s="627">
        <f>SUM(Q159:Q166)</f>
        <v>0</v>
      </c>
      <c r="R158" s="106">
        <f>SUM(R159:R166)</f>
        <v>0</v>
      </c>
      <c r="S158" s="127">
        <f>IFERROR(R158/'OSNOVNI PODATKI'!$E$329,0)</f>
        <v>0</v>
      </c>
      <c r="T158" s="127"/>
      <c r="U158" s="306">
        <f>SUM(U159:U166)</f>
        <v>0.32000000000000006</v>
      </c>
      <c r="V158" s="306">
        <f>SUM(V159:V166)</f>
        <v>0.32000000000000006</v>
      </c>
      <c r="W158" s="627">
        <f t="shared" ref="W158:X158" si="24">SUM(W159:W166)</f>
        <v>0</v>
      </c>
      <c r="X158" s="106">
        <f t="shared" si="24"/>
        <v>0</v>
      </c>
      <c r="Y158" s="127">
        <f>IFERROR(X158/'OSNOVNI PODATKI'!$E$329,0)</f>
        <v>0</v>
      </c>
    </row>
    <row r="159" spans="1:25" s="13" customFormat="1" ht="14.25" x14ac:dyDescent="0.2">
      <c r="A159" s="91" t="s">
        <v>42</v>
      </c>
      <c r="B159" s="97" t="s">
        <v>203</v>
      </c>
      <c r="C159" s="97"/>
      <c r="D159" s="97"/>
      <c r="E159" s="304"/>
      <c r="F159" s="304"/>
      <c r="G159" s="628"/>
      <c r="H159" s="89">
        <f t="shared" ref="H159:H166" si="25">+G159*$F$122</f>
        <v>0</v>
      </c>
      <c r="K159" s="91" t="s">
        <v>42</v>
      </c>
      <c r="L159" s="97" t="s">
        <v>203</v>
      </c>
      <c r="M159" s="97"/>
      <c r="N159" s="97"/>
      <c r="O159" s="304">
        <v>0.01</v>
      </c>
      <c r="P159" s="304">
        <f t="shared" ref="P159:P166" si="26">O159*(100%+$F$125)</f>
        <v>0.01</v>
      </c>
      <c r="Q159" s="628">
        <f t="shared" ref="Q159:Q166" si="27">IF($F$126="DA",P159*$F$121,0)</f>
        <v>0</v>
      </c>
      <c r="R159" s="89">
        <f t="shared" ref="R159:R166" si="28">+Q159*$F$122</f>
        <v>0</v>
      </c>
      <c r="U159" s="491">
        <f t="shared" ref="U159:V166" si="29">+E159+O159</f>
        <v>0.01</v>
      </c>
      <c r="V159" s="491">
        <f t="shared" si="29"/>
        <v>0.01</v>
      </c>
      <c r="W159" s="628">
        <f t="shared" ref="W159:W166" si="30">+G159+Q159</f>
        <v>0</v>
      </c>
      <c r="X159" s="89">
        <f t="shared" ref="X159:X166" si="31">+H159+R159</f>
        <v>0</v>
      </c>
    </row>
    <row r="160" spans="1:25" s="13" customFormat="1" ht="14.25" x14ac:dyDescent="0.2">
      <c r="A160" s="91" t="s">
        <v>43</v>
      </c>
      <c r="B160" s="97" t="s">
        <v>865</v>
      </c>
      <c r="C160" s="97"/>
      <c r="D160" s="97"/>
      <c r="E160" s="304">
        <v>5.5E-2</v>
      </c>
      <c r="F160" s="304">
        <f t="shared" ref="F160:F166" si="32">E160*(100%+$F$124)</f>
        <v>5.5E-2</v>
      </c>
      <c r="G160" s="628">
        <f t="shared" ref="G160:G166" si="33">F160*$F$121</f>
        <v>0</v>
      </c>
      <c r="H160" s="89">
        <f t="shared" si="25"/>
        <v>0</v>
      </c>
      <c r="K160" s="91" t="s">
        <v>43</v>
      </c>
      <c r="L160" s="97" t="s">
        <v>865</v>
      </c>
      <c r="M160" s="97"/>
      <c r="N160" s="97"/>
      <c r="O160" s="304">
        <v>5.0000000000000001E-3</v>
      </c>
      <c r="P160" s="304">
        <f t="shared" si="26"/>
        <v>5.0000000000000001E-3</v>
      </c>
      <c r="Q160" s="628">
        <f t="shared" si="27"/>
        <v>0</v>
      </c>
      <c r="R160" s="89">
        <f t="shared" si="28"/>
        <v>0</v>
      </c>
      <c r="U160" s="491">
        <f t="shared" si="29"/>
        <v>0.06</v>
      </c>
      <c r="V160" s="491">
        <f t="shared" si="29"/>
        <v>0.06</v>
      </c>
      <c r="W160" s="628">
        <f t="shared" si="30"/>
        <v>0</v>
      </c>
      <c r="X160" s="89">
        <f t="shared" si="31"/>
        <v>0</v>
      </c>
    </row>
    <row r="161" spans="1:25" s="800" customFormat="1" ht="14.25" x14ac:dyDescent="0.2">
      <c r="A161" s="795"/>
      <c r="B161" s="796" t="s">
        <v>505</v>
      </c>
      <c r="C161" s="796"/>
      <c r="D161" s="796"/>
      <c r="E161" s="794">
        <v>0.185</v>
      </c>
      <c r="F161" s="801">
        <f t="shared" si="32"/>
        <v>0.185</v>
      </c>
      <c r="G161" s="846">
        <f t="shared" si="33"/>
        <v>0</v>
      </c>
      <c r="H161" s="803">
        <f t="shared" si="25"/>
        <v>0</v>
      </c>
      <c r="K161" s="795"/>
      <c r="L161" s="796" t="s">
        <v>505</v>
      </c>
      <c r="M161" s="796"/>
      <c r="N161" s="796"/>
      <c r="O161" s="794">
        <v>1.4999999999999999E-2</v>
      </c>
      <c r="P161" s="801">
        <f t="shared" si="26"/>
        <v>1.4999999999999999E-2</v>
      </c>
      <c r="Q161" s="846">
        <f t="shared" si="27"/>
        <v>0</v>
      </c>
      <c r="R161" s="803">
        <f t="shared" si="28"/>
        <v>0</v>
      </c>
      <c r="U161" s="794">
        <f t="shared" si="29"/>
        <v>0.2</v>
      </c>
      <c r="V161" s="794">
        <f t="shared" si="29"/>
        <v>0.2</v>
      </c>
      <c r="W161" s="848">
        <f t="shared" si="30"/>
        <v>0</v>
      </c>
      <c r="X161" s="803">
        <f t="shared" si="31"/>
        <v>0</v>
      </c>
    </row>
    <row r="162" spans="1:25" s="13" customFormat="1" ht="14.25" x14ac:dyDescent="0.2">
      <c r="A162" s="91" t="s">
        <v>44</v>
      </c>
      <c r="B162" s="97" t="s">
        <v>963</v>
      </c>
      <c r="C162" s="97"/>
      <c r="D162" s="97"/>
      <c r="E162" s="304">
        <v>4.0000000000000001E-3</v>
      </c>
      <c r="F162" s="304">
        <f t="shared" si="32"/>
        <v>4.0000000000000001E-3</v>
      </c>
      <c r="G162" s="628">
        <f t="shared" si="33"/>
        <v>0</v>
      </c>
      <c r="H162" s="89">
        <f t="shared" si="25"/>
        <v>0</v>
      </c>
      <c r="K162" s="91" t="s">
        <v>44</v>
      </c>
      <c r="L162" s="97" t="s">
        <v>963</v>
      </c>
      <c r="M162" s="97"/>
      <c r="N162" s="97"/>
      <c r="O162" s="304">
        <v>1E-3</v>
      </c>
      <c r="P162" s="304">
        <f t="shared" si="26"/>
        <v>1E-3</v>
      </c>
      <c r="Q162" s="628">
        <f t="shared" si="27"/>
        <v>0</v>
      </c>
      <c r="R162" s="89">
        <f t="shared" si="28"/>
        <v>0</v>
      </c>
      <c r="U162" s="491">
        <f t="shared" si="29"/>
        <v>5.0000000000000001E-3</v>
      </c>
      <c r="V162" s="491">
        <f t="shared" si="29"/>
        <v>5.0000000000000001E-3</v>
      </c>
      <c r="W162" s="628">
        <f t="shared" si="30"/>
        <v>0</v>
      </c>
      <c r="X162" s="89">
        <f t="shared" si="31"/>
        <v>0</v>
      </c>
    </row>
    <row r="163" spans="1:25" s="800" customFormat="1" ht="14.25" x14ac:dyDescent="0.2">
      <c r="A163" s="795"/>
      <c r="B163" s="796" t="s">
        <v>505</v>
      </c>
      <c r="C163" s="796"/>
      <c r="D163" s="796"/>
      <c r="E163" s="794">
        <v>3.5000000000000001E-3</v>
      </c>
      <c r="F163" s="801">
        <f t="shared" si="32"/>
        <v>3.5000000000000001E-3</v>
      </c>
      <c r="G163" s="846">
        <f t="shared" si="33"/>
        <v>0</v>
      </c>
      <c r="H163" s="803">
        <f t="shared" si="25"/>
        <v>0</v>
      </c>
      <c r="K163" s="795"/>
      <c r="L163" s="796" t="s">
        <v>505</v>
      </c>
      <c r="M163" s="796"/>
      <c r="N163" s="796"/>
      <c r="O163" s="794">
        <v>1.5E-3</v>
      </c>
      <c r="P163" s="801">
        <f t="shared" si="26"/>
        <v>1.5E-3</v>
      </c>
      <c r="Q163" s="846">
        <f t="shared" si="27"/>
        <v>0</v>
      </c>
      <c r="R163" s="803">
        <f t="shared" si="28"/>
        <v>0</v>
      </c>
      <c r="U163" s="794">
        <f t="shared" si="29"/>
        <v>5.0000000000000001E-3</v>
      </c>
      <c r="V163" s="794">
        <f t="shared" si="29"/>
        <v>5.0000000000000001E-3</v>
      </c>
      <c r="W163" s="848">
        <f t="shared" si="30"/>
        <v>0</v>
      </c>
      <c r="X163" s="803">
        <f t="shared" si="31"/>
        <v>0</v>
      </c>
    </row>
    <row r="164" spans="1:25" s="13" customFormat="1" ht="14.25" x14ac:dyDescent="0.2">
      <c r="A164" s="91" t="s">
        <v>45</v>
      </c>
      <c r="B164" s="97" t="s">
        <v>866</v>
      </c>
      <c r="C164" s="97"/>
      <c r="D164" s="97"/>
      <c r="E164" s="304">
        <v>4.0000000000000001E-3</v>
      </c>
      <c r="F164" s="304">
        <f t="shared" si="32"/>
        <v>4.0000000000000001E-3</v>
      </c>
      <c r="G164" s="628">
        <f t="shared" si="33"/>
        <v>0</v>
      </c>
      <c r="H164" s="89">
        <f t="shared" si="25"/>
        <v>0</v>
      </c>
      <c r="K164" s="91" t="s">
        <v>45</v>
      </c>
      <c r="L164" s="97" t="s">
        <v>866</v>
      </c>
      <c r="M164" s="97"/>
      <c r="N164" s="97"/>
      <c r="O164" s="304">
        <v>1E-3</v>
      </c>
      <c r="P164" s="304">
        <f t="shared" si="26"/>
        <v>1E-3</v>
      </c>
      <c r="Q164" s="628">
        <f t="shared" si="27"/>
        <v>0</v>
      </c>
      <c r="R164" s="89">
        <f t="shared" si="28"/>
        <v>0</v>
      </c>
      <c r="U164" s="491">
        <f t="shared" si="29"/>
        <v>5.0000000000000001E-3</v>
      </c>
      <c r="V164" s="491">
        <f t="shared" si="29"/>
        <v>5.0000000000000001E-3</v>
      </c>
      <c r="W164" s="628">
        <f t="shared" si="30"/>
        <v>0</v>
      </c>
      <c r="X164" s="89">
        <f t="shared" si="31"/>
        <v>0</v>
      </c>
    </row>
    <row r="165" spans="1:25" s="800" customFormat="1" ht="14.25" x14ac:dyDescent="0.2">
      <c r="A165" s="795"/>
      <c r="B165" s="796" t="s">
        <v>505</v>
      </c>
      <c r="C165" s="796"/>
      <c r="D165" s="796"/>
      <c r="E165" s="794">
        <v>3.5000000000000001E-3</v>
      </c>
      <c r="F165" s="801">
        <f t="shared" si="32"/>
        <v>3.5000000000000001E-3</v>
      </c>
      <c r="G165" s="846">
        <f t="shared" si="33"/>
        <v>0</v>
      </c>
      <c r="H165" s="803">
        <f t="shared" si="25"/>
        <v>0</v>
      </c>
      <c r="K165" s="795"/>
      <c r="L165" s="796" t="s">
        <v>505</v>
      </c>
      <c r="M165" s="796"/>
      <c r="N165" s="796"/>
      <c r="O165" s="794">
        <v>1.5E-3</v>
      </c>
      <c r="P165" s="801">
        <f t="shared" si="26"/>
        <v>1.5E-3</v>
      </c>
      <c r="Q165" s="846">
        <f t="shared" si="27"/>
        <v>0</v>
      </c>
      <c r="R165" s="803">
        <f t="shared" si="28"/>
        <v>0</v>
      </c>
      <c r="U165" s="794">
        <f t="shared" si="29"/>
        <v>5.0000000000000001E-3</v>
      </c>
      <c r="V165" s="794">
        <f t="shared" si="29"/>
        <v>5.0000000000000001E-3</v>
      </c>
      <c r="W165" s="848">
        <f t="shared" si="30"/>
        <v>0</v>
      </c>
      <c r="X165" s="803">
        <f t="shared" si="31"/>
        <v>0</v>
      </c>
    </row>
    <row r="166" spans="1:25" s="13" customFormat="1" ht="14.25" x14ac:dyDescent="0.2">
      <c r="A166" s="119" t="s">
        <v>46</v>
      </c>
      <c r="B166" s="92" t="s">
        <v>847</v>
      </c>
      <c r="C166" s="92"/>
      <c r="D166" s="92"/>
      <c r="E166" s="490">
        <v>2.5000000000000001E-2</v>
      </c>
      <c r="F166" s="304">
        <f t="shared" si="32"/>
        <v>2.5000000000000001E-2</v>
      </c>
      <c r="G166" s="629">
        <f t="shared" si="33"/>
        <v>0</v>
      </c>
      <c r="H166" s="93">
        <f t="shared" si="25"/>
        <v>0</v>
      </c>
      <c r="K166" s="119" t="s">
        <v>46</v>
      </c>
      <c r="L166" s="92" t="s">
        <v>847</v>
      </c>
      <c r="M166" s="92"/>
      <c r="N166" s="92"/>
      <c r="O166" s="490">
        <v>5.0000000000000001E-3</v>
      </c>
      <c r="P166" s="304">
        <f t="shared" si="26"/>
        <v>5.0000000000000001E-3</v>
      </c>
      <c r="Q166" s="629">
        <f t="shared" si="27"/>
        <v>0</v>
      </c>
      <c r="R166" s="93">
        <f t="shared" si="28"/>
        <v>0</v>
      </c>
      <c r="U166" s="492">
        <f t="shared" si="29"/>
        <v>3.0000000000000002E-2</v>
      </c>
      <c r="V166" s="492">
        <f t="shared" si="29"/>
        <v>3.0000000000000002E-2</v>
      </c>
      <c r="W166" s="629">
        <f t="shared" si="30"/>
        <v>0</v>
      </c>
      <c r="X166" s="93">
        <f t="shared" si="31"/>
        <v>0</v>
      </c>
    </row>
    <row r="167" spans="1:25" s="13" customFormat="1" ht="14.25" x14ac:dyDescent="0.2">
      <c r="A167" s="123">
        <v>5</v>
      </c>
      <c r="B167" s="104" t="s">
        <v>47</v>
      </c>
      <c r="C167" s="104"/>
      <c r="D167" s="104"/>
      <c r="E167" s="306">
        <f>SUM(E168:E169)</f>
        <v>1.4999999999999999E-2</v>
      </c>
      <c r="F167" s="308">
        <f>SUM(F168:F169)</f>
        <v>1.4999999999999999E-2</v>
      </c>
      <c r="G167" s="627">
        <f>SUM(G168:G169)</f>
        <v>0</v>
      </c>
      <c r="H167" s="106">
        <f>SUM(H168:H169)</f>
        <v>0</v>
      </c>
      <c r="I167" s="127">
        <f>IFERROR(H167/'OSNOVNI PODATKI'!$E$329,0)</f>
        <v>0</v>
      </c>
      <c r="K167" s="123">
        <v>5</v>
      </c>
      <c r="L167" s="104" t="s">
        <v>47</v>
      </c>
      <c r="M167" s="104"/>
      <c r="N167" s="104"/>
      <c r="O167" s="306">
        <f>SUM(O168:O169)</f>
        <v>5.0000000000000001E-3</v>
      </c>
      <c r="P167" s="308">
        <f>SUM(P168:P169)</f>
        <v>5.0000000000000001E-3</v>
      </c>
      <c r="Q167" s="627">
        <f>SUM(Q168:Q169)</f>
        <v>0</v>
      </c>
      <c r="R167" s="106">
        <f>SUM(R168:R169)</f>
        <v>0</v>
      </c>
      <c r="S167" s="127">
        <f>IFERROR(R167/'OSNOVNI PODATKI'!$E$329,0)</f>
        <v>0</v>
      </c>
      <c r="T167" s="127"/>
      <c r="U167" s="306">
        <f>SUM(U168:U169)</f>
        <v>0.02</v>
      </c>
      <c r="V167" s="306">
        <f>SUM(V168:V169)</f>
        <v>0.02</v>
      </c>
      <c r="W167" s="627">
        <f t="shared" ref="W167:X167" si="34">SUM(W168:W169)</f>
        <v>0</v>
      </c>
      <c r="X167" s="106">
        <f t="shared" si="34"/>
        <v>0</v>
      </c>
      <c r="Y167" s="127">
        <f>IFERROR(X167/'OSNOVNI PODATKI'!$E$329,0)</f>
        <v>0</v>
      </c>
    </row>
    <row r="168" spans="1:25" s="13" customFormat="1" ht="14.25" x14ac:dyDescent="0.2">
      <c r="A168" s="91" t="s">
        <v>48</v>
      </c>
      <c r="B168" s="100" t="s">
        <v>205</v>
      </c>
      <c r="C168" s="100"/>
      <c r="D168" s="100"/>
      <c r="E168" s="304">
        <v>7.4999999999999997E-3</v>
      </c>
      <c r="F168" s="304">
        <f>E168*(100%+$F$124+$F$125)</f>
        <v>7.4999999999999997E-3</v>
      </c>
      <c r="G168" s="628">
        <f t="shared" ref="G168:G169" si="35">F168*$F$121</f>
        <v>0</v>
      </c>
      <c r="H168" s="89">
        <f t="shared" ref="H168:H169" si="36">+G168*$F$122</f>
        <v>0</v>
      </c>
      <c r="K168" s="91" t="s">
        <v>48</v>
      </c>
      <c r="L168" s="100" t="s">
        <v>205</v>
      </c>
      <c r="M168" s="100"/>
      <c r="N168" s="100"/>
      <c r="O168" s="304">
        <v>2.5000000000000001E-3</v>
      </c>
      <c r="P168" s="304">
        <f>O168*(100%+$F$124+$F$125)</f>
        <v>2.5000000000000001E-3</v>
      </c>
      <c r="Q168" s="628">
        <f>IF($F$126="DA",P168*$F$121,0)</f>
        <v>0</v>
      </c>
      <c r="R168" s="89">
        <f t="shared" ref="R168:R169" si="37">+Q168*$F$122</f>
        <v>0</v>
      </c>
      <c r="U168" s="491">
        <f t="shared" ref="U168:V169" si="38">+E168+O168</f>
        <v>0.01</v>
      </c>
      <c r="V168" s="491">
        <f t="shared" si="38"/>
        <v>0.01</v>
      </c>
      <c r="W168" s="628">
        <f t="shared" ref="W168:W169" si="39">+G168+Q168</f>
        <v>0</v>
      </c>
      <c r="X168" s="89">
        <f t="shared" ref="X168:X169" si="40">+H168+R168</f>
        <v>0</v>
      </c>
    </row>
    <row r="169" spans="1:25" s="13" customFormat="1" ht="14.25" x14ac:dyDescent="0.2">
      <c r="A169" s="119" t="s">
        <v>49</v>
      </c>
      <c r="B169" s="125" t="s">
        <v>206</v>
      </c>
      <c r="C169" s="125"/>
      <c r="D169" s="125"/>
      <c r="E169" s="490">
        <v>7.4999999999999997E-3</v>
      </c>
      <c r="F169" s="307">
        <f>E169*(100%+$F$124+$F$125)</f>
        <v>7.4999999999999997E-3</v>
      </c>
      <c r="G169" s="629">
        <f t="shared" si="35"/>
        <v>0</v>
      </c>
      <c r="H169" s="93">
        <f t="shared" si="36"/>
        <v>0</v>
      </c>
      <c r="K169" s="119" t="s">
        <v>49</v>
      </c>
      <c r="L169" s="125" t="s">
        <v>206</v>
      </c>
      <c r="M169" s="125"/>
      <c r="N169" s="125"/>
      <c r="O169" s="490">
        <v>2.5000000000000001E-3</v>
      </c>
      <c r="P169" s="307">
        <f>O169*(100%+$F$124+$F$125)</f>
        <v>2.5000000000000001E-3</v>
      </c>
      <c r="Q169" s="629">
        <f>IF($F$126="DA",P169*$F$121,0)</f>
        <v>0</v>
      </c>
      <c r="R169" s="93">
        <f t="shared" si="37"/>
        <v>0</v>
      </c>
      <c r="U169" s="492">
        <f t="shared" si="38"/>
        <v>0.01</v>
      </c>
      <c r="V169" s="492">
        <f t="shared" si="38"/>
        <v>0.01</v>
      </c>
      <c r="W169" s="629">
        <f t="shared" si="39"/>
        <v>0</v>
      </c>
      <c r="X169" s="93">
        <f t="shared" si="40"/>
        <v>0</v>
      </c>
    </row>
    <row r="170" spans="1:25" s="13" customFormat="1" ht="14.25" x14ac:dyDescent="0.2">
      <c r="A170" s="124">
        <v>6</v>
      </c>
      <c r="B170" s="104" t="s">
        <v>50</v>
      </c>
      <c r="C170" s="104"/>
      <c r="D170" s="104"/>
      <c r="E170" s="105"/>
      <c r="F170" s="309"/>
      <c r="G170" s="621"/>
      <c r="H170" s="106"/>
      <c r="K170" s="124">
        <v>6</v>
      </c>
      <c r="L170" s="104" t="s">
        <v>50</v>
      </c>
      <c r="M170" s="104"/>
      <c r="N170" s="104"/>
      <c r="O170" s="105"/>
      <c r="P170" s="309"/>
      <c r="Q170" s="621"/>
      <c r="R170" s="106"/>
      <c r="U170" s="105"/>
      <c r="V170" s="105"/>
      <c r="W170" s="621"/>
      <c r="X170" s="106"/>
    </row>
    <row r="171" spans="1:25" s="13" customFormat="1" ht="14.25" x14ac:dyDescent="0.2">
      <c r="A171" s="91" t="s">
        <v>54</v>
      </c>
      <c r="B171" s="100" t="s">
        <v>207</v>
      </c>
      <c r="C171" s="100"/>
      <c r="D171" s="100"/>
      <c r="E171" s="88"/>
      <c r="F171" s="88"/>
      <c r="G171" s="622"/>
      <c r="H171" s="89"/>
      <c r="K171" s="91" t="s">
        <v>54</v>
      </c>
      <c r="L171" s="100" t="s">
        <v>207</v>
      </c>
      <c r="M171" s="100"/>
      <c r="N171" s="100"/>
      <c r="O171" s="88"/>
      <c r="P171" s="88"/>
      <c r="Q171" s="622"/>
      <c r="R171" s="89"/>
      <c r="U171" s="88"/>
      <c r="V171" s="88"/>
      <c r="W171" s="622"/>
      <c r="X171" s="89"/>
    </row>
    <row r="172" spans="1:25" s="13" customFormat="1" ht="14.25" x14ac:dyDescent="0.2">
      <c r="A172" s="91" t="s">
        <v>55</v>
      </c>
      <c r="B172" s="100" t="s">
        <v>208</v>
      </c>
      <c r="C172" s="100"/>
      <c r="D172" s="100"/>
      <c r="E172" s="88"/>
      <c r="F172" s="88"/>
      <c r="G172" s="622"/>
      <c r="H172" s="89"/>
      <c r="K172" s="91" t="s">
        <v>55</v>
      </c>
      <c r="L172" s="100" t="s">
        <v>208</v>
      </c>
      <c r="M172" s="100"/>
      <c r="N172" s="100"/>
      <c r="O172" s="88"/>
      <c r="P172" s="88"/>
      <c r="Q172" s="622"/>
      <c r="R172" s="89"/>
      <c r="U172" s="88"/>
      <c r="V172" s="88"/>
      <c r="W172" s="622"/>
      <c r="X172" s="89"/>
    </row>
    <row r="173" spans="1:25" s="13" customFormat="1" ht="14.25" x14ac:dyDescent="0.2">
      <c r="A173" s="119" t="s">
        <v>56</v>
      </c>
      <c r="B173" s="125" t="s">
        <v>209</v>
      </c>
      <c r="C173" s="125"/>
      <c r="D173" s="125"/>
      <c r="E173" s="114"/>
      <c r="F173" s="114"/>
      <c r="G173" s="623"/>
      <c r="H173" s="93"/>
      <c r="K173" s="119" t="s">
        <v>56</v>
      </c>
      <c r="L173" s="125" t="s">
        <v>209</v>
      </c>
      <c r="M173" s="125"/>
      <c r="N173" s="125"/>
      <c r="O173" s="114"/>
      <c r="P173" s="114"/>
      <c r="Q173" s="623"/>
      <c r="R173" s="93"/>
      <c r="U173" s="114"/>
      <c r="V173" s="114"/>
      <c r="W173" s="623"/>
      <c r="X173" s="93"/>
    </row>
    <row r="174" spans="1:25" s="13" customFormat="1" ht="14.25" x14ac:dyDescent="0.2">
      <c r="A174" s="94"/>
      <c r="B174" s="95"/>
      <c r="C174" s="95"/>
      <c r="D174" s="95"/>
      <c r="E174" s="96"/>
      <c r="F174" s="96"/>
      <c r="G174" s="624"/>
      <c r="H174" s="95"/>
      <c r="K174" s="94"/>
      <c r="L174" s="95"/>
      <c r="M174" s="95"/>
      <c r="N174" s="95"/>
      <c r="O174" s="96"/>
      <c r="P174" s="96"/>
      <c r="Q174" s="624"/>
      <c r="R174" s="95"/>
      <c r="U174" s="96"/>
      <c r="V174" s="96"/>
      <c r="W174" s="624"/>
      <c r="X174" s="95"/>
    </row>
    <row r="175" spans="1:25" s="13" customFormat="1" ht="14.25" x14ac:dyDescent="0.2">
      <c r="A175" s="128"/>
      <c r="B175" s="129" t="s">
        <v>0</v>
      </c>
      <c r="C175" s="129"/>
      <c r="D175" s="129"/>
      <c r="E175" s="130">
        <f>E135+E138+E142+E153+E158+E167+E170</f>
        <v>0.81</v>
      </c>
      <c r="F175" s="130">
        <f>F135+F138+F142+F153+F158+F167+F170</f>
        <v>0.81</v>
      </c>
      <c r="G175" s="625">
        <f>G135+G138+G142+G153+G158+G167+G170</f>
        <v>0</v>
      </c>
      <c r="H175" s="131">
        <f>H135+H138+H142+H153+H158+H167+H170</f>
        <v>0</v>
      </c>
      <c r="I175" s="127">
        <f>IFERROR(H175/'OSNOVNI PODATKI'!$E$329,0)</f>
        <v>0</v>
      </c>
      <c r="K175" s="128"/>
      <c r="L175" s="129" t="s">
        <v>0</v>
      </c>
      <c r="M175" s="129"/>
      <c r="N175" s="129"/>
      <c r="O175" s="130">
        <f>O135+O138+O142+O153+O158+O167+O170</f>
        <v>0.19000000000000003</v>
      </c>
      <c r="P175" s="130">
        <f>P135+P138+P142+P153+P158+P167+P170</f>
        <v>0.19000000000000003</v>
      </c>
      <c r="Q175" s="625">
        <f>Q135+Q138+Q142+Q153+Q158+Q167+Q170</f>
        <v>0</v>
      </c>
      <c r="R175" s="131">
        <f>R135+R138+R142+R153+R158+R167+R170</f>
        <v>0</v>
      </c>
      <c r="S175" s="127">
        <f>IFERROR(R175/'OSNOVNI PODATKI'!$E$329,0)</f>
        <v>0</v>
      </c>
      <c r="T175" s="127"/>
      <c r="U175" s="130">
        <f>U135+U138+U142+U153+U158+U167+U170</f>
        <v>1.0000000000000002</v>
      </c>
      <c r="V175" s="130">
        <f>V135+V138+V142+V153+V158+V167+V170</f>
        <v>1.0000000000000002</v>
      </c>
      <c r="W175" s="625">
        <f t="shared" ref="W175:X175" si="41">W135+W138+W142+W153+W158+W167+W170</f>
        <v>0</v>
      </c>
      <c r="X175" s="131">
        <f t="shared" si="41"/>
        <v>0</v>
      </c>
      <c r="Y175" s="127">
        <f>IFERROR(X175/'OSNOVNI PODATKI'!$E$329,0)</f>
        <v>0</v>
      </c>
    </row>
    <row r="176" spans="1:25" s="13" customFormat="1" ht="14.25" x14ac:dyDescent="0.2">
      <c r="A176" s="29"/>
      <c r="B176" s="126"/>
      <c r="E176" s="30"/>
      <c r="G176" s="30"/>
    </row>
    <row r="177" spans="1:14" s="13" customFormat="1" ht="14.25" x14ac:dyDescent="0.2">
      <c r="A177" s="29"/>
      <c r="B177" s="126"/>
      <c r="E177" s="30"/>
      <c r="G177" s="30"/>
      <c r="H177" s="127"/>
      <c r="N177" s="818">
        <f>20%*3%</f>
        <v>6.0000000000000001E-3</v>
      </c>
    </row>
    <row r="178" spans="1:14" x14ac:dyDescent="0.2">
      <c r="H178" s="663"/>
    </row>
    <row r="179" spans="1:14" x14ac:dyDescent="0.2">
      <c r="H179" s="663"/>
    </row>
    <row r="180" spans="1:14" x14ac:dyDescent="0.2">
      <c r="H180" s="663"/>
      <c r="J180" s="663"/>
    </row>
    <row r="183" spans="1:14" x14ac:dyDescent="0.2">
      <c r="J183" s="663"/>
    </row>
    <row r="184" spans="1:14" x14ac:dyDescent="0.2">
      <c r="N184" s="667"/>
    </row>
  </sheetData>
  <sheetProtection algorithmName="SHA-512" hashValue="IYW5oYSBnxOjl+EZ/N/oS2Csiuxt0CMPxKlnPtGP12Ecb2c0cyuOEcduJhfiOfuHRvuVrGHzQ11w7zJQVa+B8w==" saltValue="Zg3elemtiYRYrDt6Sb07tA==" spinCount="100000" sheet="1" objects="1" scenarios="1"/>
  <pageMargins left="0.7" right="0.7" top="0.75" bottom="0.75" header="0.3" footer="0.3"/>
  <ignoredErrors>
    <ignoredError sqref="P158"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61B51-2710-474D-B87B-F56FC0A6714C}">
  <sheetPr codeName="Sheet9"/>
  <dimension ref="A1:Z235"/>
  <sheetViews>
    <sheetView showGridLines="0" topLeftCell="A175" workbookViewId="0">
      <selection activeCell="F181" sqref="F181"/>
    </sheetView>
    <sheetView workbookViewId="1"/>
  </sheetViews>
  <sheetFormatPr defaultRowHeight="12.75" x14ac:dyDescent="0.2"/>
  <cols>
    <col min="2" max="2" width="28.42578125" customWidth="1"/>
    <col min="3" max="4" width="11.7109375" customWidth="1"/>
    <col min="5" max="5" width="17.42578125" customWidth="1"/>
    <col min="6" max="7" width="11.7109375" customWidth="1"/>
    <col min="8" max="8" width="14.140625" customWidth="1"/>
    <col min="9" max="9" width="11.7109375" customWidth="1"/>
    <col min="10" max="10" width="18.5703125" customWidth="1"/>
    <col min="11" max="11" width="15.42578125" customWidth="1"/>
    <col min="12" max="12" width="11.7109375" customWidth="1"/>
    <col min="14" max="14" width="28.85546875" customWidth="1"/>
    <col min="15" max="19" width="12" customWidth="1"/>
    <col min="20" max="20" width="10.85546875" style="489" bestFit="1" customWidth="1"/>
    <col min="21" max="21" width="13.7109375" style="489" customWidth="1"/>
    <col min="22" max="22" width="13" style="489" customWidth="1"/>
    <col min="23" max="23" width="11.28515625" style="489" customWidth="1"/>
    <col min="24" max="24" width="15" style="489" customWidth="1"/>
    <col min="25" max="26" width="8.85546875" style="489"/>
  </cols>
  <sheetData>
    <row r="1" spans="2:26" ht="26.25" x14ac:dyDescent="0.4">
      <c r="B1" s="746" t="s">
        <v>1139</v>
      </c>
      <c r="C1" s="747"/>
      <c r="D1" s="747"/>
      <c r="E1" s="747"/>
      <c r="F1" s="747"/>
      <c r="G1" s="747"/>
      <c r="H1" s="747"/>
      <c r="I1" s="748"/>
      <c r="J1" s="748"/>
      <c r="K1" s="748"/>
      <c r="L1" s="748"/>
      <c r="T1"/>
      <c r="U1"/>
      <c r="V1"/>
      <c r="W1"/>
      <c r="X1"/>
      <c r="Y1"/>
      <c r="Z1"/>
    </row>
    <row r="2" spans="2:26" ht="14.25" x14ac:dyDescent="0.25">
      <c r="B2" s="10"/>
      <c r="C2" s="8"/>
      <c r="D2" s="8"/>
      <c r="E2" s="8"/>
      <c r="F2" s="8"/>
      <c r="G2" s="8"/>
      <c r="H2" s="8"/>
      <c r="I2" s="9"/>
      <c r="J2" s="9"/>
      <c r="K2" s="9"/>
      <c r="L2" s="9"/>
      <c r="T2"/>
      <c r="U2"/>
      <c r="V2"/>
      <c r="W2"/>
      <c r="X2"/>
      <c r="Y2"/>
      <c r="Z2"/>
    </row>
    <row r="3" spans="2:26" s="2" customFormat="1" ht="14.25" x14ac:dyDescent="0.25">
      <c r="B3" s="7"/>
      <c r="C3" s="7"/>
      <c r="D3" s="7"/>
      <c r="E3" s="7"/>
      <c r="F3" s="7"/>
      <c r="G3" s="7"/>
      <c r="H3" s="7"/>
      <c r="I3" s="7"/>
      <c r="J3" s="7"/>
      <c r="K3" s="7"/>
      <c r="L3" s="9"/>
    </row>
    <row r="4" spans="2:26" s="2" customFormat="1" x14ac:dyDescent="0.2">
      <c r="B4" s="1335" t="s">
        <v>71</v>
      </c>
      <c r="C4" s="85" t="s">
        <v>72</v>
      </c>
      <c r="D4" s="85"/>
      <c r="E4" s="85" t="s">
        <v>73</v>
      </c>
      <c r="F4" s="85"/>
      <c r="G4" s="85" t="s">
        <v>74</v>
      </c>
      <c r="H4" s="85"/>
      <c r="I4" s="85" t="s">
        <v>75</v>
      </c>
      <c r="J4" s="85"/>
      <c r="K4" s="85" t="s">
        <v>76</v>
      </c>
      <c r="L4" s="85"/>
    </row>
    <row r="5" spans="2:26" s="2" customFormat="1" x14ac:dyDescent="0.2">
      <c r="B5" s="1336"/>
      <c r="C5" s="202" t="s">
        <v>77</v>
      </c>
      <c r="D5" s="202"/>
      <c r="E5" s="202" t="s">
        <v>78</v>
      </c>
      <c r="F5" s="202"/>
      <c r="G5" s="202" t="s">
        <v>79</v>
      </c>
      <c r="H5" s="202"/>
      <c r="I5" s="202" t="s">
        <v>80</v>
      </c>
      <c r="J5" s="202"/>
      <c r="K5" s="202" t="s">
        <v>81</v>
      </c>
      <c r="L5" s="202"/>
    </row>
    <row r="6" spans="2:26" s="2" customFormat="1" x14ac:dyDescent="0.2">
      <c r="B6" s="203"/>
      <c r="C6" s="203"/>
      <c r="D6" s="203"/>
      <c r="E6" s="203"/>
      <c r="F6" s="203"/>
      <c r="G6" s="203"/>
      <c r="H6" s="203"/>
      <c r="I6" s="203"/>
      <c r="J6" s="203"/>
      <c r="K6" s="203"/>
      <c r="L6" s="203"/>
    </row>
    <row r="7" spans="2:26" s="2" customFormat="1" x14ac:dyDescent="0.2">
      <c r="B7" s="86">
        <v>25000</v>
      </c>
      <c r="C7" s="86">
        <v>39</v>
      </c>
      <c r="D7" s="86">
        <v>46</v>
      </c>
      <c r="E7" s="86">
        <v>46</v>
      </c>
      <c r="F7" s="86">
        <v>54</v>
      </c>
      <c r="G7" s="86">
        <v>54</v>
      </c>
      <c r="H7" s="86">
        <v>68</v>
      </c>
      <c r="I7" s="86">
        <v>68</v>
      </c>
      <c r="J7" s="86">
        <v>76</v>
      </c>
      <c r="K7" s="86">
        <v>76</v>
      </c>
      <c r="L7" s="86">
        <v>83</v>
      </c>
    </row>
    <row r="8" spans="2:26" s="2" customFormat="1" x14ac:dyDescent="0.2">
      <c r="B8" s="86">
        <v>35000</v>
      </c>
      <c r="C8" s="86">
        <v>53</v>
      </c>
      <c r="D8" s="86">
        <v>62</v>
      </c>
      <c r="E8" s="86">
        <v>62</v>
      </c>
      <c r="F8" s="86">
        <v>73</v>
      </c>
      <c r="G8" s="86">
        <v>73</v>
      </c>
      <c r="H8" s="86">
        <v>91</v>
      </c>
      <c r="I8" s="86">
        <v>91</v>
      </c>
      <c r="J8" s="86">
        <v>103</v>
      </c>
      <c r="K8" s="86">
        <v>103</v>
      </c>
      <c r="L8" s="86">
        <v>112</v>
      </c>
    </row>
    <row r="9" spans="2:26" s="2" customFormat="1" x14ac:dyDescent="0.2">
      <c r="B9" s="86">
        <v>50000</v>
      </c>
      <c r="C9" s="86">
        <v>73</v>
      </c>
      <c r="D9" s="86">
        <v>85</v>
      </c>
      <c r="E9" s="86">
        <v>85</v>
      </c>
      <c r="F9" s="86">
        <v>101</v>
      </c>
      <c r="G9" s="86">
        <v>101</v>
      </c>
      <c r="H9" s="86">
        <v>126</v>
      </c>
      <c r="I9" s="86">
        <v>126</v>
      </c>
      <c r="J9" s="86">
        <v>142</v>
      </c>
      <c r="K9" s="86">
        <v>142</v>
      </c>
      <c r="L9" s="86">
        <v>154</v>
      </c>
    </row>
    <row r="10" spans="2:26" s="2" customFormat="1" x14ac:dyDescent="0.2">
      <c r="B10" s="86">
        <v>75000</v>
      </c>
      <c r="C10" s="86">
        <v>104</v>
      </c>
      <c r="D10" s="86">
        <v>122</v>
      </c>
      <c r="E10" s="86">
        <v>122</v>
      </c>
      <c r="F10" s="86">
        <v>145</v>
      </c>
      <c r="G10" s="86">
        <v>145</v>
      </c>
      <c r="H10" s="86">
        <v>181</v>
      </c>
      <c r="I10" s="86">
        <v>181</v>
      </c>
      <c r="J10" s="86">
        <v>204</v>
      </c>
      <c r="K10" s="86">
        <v>204</v>
      </c>
      <c r="L10" s="86">
        <v>222</v>
      </c>
    </row>
    <row r="11" spans="2:26" s="2" customFormat="1" x14ac:dyDescent="0.2">
      <c r="B11" s="86">
        <v>100000</v>
      </c>
      <c r="C11" s="86">
        <v>135</v>
      </c>
      <c r="D11" s="86">
        <v>158</v>
      </c>
      <c r="E11" s="86">
        <v>158</v>
      </c>
      <c r="F11" s="86">
        <v>188</v>
      </c>
      <c r="G11" s="86">
        <v>188</v>
      </c>
      <c r="H11" s="86">
        <v>234</v>
      </c>
      <c r="I11" s="86">
        <v>234</v>
      </c>
      <c r="J11" s="86">
        <v>263</v>
      </c>
      <c r="K11" s="86">
        <v>263</v>
      </c>
      <c r="L11" s="86">
        <v>287</v>
      </c>
    </row>
    <row r="12" spans="2:26" s="2" customFormat="1" x14ac:dyDescent="0.2">
      <c r="B12" s="86">
        <v>150000</v>
      </c>
      <c r="C12" s="86">
        <v>194</v>
      </c>
      <c r="D12" s="86">
        <v>227</v>
      </c>
      <c r="E12" s="86">
        <v>227</v>
      </c>
      <c r="F12" s="86">
        <v>269</v>
      </c>
      <c r="G12" s="86">
        <v>269</v>
      </c>
      <c r="H12" s="86">
        <v>336</v>
      </c>
      <c r="I12" s="86">
        <v>336</v>
      </c>
      <c r="J12" s="86">
        <v>378</v>
      </c>
      <c r="K12" s="86">
        <v>378</v>
      </c>
      <c r="L12" s="86">
        <v>412</v>
      </c>
    </row>
    <row r="13" spans="2:26" s="2" customFormat="1" x14ac:dyDescent="0.2">
      <c r="B13" s="86">
        <v>200000</v>
      </c>
      <c r="C13" s="86">
        <v>250</v>
      </c>
      <c r="D13" s="86">
        <v>294</v>
      </c>
      <c r="E13" s="86">
        <v>294</v>
      </c>
      <c r="F13" s="86">
        <v>348</v>
      </c>
      <c r="G13" s="86">
        <v>348</v>
      </c>
      <c r="H13" s="86">
        <v>434</v>
      </c>
      <c r="I13" s="86">
        <v>434</v>
      </c>
      <c r="J13" s="86">
        <v>489</v>
      </c>
      <c r="K13" s="86">
        <v>489</v>
      </c>
      <c r="L13" s="86">
        <v>532</v>
      </c>
    </row>
    <row r="14" spans="2:26" s="2" customFormat="1" x14ac:dyDescent="0.2">
      <c r="B14" s="86">
        <v>300000</v>
      </c>
      <c r="C14" s="86">
        <v>359</v>
      </c>
      <c r="D14" s="86">
        <v>421</v>
      </c>
      <c r="E14" s="86">
        <v>421</v>
      </c>
      <c r="F14" s="86">
        <v>500</v>
      </c>
      <c r="G14" s="86">
        <v>500</v>
      </c>
      <c r="H14" s="86">
        <v>623</v>
      </c>
      <c r="I14" s="86">
        <v>623</v>
      </c>
      <c r="J14" s="86">
        <v>702</v>
      </c>
      <c r="K14" s="86">
        <v>702</v>
      </c>
      <c r="L14" s="86">
        <v>764</v>
      </c>
    </row>
    <row r="15" spans="2:26" s="2" customFormat="1" x14ac:dyDescent="0.2">
      <c r="B15" s="86">
        <v>500000</v>
      </c>
      <c r="C15" s="86">
        <v>565</v>
      </c>
      <c r="D15" s="86">
        <v>663</v>
      </c>
      <c r="E15" s="86">
        <v>663</v>
      </c>
      <c r="F15" s="86">
        <v>786</v>
      </c>
      <c r="G15" s="86">
        <v>786</v>
      </c>
      <c r="H15" s="86">
        <v>981</v>
      </c>
      <c r="I15" s="86">
        <v>981</v>
      </c>
      <c r="J15" s="86">
        <v>1104</v>
      </c>
      <c r="K15" s="86">
        <v>1104</v>
      </c>
      <c r="L15" s="86">
        <v>1201</v>
      </c>
    </row>
    <row r="16" spans="2:26" s="2" customFormat="1" x14ac:dyDescent="0.2">
      <c r="B16" s="86">
        <v>750000</v>
      </c>
      <c r="C16" s="86">
        <v>808</v>
      </c>
      <c r="D16" s="86">
        <v>947</v>
      </c>
      <c r="E16" s="86">
        <v>947</v>
      </c>
      <c r="F16" s="86">
        <v>1124</v>
      </c>
      <c r="G16" s="86">
        <v>1124</v>
      </c>
      <c r="H16" s="86">
        <v>1402</v>
      </c>
      <c r="I16" s="86">
        <v>1402</v>
      </c>
      <c r="J16" s="86">
        <v>1579</v>
      </c>
      <c r="K16" s="86">
        <v>1579</v>
      </c>
      <c r="L16" s="86">
        <v>1718</v>
      </c>
    </row>
    <row r="17" spans="2:24" s="2" customFormat="1" x14ac:dyDescent="0.2">
      <c r="B17" s="86">
        <v>1000000</v>
      </c>
      <c r="C17" s="86">
        <v>1040</v>
      </c>
      <c r="D17" s="86">
        <v>1218</v>
      </c>
      <c r="E17" s="86">
        <v>1218</v>
      </c>
      <c r="F17" s="86">
        <v>1446</v>
      </c>
      <c r="G17" s="86">
        <v>1446</v>
      </c>
      <c r="H17" s="86">
        <v>1803</v>
      </c>
      <c r="I17" s="86">
        <v>1803</v>
      </c>
      <c r="J17" s="86">
        <v>2031</v>
      </c>
      <c r="K17" s="86">
        <v>2031</v>
      </c>
      <c r="L17" s="86">
        <v>2210</v>
      </c>
    </row>
    <row r="18" spans="2:24" s="2" customFormat="1" x14ac:dyDescent="0.2">
      <c r="B18" s="86">
        <v>1500000</v>
      </c>
      <c r="C18" s="86">
        <v>1491</v>
      </c>
      <c r="D18" s="86">
        <v>1748</v>
      </c>
      <c r="E18" s="86">
        <v>1748</v>
      </c>
      <c r="F18" s="86">
        <v>2074</v>
      </c>
      <c r="G18" s="86">
        <v>2074</v>
      </c>
      <c r="H18" s="86">
        <v>2587</v>
      </c>
      <c r="I18" s="86">
        <v>2587</v>
      </c>
      <c r="J18" s="86">
        <v>2913</v>
      </c>
      <c r="K18" s="86">
        <v>2913</v>
      </c>
      <c r="L18" s="86">
        <v>3169</v>
      </c>
    </row>
    <row r="19" spans="2:24" s="2" customFormat="1" x14ac:dyDescent="0.2">
      <c r="B19" s="86">
        <v>2000000</v>
      </c>
      <c r="C19" s="86">
        <v>1925</v>
      </c>
      <c r="D19" s="86">
        <v>2255</v>
      </c>
      <c r="E19" s="86">
        <v>2255</v>
      </c>
      <c r="F19" s="86">
        <v>2676</v>
      </c>
      <c r="G19" s="86">
        <v>2676</v>
      </c>
      <c r="H19" s="86">
        <v>3338</v>
      </c>
      <c r="I19" s="86">
        <v>3338</v>
      </c>
      <c r="J19" s="86">
        <v>3759</v>
      </c>
      <c r="K19" s="86">
        <v>3759</v>
      </c>
      <c r="L19" s="86">
        <v>4090</v>
      </c>
    </row>
    <row r="20" spans="2:24" s="2" customFormat="1" x14ac:dyDescent="0.2">
      <c r="B20" s="86">
        <v>3000000</v>
      </c>
      <c r="C20" s="86">
        <v>2752</v>
      </c>
      <c r="D20" s="86">
        <v>3225</v>
      </c>
      <c r="E20" s="86">
        <v>3225</v>
      </c>
      <c r="F20" s="86">
        <v>3827</v>
      </c>
      <c r="G20" s="86">
        <v>3827</v>
      </c>
      <c r="H20" s="86">
        <v>4773</v>
      </c>
      <c r="I20" s="86">
        <v>4773</v>
      </c>
      <c r="J20" s="86">
        <v>5375</v>
      </c>
      <c r="K20" s="86">
        <v>5375</v>
      </c>
      <c r="L20" s="86">
        <v>5848</v>
      </c>
    </row>
    <row r="21" spans="2:24" s="2" customFormat="1" x14ac:dyDescent="0.2">
      <c r="B21" s="86">
        <v>5000000</v>
      </c>
      <c r="C21" s="86">
        <v>4298</v>
      </c>
      <c r="D21" s="86">
        <v>5037</v>
      </c>
      <c r="E21" s="86">
        <v>5037</v>
      </c>
      <c r="F21" s="86">
        <v>5978</v>
      </c>
      <c r="G21" s="86">
        <v>5978</v>
      </c>
      <c r="H21" s="86">
        <v>7455</v>
      </c>
      <c r="I21" s="86">
        <v>7455</v>
      </c>
      <c r="J21" s="86">
        <v>8396</v>
      </c>
      <c r="K21" s="86">
        <v>8396</v>
      </c>
      <c r="L21" s="86">
        <v>9134</v>
      </c>
    </row>
    <row r="22" spans="2:24" s="2" customFormat="1" x14ac:dyDescent="0.2">
      <c r="B22" s="86">
        <v>7500000</v>
      </c>
      <c r="C22" s="86">
        <v>6174</v>
      </c>
      <c r="D22" s="86">
        <v>7235</v>
      </c>
      <c r="E22" s="86">
        <v>7235</v>
      </c>
      <c r="F22" s="86">
        <v>8586</v>
      </c>
      <c r="G22" s="86">
        <v>8586</v>
      </c>
      <c r="H22" s="86">
        <v>10708</v>
      </c>
      <c r="I22" s="86">
        <v>10708</v>
      </c>
      <c r="J22" s="86">
        <v>12059</v>
      </c>
      <c r="K22" s="86">
        <v>12059</v>
      </c>
      <c r="L22" s="86">
        <v>13120</v>
      </c>
    </row>
    <row r="23" spans="2:24" s="2" customFormat="1" x14ac:dyDescent="0.2">
      <c r="B23" s="86">
        <v>10000000</v>
      </c>
      <c r="C23" s="86">
        <v>7978</v>
      </c>
      <c r="D23" s="86">
        <v>9350</v>
      </c>
      <c r="E23" s="86">
        <v>9350</v>
      </c>
      <c r="F23" s="86">
        <v>11095</v>
      </c>
      <c r="G23" s="86">
        <v>11095</v>
      </c>
      <c r="H23" s="86">
        <v>13838</v>
      </c>
      <c r="I23" s="86">
        <v>13838</v>
      </c>
      <c r="J23" s="86">
        <v>15583</v>
      </c>
      <c r="K23" s="86">
        <v>15583</v>
      </c>
      <c r="L23" s="86">
        <v>16954</v>
      </c>
    </row>
    <row r="24" spans="2:24" s="2" customFormat="1" x14ac:dyDescent="0.2">
      <c r="B24" s="86">
        <v>15000000</v>
      </c>
      <c r="C24" s="86">
        <v>11439</v>
      </c>
      <c r="D24" s="86">
        <v>13405</v>
      </c>
      <c r="E24" s="86">
        <v>13405</v>
      </c>
      <c r="F24" s="86">
        <v>15908</v>
      </c>
      <c r="G24" s="86">
        <v>15908</v>
      </c>
      <c r="H24" s="86">
        <v>19840</v>
      </c>
      <c r="I24" s="86">
        <v>19840</v>
      </c>
      <c r="J24" s="86">
        <v>22342</v>
      </c>
      <c r="K24" s="86">
        <v>22342</v>
      </c>
      <c r="L24" s="86">
        <v>24308</v>
      </c>
    </row>
    <row r="25" spans="2:24" s="2" customFormat="1" x14ac:dyDescent="0.2">
      <c r="B25" s="86">
        <v>20000000</v>
      </c>
      <c r="C25" s="86">
        <v>14755</v>
      </c>
      <c r="D25" s="86">
        <v>17291</v>
      </c>
      <c r="E25" s="86">
        <v>17291</v>
      </c>
      <c r="F25" s="86">
        <v>20519</v>
      </c>
      <c r="G25" s="86">
        <v>20519</v>
      </c>
      <c r="H25" s="86">
        <v>25591</v>
      </c>
      <c r="I25" s="86">
        <v>25591</v>
      </c>
      <c r="J25" s="86">
        <v>28819</v>
      </c>
      <c r="K25" s="86">
        <v>28819</v>
      </c>
      <c r="L25" s="86">
        <v>31355</v>
      </c>
    </row>
    <row r="26" spans="2:24" s="2" customFormat="1" x14ac:dyDescent="0.2">
      <c r="B26" s="86">
        <v>25000000</v>
      </c>
      <c r="C26" s="86">
        <v>17961</v>
      </c>
      <c r="D26" s="86">
        <v>21048</v>
      </c>
      <c r="E26" s="86">
        <v>21048</v>
      </c>
      <c r="F26" s="86">
        <v>24977</v>
      </c>
      <c r="G26" s="86">
        <v>24977</v>
      </c>
      <c r="H26" s="86">
        <v>31151</v>
      </c>
      <c r="I26" s="86">
        <v>31151</v>
      </c>
      <c r="J26" s="86">
        <v>35080</v>
      </c>
      <c r="K26" s="86">
        <v>35080</v>
      </c>
      <c r="L26" s="86">
        <v>38167</v>
      </c>
    </row>
    <row r="27" spans="2:24" s="2" customFormat="1" x14ac:dyDescent="0.2">
      <c r="B27" s="86">
        <v>50000000</v>
      </c>
      <c r="C27" s="86">
        <v>29640</v>
      </c>
      <c r="D27" s="86">
        <v>34960</v>
      </c>
      <c r="E27" s="86">
        <v>34960</v>
      </c>
      <c r="F27" s="86">
        <v>41040</v>
      </c>
      <c r="G27" s="86">
        <v>41040</v>
      </c>
      <c r="H27" s="86">
        <v>51680</v>
      </c>
      <c r="I27" s="86">
        <v>51680</v>
      </c>
      <c r="J27" s="86">
        <v>57760</v>
      </c>
      <c r="K27" s="86">
        <v>57760</v>
      </c>
      <c r="L27" s="86">
        <v>63080</v>
      </c>
    </row>
    <row r="28" spans="2:24" s="2" customFormat="1" x14ac:dyDescent="0.2">
      <c r="B28" s="86">
        <v>100000000</v>
      </c>
      <c r="C28" s="86">
        <v>46800</v>
      </c>
      <c r="D28" s="86">
        <v>55200</v>
      </c>
      <c r="E28" s="86">
        <v>55200</v>
      </c>
      <c r="F28" s="86">
        <v>64800</v>
      </c>
      <c r="G28" s="86">
        <v>64800</v>
      </c>
      <c r="H28" s="86">
        <v>81600</v>
      </c>
      <c r="I28" s="86">
        <v>81600</v>
      </c>
      <c r="J28" s="86">
        <v>91200</v>
      </c>
      <c r="K28" s="86">
        <v>91200</v>
      </c>
      <c r="L28" s="86">
        <v>99600</v>
      </c>
    </row>
    <row r="29" spans="2:24" s="2" customFormat="1" x14ac:dyDescent="0.2">
      <c r="B29" s="86">
        <v>150000000</v>
      </c>
      <c r="C29" s="86">
        <v>60840</v>
      </c>
      <c r="D29" s="86">
        <v>71760</v>
      </c>
      <c r="E29" s="86">
        <v>71760</v>
      </c>
      <c r="F29" s="86">
        <v>84240</v>
      </c>
      <c r="G29" s="86">
        <v>84240</v>
      </c>
      <c r="H29" s="86">
        <v>106080</v>
      </c>
      <c r="I29" s="86">
        <v>106080</v>
      </c>
      <c r="J29" s="86">
        <v>118560</v>
      </c>
      <c r="K29" s="86">
        <v>118560</v>
      </c>
      <c r="L29" s="86">
        <v>129480</v>
      </c>
    </row>
    <row r="30" spans="2:24" s="2" customFormat="1" x14ac:dyDescent="0.2">
      <c r="B30" s="86">
        <v>200000000</v>
      </c>
      <c r="C30" s="86">
        <v>68640</v>
      </c>
      <c r="D30" s="86">
        <v>80960</v>
      </c>
      <c r="E30" s="86">
        <v>80960</v>
      </c>
      <c r="F30" s="86">
        <v>95040</v>
      </c>
      <c r="G30" s="86">
        <v>95040</v>
      </c>
      <c r="H30" s="86">
        <v>119680</v>
      </c>
      <c r="I30" s="86">
        <v>119680</v>
      </c>
      <c r="J30" s="86">
        <v>133760</v>
      </c>
      <c r="K30" s="86">
        <v>133760</v>
      </c>
      <c r="L30" s="86">
        <v>146080</v>
      </c>
    </row>
    <row r="31" spans="2:24" s="81" customFormat="1" x14ac:dyDescent="0.2">
      <c r="B31" s="80"/>
      <c r="C31" s="80"/>
      <c r="D31" s="80"/>
      <c r="E31" s="80"/>
      <c r="F31" s="80"/>
      <c r="G31" s="80"/>
      <c r="H31" s="80"/>
      <c r="I31" s="80"/>
      <c r="J31" s="80"/>
      <c r="K31" s="80"/>
      <c r="L31" s="80"/>
      <c r="M31" s="2"/>
      <c r="N31" s="2"/>
      <c r="O31" s="2"/>
      <c r="P31" s="2"/>
      <c r="Q31" s="2"/>
      <c r="R31" s="2"/>
      <c r="S31" s="2"/>
      <c r="T31" s="2"/>
      <c r="U31" s="2"/>
      <c r="V31" s="2"/>
      <c r="W31" s="2"/>
      <c r="X31" s="2"/>
    </row>
    <row r="32" spans="2:24" s="81" customFormat="1" x14ac:dyDescent="0.2">
      <c r="B32" s="80"/>
      <c r="C32" s="80"/>
      <c r="D32" s="80"/>
      <c r="E32" s="80"/>
      <c r="F32" s="80"/>
      <c r="G32" s="80"/>
      <c r="H32" s="80"/>
      <c r="I32" s="80"/>
      <c r="J32" s="80"/>
      <c r="K32" s="80"/>
      <c r="L32" s="80"/>
    </row>
    <row r="33" spans="1:12" s="81" customFormat="1" ht="13.5" thickBot="1" x14ac:dyDescent="0.25">
      <c r="B33" s="749"/>
      <c r="C33" s="80"/>
      <c r="D33" s="80"/>
      <c r="E33" s="750"/>
      <c r="F33" s="80"/>
      <c r="G33" s="80"/>
      <c r="H33" s="80"/>
      <c r="I33" s="80"/>
      <c r="J33" s="80"/>
      <c r="K33" s="80"/>
      <c r="L33" s="80"/>
    </row>
    <row r="34" spans="1:12" s="78" customFormat="1" ht="18.75" x14ac:dyDescent="0.2">
      <c r="A34" s="831" t="s">
        <v>1141</v>
      </c>
      <c r="B34" s="831"/>
      <c r="C34" s="831"/>
      <c r="D34" s="831"/>
      <c r="E34" s="831"/>
      <c r="F34" s="831"/>
      <c r="G34" s="831"/>
      <c r="H34" s="831"/>
      <c r="I34" s="831"/>
      <c r="J34" s="831"/>
    </row>
    <row r="35" spans="1:12" s="78" customFormat="1" x14ac:dyDescent="0.2">
      <c r="B35" s="212"/>
      <c r="C35" s="212"/>
      <c r="D35" s="212"/>
      <c r="E35" s="212"/>
      <c r="F35" s="212"/>
      <c r="J35" s="640"/>
    </row>
    <row r="36" spans="1:12" s="78" customFormat="1" x14ac:dyDescent="0.2">
      <c r="A36" s="81"/>
      <c r="B36" s="550" t="s">
        <v>950</v>
      </c>
      <c r="C36" s="657">
        <f>'OSNOVNI PODATKI'!F171</f>
        <v>1</v>
      </c>
      <c r="D36" s="550" t="str">
        <f>IF(C36=1,'OSNOVNI PODATKI'!B171,'OSNOVNI PODATKI'!B172)</f>
        <v>NOTRANJA OPREMA STAVBE Z RAZLIČNIMI DELI (PRI IZRAČUNU POTREBNIH NU SE UPOŠTEVAJO CELOTNI OBRAČUNSKI STROŠKI)</v>
      </c>
      <c r="E36" s="509"/>
      <c r="F36" s="509"/>
      <c r="G36" s="210"/>
      <c r="H36" s="210"/>
      <c r="I36" s="210"/>
      <c r="J36" s="640"/>
    </row>
    <row r="37" spans="1:12" s="78" customFormat="1" x14ac:dyDescent="0.2">
      <c r="A37" s="81"/>
      <c r="B37" s="550" t="s">
        <v>901</v>
      </c>
      <c r="C37" s="210"/>
      <c r="D37" s="764">
        <f>'OSNOVNI PODATKI'!E340</f>
        <v>0</v>
      </c>
      <c r="E37" s="509"/>
      <c r="F37" s="509"/>
      <c r="G37" s="210"/>
      <c r="H37" s="210"/>
      <c r="I37" s="210"/>
      <c r="J37" s="640"/>
    </row>
    <row r="38" spans="1:12" s="78" customFormat="1" x14ac:dyDescent="0.2">
      <c r="A38" s="81"/>
      <c r="B38" s="880" t="s">
        <v>1069</v>
      </c>
      <c r="C38" s="640"/>
      <c r="D38" s="881">
        <f>'OSNOVNI PODATKI'!E337</f>
        <v>0</v>
      </c>
      <c r="E38" s="752"/>
      <c r="F38" s="752"/>
      <c r="G38" s="640"/>
      <c r="H38" s="640"/>
      <c r="I38" s="640"/>
      <c r="J38" s="640"/>
    </row>
    <row r="39" spans="1:12" s="78" customFormat="1" x14ac:dyDescent="0.2">
      <c r="A39" s="81"/>
      <c r="B39" s="753"/>
      <c r="C39" s="751"/>
      <c r="D39" s="753"/>
      <c r="E39" s="212"/>
      <c r="F39" s="212"/>
    </row>
    <row r="40" spans="1:12" s="78" customFormat="1" x14ac:dyDescent="0.2">
      <c r="A40" s="81"/>
      <c r="B40" s="213" t="str">
        <f>'OSNOVNI PODATKI'!A174</f>
        <v>NOTRANJA OPREMA / DEL 1</v>
      </c>
      <c r="C40" s="756">
        <f>'OSNOVNI PODATKI'!E174</f>
        <v>0</v>
      </c>
      <c r="D40" s="213"/>
      <c r="E40" s="213"/>
      <c r="F40" s="213"/>
    </row>
    <row r="41" spans="1:12" s="78" customFormat="1" x14ac:dyDescent="0.2">
      <c r="A41" s="81"/>
      <c r="B41" s="638" t="s">
        <v>722</v>
      </c>
      <c r="C41" s="201">
        <f>'OSNOVNI PODATKI'!E175</f>
        <v>0</v>
      </c>
      <c r="D41" s="752"/>
      <c r="E41" s="752"/>
      <c r="F41" s="752"/>
    </row>
    <row r="42" spans="1:12" s="78" customFormat="1" x14ac:dyDescent="0.2">
      <c r="A42" s="81"/>
      <c r="B42" s="205" t="s">
        <v>1060</v>
      </c>
      <c r="D42" s="758"/>
      <c r="E42" s="758"/>
      <c r="F42" s="300">
        <f>'OSNOVNI PODATKI'!E176</f>
        <v>0</v>
      </c>
    </row>
    <row r="43" spans="1:12" s="78" customFormat="1" x14ac:dyDescent="0.2">
      <c r="A43" s="81"/>
      <c r="B43" s="205" t="s">
        <v>1058</v>
      </c>
      <c r="D43" s="212"/>
      <c r="E43" s="212"/>
      <c r="F43" s="207">
        <f>'OSNOVNI PODATKI'!E179</f>
        <v>0</v>
      </c>
    </row>
    <row r="44" spans="1:12" s="78" customFormat="1" x14ac:dyDescent="0.2">
      <c r="B44" s="550" t="s">
        <v>1057</v>
      </c>
      <c r="C44" s="640"/>
      <c r="D44" s="640"/>
      <c r="E44" s="759"/>
      <c r="F44" s="745">
        <f>+F42*F43</f>
        <v>0</v>
      </c>
    </row>
    <row r="45" spans="1:12" s="78" customFormat="1" x14ac:dyDescent="0.2">
      <c r="B45" s="550" t="s">
        <v>1068</v>
      </c>
      <c r="E45" s="763"/>
      <c r="F45" s="745">
        <f>IF($C$36=1,$D$37,F44)</f>
        <v>0</v>
      </c>
    </row>
    <row r="46" spans="1:12" s="78" customFormat="1" x14ac:dyDescent="0.2">
      <c r="B46" s="206" t="s">
        <v>117</v>
      </c>
      <c r="C46" s="289"/>
      <c r="D46" s="289"/>
      <c r="E46" s="757"/>
      <c r="F46" s="760">
        <f>'OSNOVNI PODATKI'!E177</f>
        <v>0</v>
      </c>
    </row>
    <row r="47" spans="1:12" s="78" customFormat="1" x14ac:dyDescent="0.2">
      <c r="B47" s="877" t="s">
        <v>26</v>
      </c>
      <c r="C47" s="640"/>
      <c r="D47" s="203"/>
      <c r="E47" s="203"/>
      <c r="F47" s="761" t="str">
        <f>IFERROR(MATCH(F46,$C$4:$L$4),"/")</f>
        <v>/</v>
      </c>
    </row>
    <row r="48" spans="1:12" s="78" customFormat="1" x14ac:dyDescent="0.2">
      <c r="B48" s="878" t="s">
        <v>118</v>
      </c>
      <c r="C48" s="210"/>
      <c r="D48" s="85"/>
      <c r="E48" s="85"/>
      <c r="F48" s="581" t="str">
        <f>IFERROR(F47+1,"/")</f>
        <v>/</v>
      </c>
    </row>
    <row r="49" spans="2:6" s="78" customFormat="1" x14ac:dyDescent="0.2">
      <c r="B49" s="878" t="s">
        <v>27</v>
      </c>
      <c r="C49" s="210"/>
      <c r="D49" s="85"/>
      <c r="E49" s="85"/>
      <c r="F49" s="581" t="str">
        <f>IF(OR(F45&gt;$B$30,F45&lt;$B$7),"/",IFERROR(MATCH(F45,$B$7:$B$30),"/"))</f>
        <v>/</v>
      </c>
    </row>
    <row r="50" spans="2:6" s="78" customFormat="1" x14ac:dyDescent="0.2">
      <c r="B50" s="878" t="s">
        <v>28</v>
      </c>
      <c r="C50" s="210"/>
      <c r="D50" s="85"/>
      <c r="E50" s="85"/>
      <c r="F50" s="581" t="str">
        <f>IFERROR((F49+1),"/")</f>
        <v>/</v>
      </c>
    </row>
    <row r="51" spans="2:6" s="78" customFormat="1" x14ac:dyDescent="0.2">
      <c r="B51" s="878" t="s">
        <v>1062</v>
      </c>
      <c r="C51" s="210"/>
      <c r="D51" s="85"/>
      <c r="E51" s="85"/>
      <c r="F51" s="581">
        <f>IFERROR(INDEX($B$7:$B$30,F49),0)</f>
        <v>0</v>
      </c>
    </row>
    <row r="52" spans="2:6" s="78" customFormat="1" x14ac:dyDescent="0.2">
      <c r="B52" s="878" t="s">
        <v>1063</v>
      </c>
      <c r="C52" s="210"/>
      <c r="D52" s="85"/>
      <c r="E52" s="85"/>
      <c r="F52" s="581">
        <f>IFERROR(INDEX($B$7:$B$30,F50),0)</f>
        <v>0</v>
      </c>
    </row>
    <row r="53" spans="2:6" s="78" customFormat="1" x14ac:dyDescent="0.2">
      <c r="B53" s="550"/>
      <c r="C53" s="210"/>
      <c r="D53" s="85"/>
      <c r="E53" s="85"/>
      <c r="F53" s="85"/>
    </row>
    <row r="54" spans="2:6" s="78" customFormat="1" x14ac:dyDescent="0.2">
      <c r="B54" s="755" t="s">
        <v>1066</v>
      </c>
      <c r="C54" s="289"/>
      <c r="D54" s="202"/>
      <c r="E54" s="202"/>
      <c r="F54" s="202"/>
    </row>
    <row r="55" spans="2:6" s="78" customFormat="1" x14ac:dyDescent="0.2">
      <c r="B55" s="877" t="s">
        <v>1064</v>
      </c>
      <c r="C55" s="640"/>
      <c r="D55" s="203"/>
      <c r="E55" s="203"/>
      <c r="F55" s="581">
        <f>IFERROR(INDEX($C$7:$L$30,F49,F47),0)</f>
        <v>0</v>
      </c>
    </row>
    <row r="56" spans="2:6" s="78" customFormat="1" x14ac:dyDescent="0.2">
      <c r="B56" s="878" t="s">
        <v>1065</v>
      </c>
      <c r="C56" s="210"/>
      <c r="D56" s="85"/>
      <c r="E56" s="85"/>
      <c r="F56" s="581">
        <f>IFERROR(INDEX($C$7:$L$30,F50,F47),0)</f>
        <v>0</v>
      </c>
    </row>
    <row r="57" spans="2:6" s="78" customFormat="1" x14ac:dyDescent="0.2">
      <c r="B57" s="879" t="s">
        <v>120</v>
      </c>
      <c r="C57" s="301"/>
      <c r="D57" s="302"/>
      <c r="E57" s="302"/>
      <c r="F57" s="581">
        <f>IFERROR(FORECAST(F45,F55:F56,F51:F52),0)</f>
        <v>0</v>
      </c>
    </row>
    <row r="58" spans="2:6" s="78" customFormat="1" x14ac:dyDescent="0.2">
      <c r="B58" s="310" t="s">
        <v>1070</v>
      </c>
      <c r="C58" s="311"/>
      <c r="D58" s="312"/>
      <c r="E58" s="312"/>
      <c r="F58" s="313">
        <f>IF(F49="/",0,F57/$D$38*F42)</f>
        <v>0</v>
      </c>
    </row>
    <row r="59" spans="2:6" s="78" customFormat="1" x14ac:dyDescent="0.2">
      <c r="B59" s="207"/>
      <c r="D59" s="79"/>
      <c r="E59" s="79"/>
      <c r="F59" s="84"/>
    </row>
    <row r="60" spans="2:6" s="78" customFormat="1" x14ac:dyDescent="0.2">
      <c r="B60" s="754" t="s">
        <v>1067</v>
      </c>
      <c r="D60" s="79"/>
      <c r="E60" s="79"/>
      <c r="F60" s="762"/>
    </row>
    <row r="61" spans="2:6" s="78" customFormat="1" x14ac:dyDescent="0.2">
      <c r="B61" s="877" t="s">
        <v>119</v>
      </c>
      <c r="C61" s="209"/>
      <c r="D61" s="211"/>
      <c r="E61" s="211"/>
      <c r="F61" s="761">
        <f>IFERROR(INDEX($C$7:$L$30,F49,F48),0)</f>
        <v>0</v>
      </c>
    </row>
    <row r="62" spans="2:6" s="78" customFormat="1" x14ac:dyDescent="0.2">
      <c r="B62" s="878" t="s">
        <v>90</v>
      </c>
      <c r="C62" s="210"/>
      <c r="D62" s="85"/>
      <c r="E62" s="85"/>
      <c r="F62" s="581">
        <f>IFERROR(INDEX($C$7:$L$30,F50,F48),0)</f>
        <v>0</v>
      </c>
    </row>
    <row r="63" spans="2:6" s="78" customFormat="1" x14ac:dyDescent="0.2">
      <c r="B63" s="879" t="s">
        <v>121</v>
      </c>
      <c r="C63" s="301"/>
      <c r="D63" s="302"/>
      <c r="E63" s="302"/>
      <c r="F63" s="581">
        <f>IFERROR(FORECAST(F45,F61:F62,F51:F52),0)</f>
        <v>0</v>
      </c>
    </row>
    <row r="64" spans="2:6" s="78" customFormat="1" x14ac:dyDescent="0.2">
      <c r="B64" s="310" t="s">
        <v>1071</v>
      </c>
      <c r="C64" s="311"/>
      <c r="D64" s="312"/>
      <c r="E64" s="312"/>
      <c r="F64" s="313">
        <f>IF(F49="/",0,F63/$D$38*F42)</f>
        <v>0</v>
      </c>
    </row>
    <row r="65" spans="1:26" x14ac:dyDescent="0.2">
      <c r="B65" s="450"/>
      <c r="C65" s="525"/>
      <c r="D65" s="525"/>
      <c r="E65" s="525"/>
      <c r="F65" s="525"/>
      <c r="G65" s="78"/>
      <c r="H65" s="78"/>
      <c r="I65" s="78"/>
      <c r="J65" s="78"/>
      <c r="T65"/>
      <c r="U65"/>
      <c r="V65"/>
      <c r="W65"/>
      <c r="X65"/>
      <c r="Y65"/>
      <c r="Z65"/>
    </row>
    <row r="66" spans="1:26" s="78" customFormat="1" x14ac:dyDescent="0.2">
      <c r="A66" s="81"/>
      <c r="B66" s="213" t="str">
        <f>'OSNOVNI PODATKI'!A185</f>
        <v>NOTRANJA OPREMA / DEL 2</v>
      </c>
      <c r="C66" s="756">
        <f>'OSNOVNI PODATKI'!E185</f>
        <v>0</v>
      </c>
      <c r="D66" s="213"/>
      <c r="E66" s="213"/>
      <c r="F66" s="213"/>
    </row>
    <row r="67" spans="1:26" s="78" customFormat="1" x14ac:dyDescent="0.2">
      <c r="A67" s="81"/>
      <c r="B67" s="638" t="s">
        <v>722</v>
      </c>
      <c r="C67" s="201">
        <f>'OSNOVNI PODATKI'!E186</f>
        <v>0</v>
      </c>
      <c r="D67" s="752"/>
      <c r="E67" s="752"/>
      <c r="F67" s="752"/>
    </row>
    <row r="68" spans="1:26" s="78" customFormat="1" x14ac:dyDescent="0.2">
      <c r="A68" s="81"/>
      <c r="B68" s="205" t="s">
        <v>1060</v>
      </c>
      <c r="D68" s="758"/>
      <c r="E68" s="758"/>
      <c r="F68" s="300">
        <f>'OSNOVNI PODATKI'!E187</f>
        <v>0</v>
      </c>
    </row>
    <row r="69" spans="1:26" s="78" customFormat="1" x14ac:dyDescent="0.2">
      <c r="A69" s="81"/>
      <c r="B69" s="205" t="s">
        <v>1058</v>
      </c>
      <c r="D69" s="212"/>
      <c r="E69" s="212"/>
      <c r="F69" s="207">
        <f>'OSNOVNI PODATKI'!E190</f>
        <v>0</v>
      </c>
    </row>
    <row r="70" spans="1:26" s="78" customFormat="1" x14ac:dyDescent="0.2">
      <c r="B70" s="550" t="s">
        <v>1057</v>
      </c>
      <c r="C70" s="640"/>
      <c r="D70" s="640"/>
      <c r="E70" s="759"/>
      <c r="F70" s="745">
        <f>+F68*F69</f>
        <v>0</v>
      </c>
    </row>
    <row r="71" spans="1:26" s="78" customFormat="1" x14ac:dyDescent="0.2">
      <c r="B71" s="550" t="s">
        <v>1068</v>
      </c>
      <c r="E71" s="763"/>
      <c r="F71" s="745">
        <f>IF($C$36=1,$D$37,F70)</f>
        <v>0</v>
      </c>
    </row>
    <row r="72" spans="1:26" s="78" customFormat="1" x14ac:dyDescent="0.2">
      <c r="B72" s="206" t="s">
        <v>117</v>
      </c>
      <c r="C72" s="289"/>
      <c r="D72" s="289"/>
      <c r="E72" s="757"/>
      <c r="F72" s="760" t="str">
        <f>'OSNOVNI PODATKI'!E188</f>
        <v>Cenovni razred II</v>
      </c>
    </row>
    <row r="73" spans="1:26" s="78" customFormat="1" x14ac:dyDescent="0.2">
      <c r="B73" s="877" t="s">
        <v>26</v>
      </c>
      <c r="C73" s="640"/>
      <c r="D73" s="203"/>
      <c r="E73" s="203"/>
      <c r="F73" s="761">
        <f>IFERROR(MATCH(F72,$C$4:$L$4),"/")</f>
        <v>3</v>
      </c>
    </row>
    <row r="74" spans="1:26" s="78" customFormat="1" x14ac:dyDescent="0.2">
      <c r="B74" s="878" t="s">
        <v>118</v>
      </c>
      <c r="C74" s="210"/>
      <c r="D74" s="85"/>
      <c r="E74" s="85"/>
      <c r="F74" s="581">
        <f>IFERROR(F73+1,"/")</f>
        <v>4</v>
      </c>
    </row>
    <row r="75" spans="1:26" s="78" customFormat="1" x14ac:dyDescent="0.2">
      <c r="B75" s="878" t="s">
        <v>27</v>
      </c>
      <c r="C75" s="210"/>
      <c r="D75" s="85"/>
      <c r="E75" s="85"/>
      <c r="F75" s="581" t="str">
        <f>IF(OR(F71&gt;$B$30,F71&lt;$B$7),"/",IFERROR(MATCH(F71,$B$7:$B$30),"/"))</f>
        <v>/</v>
      </c>
    </row>
    <row r="76" spans="1:26" s="78" customFormat="1" x14ac:dyDescent="0.2">
      <c r="B76" s="878" t="s">
        <v>28</v>
      </c>
      <c r="C76" s="210"/>
      <c r="D76" s="85"/>
      <c r="E76" s="85"/>
      <c r="F76" s="581" t="str">
        <f>IFERROR((F75+1),"/")</f>
        <v>/</v>
      </c>
    </row>
    <row r="77" spans="1:26" s="78" customFormat="1" x14ac:dyDescent="0.2">
      <c r="B77" s="878" t="s">
        <v>1062</v>
      </c>
      <c r="C77" s="210"/>
      <c r="D77" s="85"/>
      <c r="E77" s="85"/>
      <c r="F77" s="581">
        <f>IFERROR(INDEX($B$7:$B$30,F75),0)</f>
        <v>0</v>
      </c>
    </row>
    <row r="78" spans="1:26" s="78" customFormat="1" x14ac:dyDescent="0.2">
      <c r="B78" s="878" t="s">
        <v>1063</v>
      </c>
      <c r="C78" s="210"/>
      <c r="D78" s="85"/>
      <c r="E78" s="85"/>
      <c r="F78" s="581">
        <f>IFERROR(INDEX($B$7:$B$30,F76),0)</f>
        <v>0</v>
      </c>
    </row>
    <row r="79" spans="1:26" s="78" customFormat="1" x14ac:dyDescent="0.2">
      <c r="B79" s="550"/>
      <c r="C79" s="210"/>
      <c r="D79" s="85"/>
      <c r="E79" s="85"/>
      <c r="F79" s="85"/>
    </row>
    <row r="80" spans="1:26" s="78" customFormat="1" x14ac:dyDescent="0.2">
      <c r="B80" s="755" t="s">
        <v>1066</v>
      </c>
      <c r="C80" s="289"/>
      <c r="D80" s="202"/>
      <c r="E80" s="202"/>
      <c r="F80" s="202"/>
    </row>
    <row r="81" spans="1:26" s="78" customFormat="1" x14ac:dyDescent="0.2">
      <c r="B81" s="877" t="s">
        <v>1064</v>
      </c>
      <c r="C81" s="640"/>
      <c r="D81" s="203"/>
      <c r="E81" s="203"/>
      <c r="F81" s="581">
        <f>IFERROR(INDEX($C$7:$L$30,F75,F73),0)</f>
        <v>0</v>
      </c>
    </row>
    <row r="82" spans="1:26" s="78" customFormat="1" x14ac:dyDescent="0.2">
      <c r="B82" s="878" t="s">
        <v>1065</v>
      </c>
      <c r="C82" s="210"/>
      <c r="D82" s="85"/>
      <c r="E82" s="85"/>
      <c r="F82" s="581">
        <f>IFERROR(INDEX($C$7:$L$30,F76,F73),0)</f>
        <v>0</v>
      </c>
    </row>
    <row r="83" spans="1:26" s="78" customFormat="1" x14ac:dyDescent="0.2">
      <c r="B83" s="879" t="s">
        <v>120</v>
      </c>
      <c r="C83" s="301"/>
      <c r="D83" s="302"/>
      <c r="E83" s="302"/>
      <c r="F83" s="581">
        <f>IFERROR(FORECAST(F71,F81:F82,F77:F78),0)</f>
        <v>0</v>
      </c>
    </row>
    <row r="84" spans="1:26" s="78" customFormat="1" x14ac:dyDescent="0.2">
      <c r="B84" s="310" t="s">
        <v>1070</v>
      </c>
      <c r="C84" s="311"/>
      <c r="D84" s="312"/>
      <c r="E84" s="312"/>
      <c r="F84" s="313">
        <f>IF(F75="/",0,F83/$D$38*F68)</f>
        <v>0</v>
      </c>
    </row>
    <row r="85" spans="1:26" s="78" customFormat="1" x14ac:dyDescent="0.2">
      <c r="B85" s="207"/>
      <c r="D85" s="79"/>
      <c r="E85" s="79"/>
      <c r="F85" s="84"/>
    </row>
    <row r="86" spans="1:26" s="78" customFormat="1" x14ac:dyDescent="0.2">
      <c r="B86" s="754" t="s">
        <v>1067</v>
      </c>
      <c r="D86" s="79"/>
      <c r="E86" s="79"/>
      <c r="F86" s="762"/>
    </row>
    <row r="87" spans="1:26" s="78" customFormat="1" x14ac:dyDescent="0.2">
      <c r="B87" s="877" t="s">
        <v>119</v>
      </c>
      <c r="C87" s="209"/>
      <c r="D87" s="211"/>
      <c r="E87" s="211"/>
      <c r="F87" s="761">
        <f>IFERROR(INDEX($C$7:$L$30,F75,F74),0)</f>
        <v>0</v>
      </c>
    </row>
    <row r="88" spans="1:26" s="78" customFormat="1" x14ac:dyDescent="0.2">
      <c r="B88" s="878" t="s">
        <v>90</v>
      </c>
      <c r="C88" s="210"/>
      <c r="D88" s="85"/>
      <c r="E88" s="85"/>
      <c r="F88" s="581">
        <f>IFERROR(INDEX($C$7:$L$30,F76,F74),0)</f>
        <v>0</v>
      </c>
    </row>
    <row r="89" spans="1:26" s="78" customFormat="1" x14ac:dyDescent="0.2">
      <c r="B89" s="879" t="s">
        <v>121</v>
      </c>
      <c r="C89" s="301"/>
      <c r="D89" s="302"/>
      <c r="E89" s="302"/>
      <c r="F89" s="581">
        <f>IFERROR(FORECAST(F71,F87:F88,F77:F78),0)</f>
        <v>0</v>
      </c>
    </row>
    <row r="90" spans="1:26" s="78" customFormat="1" x14ac:dyDescent="0.2">
      <c r="B90" s="310" t="s">
        <v>1071</v>
      </c>
      <c r="C90" s="311"/>
      <c r="D90" s="312"/>
      <c r="E90" s="312"/>
      <c r="F90" s="313">
        <f>IF(F75="/",0,F89/$D$38*F68)</f>
        <v>0</v>
      </c>
    </row>
    <row r="91" spans="1:26" x14ac:dyDescent="0.2">
      <c r="T91"/>
      <c r="U91"/>
      <c r="V91"/>
      <c r="W91"/>
      <c r="X91"/>
      <c r="Y91"/>
      <c r="Z91"/>
    </row>
    <row r="92" spans="1:26" s="78" customFormat="1" x14ac:dyDescent="0.2">
      <c r="A92" s="81"/>
      <c r="B92" s="213" t="str">
        <f>'OSNOVNI PODATKI'!A196</f>
        <v>NOTRANJA OPREMA / DEL 3</v>
      </c>
      <c r="C92" s="756">
        <f>'OSNOVNI PODATKI'!E196</f>
        <v>0</v>
      </c>
      <c r="D92" s="213"/>
      <c r="E92" s="213"/>
      <c r="F92" s="213"/>
    </row>
    <row r="93" spans="1:26" s="78" customFormat="1" x14ac:dyDescent="0.2">
      <c r="A93" s="81"/>
      <c r="B93" s="638" t="s">
        <v>722</v>
      </c>
      <c r="C93" s="201">
        <f>'OSNOVNI PODATKI'!E197</f>
        <v>0</v>
      </c>
      <c r="D93" s="752"/>
      <c r="E93" s="752"/>
      <c r="F93" s="752"/>
    </row>
    <row r="94" spans="1:26" s="78" customFormat="1" x14ac:dyDescent="0.2">
      <c r="A94" s="81"/>
      <c r="B94" s="205" t="s">
        <v>1060</v>
      </c>
      <c r="D94" s="758"/>
      <c r="E94" s="758"/>
      <c r="F94" s="300">
        <f>'OSNOVNI PODATKI'!E198</f>
        <v>0</v>
      </c>
    </row>
    <row r="95" spans="1:26" s="78" customFormat="1" x14ac:dyDescent="0.2">
      <c r="A95" s="81"/>
      <c r="B95" s="205" t="s">
        <v>1058</v>
      </c>
      <c r="D95" s="212"/>
      <c r="E95" s="212"/>
      <c r="F95" s="207">
        <f>'OSNOVNI PODATKI'!E201</f>
        <v>0</v>
      </c>
    </row>
    <row r="96" spans="1:26" s="78" customFormat="1" x14ac:dyDescent="0.2">
      <c r="B96" s="550" t="s">
        <v>1057</v>
      </c>
      <c r="C96" s="640"/>
      <c r="D96" s="640"/>
      <c r="E96" s="759"/>
      <c r="F96" s="745">
        <f>+F94*F95</f>
        <v>0</v>
      </c>
    </row>
    <row r="97" spans="2:6" s="78" customFormat="1" x14ac:dyDescent="0.2">
      <c r="B97" s="550" t="s">
        <v>1068</v>
      </c>
      <c r="E97" s="763"/>
      <c r="F97" s="745">
        <f>IF($C$36=1,$D$37,F96)</f>
        <v>0</v>
      </c>
    </row>
    <row r="98" spans="2:6" s="78" customFormat="1" x14ac:dyDescent="0.2">
      <c r="B98" s="206" t="s">
        <v>117</v>
      </c>
      <c r="C98" s="289"/>
      <c r="D98" s="289"/>
      <c r="E98" s="757"/>
      <c r="F98" s="760" t="str">
        <f>'OSNOVNI PODATKI'!E199</f>
        <v>Cenovni razred II</v>
      </c>
    </row>
    <row r="99" spans="2:6" s="78" customFormat="1" x14ac:dyDescent="0.2">
      <c r="B99" s="877" t="s">
        <v>26</v>
      </c>
      <c r="C99" s="640"/>
      <c r="D99" s="203"/>
      <c r="E99" s="203"/>
      <c r="F99" s="761">
        <f>IFERROR(MATCH(F98,$C$4:$L$4),"/")</f>
        <v>3</v>
      </c>
    </row>
    <row r="100" spans="2:6" s="78" customFormat="1" x14ac:dyDescent="0.2">
      <c r="B100" s="878" t="s">
        <v>118</v>
      </c>
      <c r="C100" s="210"/>
      <c r="D100" s="85"/>
      <c r="E100" s="85"/>
      <c r="F100" s="581">
        <f>IFERROR(F99+1,"/")</f>
        <v>4</v>
      </c>
    </row>
    <row r="101" spans="2:6" s="78" customFormat="1" x14ac:dyDescent="0.2">
      <c r="B101" s="878" t="s">
        <v>27</v>
      </c>
      <c r="C101" s="210"/>
      <c r="D101" s="85"/>
      <c r="E101" s="85"/>
      <c r="F101" s="581" t="str">
        <f>IF(OR(F96&gt;$B$30,F96&lt;$B$7),"/",IFERROR(MATCH(F96,$B$7:$B$30),"/"))</f>
        <v>/</v>
      </c>
    </row>
    <row r="102" spans="2:6" s="78" customFormat="1" x14ac:dyDescent="0.2">
      <c r="B102" s="878" t="s">
        <v>28</v>
      </c>
      <c r="C102" s="210"/>
      <c r="D102" s="85"/>
      <c r="E102" s="85"/>
      <c r="F102" s="581" t="str">
        <f>IFERROR((F101+1),"/")</f>
        <v>/</v>
      </c>
    </row>
    <row r="103" spans="2:6" s="78" customFormat="1" x14ac:dyDescent="0.2">
      <c r="B103" s="878" t="s">
        <v>1062</v>
      </c>
      <c r="C103" s="210"/>
      <c r="D103" s="85"/>
      <c r="E103" s="85"/>
      <c r="F103" s="581">
        <f>IFERROR(INDEX($B$7:$B$30,F101),0)</f>
        <v>0</v>
      </c>
    </row>
    <row r="104" spans="2:6" s="78" customFormat="1" x14ac:dyDescent="0.2">
      <c r="B104" s="878" t="s">
        <v>1063</v>
      </c>
      <c r="C104" s="210"/>
      <c r="D104" s="85"/>
      <c r="E104" s="85"/>
      <c r="F104" s="581">
        <f>IFERROR(INDEX($B$7:$B$30,F102),0)</f>
        <v>0</v>
      </c>
    </row>
    <row r="105" spans="2:6" s="78" customFormat="1" x14ac:dyDescent="0.2">
      <c r="B105" s="550"/>
      <c r="C105" s="210"/>
      <c r="D105" s="85"/>
      <c r="E105" s="85"/>
      <c r="F105" s="85"/>
    </row>
    <row r="106" spans="2:6" s="78" customFormat="1" x14ac:dyDescent="0.2">
      <c r="B106" s="755" t="s">
        <v>1066</v>
      </c>
      <c r="C106" s="289"/>
      <c r="D106" s="202"/>
      <c r="E106" s="202"/>
      <c r="F106" s="202"/>
    </row>
    <row r="107" spans="2:6" s="78" customFormat="1" x14ac:dyDescent="0.2">
      <c r="B107" s="877" t="s">
        <v>1064</v>
      </c>
      <c r="C107" s="640"/>
      <c r="D107" s="203"/>
      <c r="E107" s="203"/>
      <c r="F107" s="581">
        <f>IFERROR(INDEX($C$7:$L$30,F101,F99),0)</f>
        <v>0</v>
      </c>
    </row>
    <row r="108" spans="2:6" s="78" customFormat="1" x14ac:dyDescent="0.2">
      <c r="B108" s="878" t="s">
        <v>1065</v>
      </c>
      <c r="C108" s="210"/>
      <c r="D108" s="85"/>
      <c r="E108" s="85"/>
      <c r="F108" s="581">
        <f>IFERROR(INDEX($C$7:$L$30,F102,F99),0)</f>
        <v>0</v>
      </c>
    </row>
    <row r="109" spans="2:6" s="78" customFormat="1" x14ac:dyDescent="0.2">
      <c r="B109" s="879" t="s">
        <v>120</v>
      </c>
      <c r="C109" s="301"/>
      <c r="D109" s="302"/>
      <c r="E109" s="302"/>
      <c r="F109" s="581">
        <f>IFERROR(FORECAST(F96,F107:F108,F103:F104),0)</f>
        <v>0</v>
      </c>
    </row>
    <row r="110" spans="2:6" s="78" customFormat="1" x14ac:dyDescent="0.2">
      <c r="B110" s="310" t="s">
        <v>1070</v>
      </c>
      <c r="C110" s="311"/>
      <c r="D110" s="312"/>
      <c r="E110" s="312"/>
      <c r="F110" s="313">
        <f>IF(F101="/",0,F109/$D$38*F94)</f>
        <v>0</v>
      </c>
    </row>
    <row r="111" spans="2:6" s="78" customFormat="1" x14ac:dyDescent="0.2">
      <c r="B111" s="207"/>
      <c r="D111" s="79"/>
      <c r="E111" s="79"/>
      <c r="F111" s="84"/>
    </row>
    <row r="112" spans="2:6" s="78" customFormat="1" x14ac:dyDescent="0.2">
      <c r="B112" s="754" t="s">
        <v>1067</v>
      </c>
      <c r="D112" s="79"/>
      <c r="E112" s="79"/>
      <c r="F112" s="762"/>
    </row>
    <row r="113" spans="1:26" s="78" customFormat="1" x14ac:dyDescent="0.2">
      <c r="B113" s="877" t="s">
        <v>119</v>
      </c>
      <c r="C113" s="209"/>
      <c r="D113" s="211"/>
      <c r="E113" s="211"/>
      <c r="F113" s="761">
        <f>IFERROR(INDEX($C$7:$L$30,F101,F100),0)</f>
        <v>0</v>
      </c>
    </row>
    <row r="114" spans="1:26" s="78" customFormat="1" x14ac:dyDescent="0.2">
      <c r="B114" s="878" t="s">
        <v>90</v>
      </c>
      <c r="C114" s="210"/>
      <c r="D114" s="85"/>
      <c r="E114" s="85"/>
      <c r="F114" s="581">
        <f>IFERROR(INDEX($C$7:$L$30,F102,F100),0)</f>
        <v>0</v>
      </c>
    </row>
    <row r="115" spans="1:26" s="78" customFormat="1" x14ac:dyDescent="0.2">
      <c r="B115" s="879" t="s">
        <v>121</v>
      </c>
      <c r="C115" s="301"/>
      <c r="D115" s="302"/>
      <c r="E115" s="302"/>
      <c r="F115" s="581">
        <f>IFERROR(FORECAST(F96,F113:F114,F103:F104),0)</f>
        <v>0</v>
      </c>
    </row>
    <row r="116" spans="1:26" s="78" customFormat="1" x14ac:dyDescent="0.2">
      <c r="B116" s="310" t="s">
        <v>1071</v>
      </c>
      <c r="C116" s="311"/>
      <c r="D116" s="312"/>
      <c r="E116" s="312"/>
      <c r="F116" s="313">
        <f>IF(F101="/",0,F115/$D$38*F94)</f>
        <v>0</v>
      </c>
    </row>
    <row r="117" spans="1:26" x14ac:dyDescent="0.2">
      <c r="G117" s="78"/>
      <c r="H117" s="78"/>
      <c r="I117" s="78"/>
      <c r="J117" s="78"/>
      <c r="T117"/>
      <c r="U117"/>
      <c r="V117"/>
      <c r="W117"/>
      <c r="X117"/>
      <c r="Y117"/>
      <c r="Z117"/>
    </row>
    <row r="118" spans="1:26" s="78" customFormat="1" x14ac:dyDescent="0.2">
      <c r="A118" s="81"/>
      <c r="B118" s="213" t="str">
        <f>'OSNOVNI PODATKI'!A207</f>
        <v>NOTRANJA OPREMA / DEL 4</v>
      </c>
      <c r="C118" s="756">
        <f>'OSNOVNI PODATKI'!E207</f>
        <v>0</v>
      </c>
      <c r="D118" s="213"/>
      <c r="E118" s="213"/>
      <c r="F118" s="213"/>
    </row>
    <row r="119" spans="1:26" s="78" customFormat="1" x14ac:dyDescent="0.2">
      <c r="A119" s="81"/>
      <c r="B119" s="638" t="s">
        <v>722</v>
      </c>
      <c r="C119" s="201">
        <f>'OSNOVNI PODATKI'!E208</f>
        <v>0</v>
      </c>
      <c r="D119" s="752"/>
      <c r="E119" s="752"/>
      <c r="F119" s="752"/>
    </row>
    <row r="120" spans="1:26" s="78" customFormat="1" x14ac:dyDescent="0.2">
      <c r="A120" s="81"/>
      <c r="B120" s="205" t="s">
        <v>1060</v>
      </c>
      <c r="D120" s="758"/>
      <c r="E120" s="758"/>
      <c r="F120" s="300">
        <f>'OSNOVNI PODATKI'!E209</f>
        <v>0</v>
      </c>
    </row>
    <row r="121" spans="1:26" s="78" customFormat="1" x14ac:dyDescent="0.2">
      <c r="A121" s="81"/>
      <c r="B121" s="205" t="s">
        <v>1058</v>
      </c>
      <c r="D121" s="212"/>
      <c r="E121" s="212"/>
      <c r="F121" s="207">
        <f>'OSNOVNI PODATKI'!E212</f>
        <v>0</v>
      </c>
    </row>
    <row r="122" spans="1:26" s="78" customFormat="1" x14ac:dyDescent="0.2">
      <c r="B122" s="550" t="s">
        <v>1057</v>
      </c>
      <c r="C122" s="640"/>
      <c r="D122" s="640"/>
      <c r="E122" s="759"/>
      <c r="F122" s="745">
        <f>+F120*F121</f>
        <v>0</v>
      </c>
    </row>
    <row r="123" spans="1:26" s="78" customFormat="1" x14ac:dyDescent="0.2">
      <c r="B123" s="550" t="s">
        <v>1068</v>
      </c>
      <c r="E123" s="763"/>
      <c r="F123" s="745">
        <f>IF($C$36=1,$D$37,F122)</f>
        <v>0</v>
      </c>
    </row>
    <row r="124" spans="1:26" s="78" customFormat="1" x14ac:dyDescent="0.2">
      <c r="B124" s="206" t="s">
        <v>117</v>
      </c>
      <c r="C124" s="289"/>
      <c r="D124" s="289"/>
      <c r="E124" s="757"/>
      <c r="F124" s="760" t="str">
        <f>'OSNOVNI PODATKI'!E210</f>
        <v>Cenovni razred II</v>
      </c>
    </row>
    <row r="125" spans="1:26" s="78" customFormat="1" x14ac:dyDescent="0.2">
      <c r="B125" s="877" t="s">
        <v>26</v>
      </c>
      <c r="C125" s="640"/>
      <c r="D125" s="203"/>
      <c r="E125" s="203"/>
      <c r="F125" s="761">
        <f>IFERROR(MATCH(F124,$C$4:$L$4),"/")</f>
        <v>3</v>
      </c>
    </row>
    <row r="126" spans="1:26" s="78" customFormat="1" x14ac:dyDescent="0.2">
      <c r="B126" s="878" t="s">
        <v>118</v>
      </c>
      <c r="C126" s="210"/>
      <c r="D126" s="85"/>
      <c r="E126" s="85"/>
      <c r="F126" s="581">
        <f>IFERROR(F125+1,"/")</f>
        <v>4</v>
      </c>
    </row>
    <row r="127" spans="1:26" s="78" customFormat="1" x14ac:dyDescent="0.2">
      <c r="B127" s="878" t="s">
        <v>27</v>
      </c>
      <c r="C127" s="210"/>
      <c r="D127" s="85"/>
      <c r="E127" s="85"/>
      <c r="F127" s="581" t="str">
        <f>IF(OR(F122&gt;$B$30,F122&lt;$B$7),"/",IFERROR(MATCH(F122,$B$7:$B$30),"/"))</f>
        <v>/</v>
      </c>
    </row>
    <row r="128" spans="1:26" s="78" customFormat="1" x14ac:dyDescent="0.2">
      <c r="B128" s="878" t="s">
        <v>28</v>
      </c>
      <c r="C128" s="210"/>
      <c r="D128" s="85"/>
      <c r="E128" s="85"/>
      <c r="F128" s="581" t="str">
        <f>IFERROR((F127+1),"/")</f>
        <v>/</v>
      </c>
    </row>
    <row r="129" spans="1:26" s="78" customFormat="1" x14ac:dyDescent="0.2">
      <c r="B129" s="878" t="s">
        <v>1062</v>
      </c>
      <c r="C129" s="210"/>
      <c r="D129" s="85"/>
      <c r="E129" s="85"/>
      <c r="F129" s="581">
        <f>IFERROR(INDEX($B$7:$B$30,F127),0)</f>
        <v>0</v>
      </c>
    </row>
    <row r="130" spans="1:26" s="78" customFormat="1" x14ac:dyDescent="0.2">
      <c r="B130" s="878" t="s">
        <v>1063</v>
      </c>
      <c r="C130" s="210"/>
      <c r="D130" s="85"/>
      <c r="E130" s="85"/>
      <c r="F130" s="581">
        <f>IFERROR(INDEX($B$7:$B$30,F128),0)</f>
        <v>0</v>
      </c>
    </row>
    <row r="131" spans="1:26" s="78" customFormat="1" x14ac:dyDescent="0.2">
      <c r="B131" s="550"/>
      <c r="C131" s="210"/>
      <c r="D131" s="85"/>
      <c r="E131" s="85"/>
      <c r="F131" s="85"/>
    </row>
    <row r="132" spans="1:26" s="78" customFormat="1" x14ac:dyDescent="0.2">
      <c r="B132" s="755" t="s">
        <v>1066</v>
      </c>
      <c r="C132" s="289"/>
      <c r="D132" s="202"/>
      <c r="E132" s="202"/>
      <c r="F132" s="202"/>
    </row>
    <row r="133" spans="1:26" s="78" customFormat="1" x14ac:dyDescent="0.2">
      <c r="B133" s="877" t="s">
        <v>1064</v>
      </c>
      <c r="C133" s="640"/>
      <c r="D133" s="203"/>
      <c r="E133" s="203"/>
      <c r="F133" s="581">
        <f>IFERROR(INDEX($C$7:$L$30,F127,F125),0)</f>
        <v>0</v>
      </c>
    </row>
    <row r="134" spans="1:26" s="78" customFormat="1" x14ac:dyDescent="0.2">
      <c r="B134" s="878" t="s">
        <v>1065</v>
      </c>
      <c r="C134" s="210"/>
      <c r="D134" s="85"/>
      <c r="E134" s="85"/>
      <c r="F134" s="581">
        <f>IFERROR(INDEX($C$7:$L$30,F128,F125),0)</f>
        <v>0</v>
      </c>
    </row>
    <row r="135" spans="1:26" s="78" customFormat="1" x14ac:dyDescent="0.2">
      <c r="B135" s="879" t="s">
        <v>120</v>
      </c>
      <c r="C135" s="301"/>
      <c r="D135" s="302"/>
      <c r="E135" s="302"/>
      <c r="F135" s="581">
        <f>IFERROR(FORECAST(F122,F133:F134,F129:F130),0)</f>
        <v>0</v>
      </c>
    </row>
    <row r="136" spans="1:26" s="78" customFormat="1" x14ac:dyDescent="0.2">
      <c r="B136" s="310" t="s">
        <v>1070</v>
      </c>
      <c r="C136" s="311"/>
      <c r="D136" s="312"/>
      <c r="E136" s="312"/>
      <c r="F136" s="313">
        <f>IF(F127="/",0,F135/$D$38*F120)</f>
        <v>0</v>
      </c>
    </row>
    <row r="137" spans="1:26" s="78" customFormat="1" x14ac:dyDescent="0.2">
      <c r="B137" s="207"/>
      <c r="D137" s="79"/>
      <c r="E137" s="79"/>
      <c r="F137" s="84"/>
    </row>
    <row r="138" spans="1:26" s="78" customFormat="1" x14ac:dyDescent="0.2">
      <c r="B138" s="754" t="s">
        <v>1067</v>
      </c>
      <c r="D138" s="79"/>
      <c r="E138" s="79"/>
      <c r="F138" s="762"/>
    </row>
    <row r="139" spans="1:26" s="78" customFormat="1" x14ac:dyDescent="0.2">
      <c r="B139" s="877" t="s">
        <v>119</v>
      </c>
      <c r="C139" s="209"/>
      <c r="D139" s="211"/>
      <c r="E139" s="211"/>
      <c r="F139" s="761">
        <f>IFERROR(INDEX($C$7:$L$30,F127,F126),0)</f>
        <v>0</v>
      </c>
    </row>
    <row r="140" spans="1:26" s="78" customFormat="1" x14ac:dyDescent="0.2">
      <c r="B140" s="878" t="s">
        <v>90</v>
      </c>
      <c r="C140" s="210"/>
      <c r="D140" s="85"/>
      <c r="E140" s="85"/>
      <c r="F140" s="581">
        <f>IFERROR(INDEX($C$7:$L$30,F128,F126),0)</f>
        <v>0</v>
      </c>
    </row>
    <row r="141" spans="1:26" s="78" customFormat="1" x14ac:dyDescent="0.2">
      <c r="B141" s="879" t="s">
        <v>121</v>
      </c>
      <c r="C141" s="301"/>
      <c r="D141" s="302"/>
      <c r="E141" s="302"/>
      <c r="F141" s="581">
        <f>IFERROR(FORECAST(F122,F139:F140,F129:F130),0)</f>
        <v>0</v>
      </c>
    </row>
    <row r="142" spans="1:26" s="78" customFormat="1" x14ac:dyDescent="0.2">
      <c r="B142" s="310" t="s">
        <v>1071</v>
      </c>
      <c r="C142" s="311"/>
      <c r="D142" s="312"/>
      <c r="E142" s="312"/>
      <c r="F142" s="313">
        <f>IF(F127="/",0,F141/$D$38*F120)</f>
        <v>0</v>
      </c>
    </row>
    <row r="143" spans="1:26" x14ac:dyDescent="0.2">
      <c r="G143" s="78"/>
      <c r="H143" s="78"/>
      <c r="I143" s="78"/>
      <c r="J143" s="78"/>
      <c r="T143"/>
      <c r="U143"/>
      <c r="V143"/>
      <c r="W143"/>
      <c r="X143"/>
      <c r="Y143"/>
      <c r="Z143"/>
    </row>
    <row r="144" spans="1:26" s="78" customFormat="1" x14ac:dyDescent="0.2">
      <c r="A144" s="81"/>
      <c r="B144" s="213" t="str">
        <f>'OSNOVNI PODATKI'!A218</f>
        <v>NOTRANJA OPREMA / DEL 5</v>
      </c>
      <c r="C144" s="756">
        <f>'OSNOVNI PODATKI'!E218</f>
        <v>0</v>
      </c>
      <c r="D144" s="213"/>
      <c r="E144" s="213"/>
      <c r="F144" s="213"/>
    </row>
    <row r="145" spans="1:6" s="78" customFormat="1" x14ac:dyDescent="0.2">
      <c r="A145" s="81"/>
      <c r="B145" s="638" t="s">
        <v>722</v>
      </c>
      <c r="C145" s="201">
        <f>'OSNOVNI PODATKI'!E219</f>
        <v>0</v>
      </c>
      <c r="D145" s="752"/>
      <c r="E145" s="752"/>
      <c r="F145" s="752"/>
    </row>
    <row r="146" spans="1:6" s="78" customFormat="1" x14ac:dyDescent="0.2">
      <c r="A146" s="81"/>
      <c r="B146" s="205" t="s">
        <v>1060</v>
      </c>
      <c r="D146" s="758"/>
      <c r="E146" s="758"/>
      <c r="F146" s="300">
        <f>'OSNOVNI PODATKI'!E220</f>
        <v>0</v>
      </c>
    </row>
    <row r="147" spans="1:6" s="78" customFormat="1" x14ac:dyDescent="0.2">
      <c r="A147" s="81"/>
      <c r="B147" s="205" t="s">
        <v>1058</v>
      </c>
      <c r="D147" s="212"/>
      <c r="E147" s="212"/>
      <c r="F147" s="207">
        <f>'OSNOVNI PODATKI'!E223</f>
        <v>0</v>
      </c>
    </row>
    <row r="148" spans="1:6" s="78" customFormat="1" x14ac:dyDescent="0.2">
      <c r="B148" s="550" t="s">
        <v>1057</v>
      </c>
      <c r="C148" s="640"/>
      <c r="D148" s="640"/>
      <c r="E148" s="759"/>
      <c r="F148" s="745">
        <f>+F146*F147</f>
        <v>0</v>
      </c>
    </row>
    <row r="149" spans="1:6" s="78" customFormat="1" x14ac:dyDescent="0.2">
      <c r="B149" s="550" t="s">
        <v>1068</v>
      </c>
      <c r="E149" s="763"/>
      <c r="F149" s="745">
        <f>IF($C$36=1,$D$37,F148)</f>
        <v>0</v>
      </c>
    </row>
    <row r="150" spans="1:6" s="78" customFormat="1" x14ac:dyDescent="0.2">
      <c r="B150" s="206" t="s">
        <v>117</v>
      </c>
      <c r="C150" s="289"/>
      <c r="D150" s="289"/>
      <c r="E150" s="757"/>
      <c r="F150" s="760" t="str">
        <f>'OSNOVNI PODATKI'!E221</f>
        <v>Cenovni razred II</v>
      </c>
    </row>
    <row r="151" spans="1:6" s="78" customFormat="1" x14ac:dyDescent="0.2">
      <c r="B151" s="877" t="s">
        <v>26</v>
      </c>
      <c r="C151" s="640"/>
      <c r="D151" s="203"/>
      <c r="E151" s="203"/>
      <c r="F151" s="761">
        <f>IFERROR(MATCH(F150,$C$4:$L$4),"/")</f>
        <v>3</v>
      </c>
    </row>
    <row r="152" spans="1:6" s="78" customFormat="1" x14ac:dyDescent="0.2">
      <c r="B152" s="878" t="s">
        <v>118</v>
      </c>
      <c r="C152" s="210"/>
      <c r="D152" s="85"/>
      <c r="E152" s="85"/>
      <c r="F152" s="581">
        <f>IFERROR(F151+1,"/")</f>
        <v>4</v>
      </c>
    </row>
    <row r="153" spans="1:6" s="78" customFormat="1" x14ac:dyDescent="0.2">
      <c r="B153" s="878" t="s">
        <v>27</v>
      </c>
      <c r="C153" s="210"/>
      <c r="D153" s="85"/>
      <c r="E153" s="85"/>
      <c r="F153" s="581" t="str">
        <f>IF(OR(F148&gt;$B$30,F148&lt;$B$7),"/",IFERROR(MATCH(F148,$B$7:$B$30),"/"))</f>
        <v>/</v>
      </c>
    </row>
    <row r="154" spans="1:6" s="78" customFormat="1" x14ac:dyDescent="0.2">
      <c r="B154" s="878" t="s">
        <v>28</v>
      </c>
      <c r="C154" s="210"/>
      <c r="D154" s="85"/>
      <c r="E154" s="85"/>
      <c r="F154" s="581" t="str">
        <f>IFERROR((F153+1),"/")</f>
        <v>/</v>
      </c>
    </row>
    <row r="155" spans="1:6" s="78" customFormat="1" x14ac:dyDescent="0.2">
      <c r="B155" s="878" t="s">
        <v>1062</v>
      </c>
      <c r="C155" s="210"/>
      <c r="D155" s="85"/>
      <c r="E155" s="85"/>
      <c r="F155" s="581">
        <f>IFERROR(INDEX($B$7:$B$30,F153),0)</f>
        <v>0</v>
      </c>
    </row>
    <row r="156" spans="1:6" s="78" customFormat="1" x14ac:dyDescent="0.2">
      <c r="B156" s="878" t="s">
        <v>1063</v>
      </c>
      <c r="C156" s="210"/>
      <c r="D156" s="85"/>
      <c r="E156" s="85"/>
      <c r="F156" s="581">
        <f>IFERROR(INDEX($B$7:$B$30,F154),0)</f>
        <v>0</v>
      </c>
    </row>
    <row r="157" spans="1:6" s="78" customFormat="1" x14ac:dyDescent="0.2">
      <c r="B157" s="550"/>
      <c r="C157" s="210"/>
      <c r="D157" s="85"/>
      <c r="E157" s="85"/>
      <c r="F157" s="85"/>
    </row>
    <row r="158" spans="1:6" s="78" customFormat="1" x14ac:dyDescent="0.2">
      <c r="B158" s="755" t="s">
        <v>1066</v>
      </c>
      <c r="C158" s="289"/>
      <c r="D158" s="202"/>
      <c r="E158" s="202"/>
      <c r="F158" s="202"/>
    </row>
    <row r="159" spans="1:6" s="78" customFormat="1" x14ac:dyDescent="0.2">
      <c r="B159" s="877" t="s">
        <v>1064</v>
      </c>
      <c r="C159" s="640"/>
      <c r="D159" s="203"/>
      <c r="E159" s="203"/>
      <c r="F159" s="581">
        <f>IFERROR(INDEX($C$7:$L$30,F153,F151),0)</f>
        <v>0</v>
      </c>
    </row>
    <row r="160" spans="1:6" s="78" customFormat="1" x14ac:dyDescent="0.2">
      <c r="B160" s="878" t="s">
        <v>1065</v>
      </c>
      <c r="C160" s="210"/>
      <c r="D160" s="85"/>
      <c r="E160" s="85"/>
      <c r="F160" s="581">
        <f>IFERROR(INDEX($C$7:$L$30,F154,F151),0)</f>
        <v>0</v>
      </c>
    </row>
    <row r="161" spans="1:26" s="78" customFormat="1" x14ac:dyDescent="0.2">
      <c r="B161" s="879" t="s">
        <v>120</v>
      </c>
      <c r="C161" s="301"/>
      <c r="D161" s="302"/>
      <c r="E161" s="302"/>
      <c r="F161" s="581">
        <f>IFERROR(FORECAST(F148,F159:F160,F155:F156),0)</f>
        <v>0</v>
      </c>
    </row>
    <row r="162" spans="1:26" s="78" customFormat="1" x14ac:dyDescent="0.2">
      <c r="B162" s="310" t="s">
        <v>1070</v>
      </c>
      <c r="C162" s="311"/>
      <c r="D162" s="312"/>
      <c r="E162" s="312"/>
      <c r="F162" s="313">
        <f>IF(F153="/",0,F161/$D$38*F146)</f>
        <v>0</v>
      </c>
    </row>
    <row r="163" spans="1:26" s="78" customFormat="1" x14ac:dyDescent="0.2">
      <c r="B163" s="207"/>
      <c r="D163" s="79"/>
      <c r="E163" s="79"/>
      <c r="F163" s="84"/>
    </row>
    <row r="164" spans="1:26" s="78" customFormat="1" x14ac:dyDescent="0.2">
      <c r="B164" s="754" t="s">
        <v>1067</v>
      </c>
      <c r="D164" s="79"/>
      <c r="E164" s="79"/>
      <c r="F164" s="762"/>
    </row>
    <row r="165" spans="1:26" s="78" customFormat="1" x14ac:dyDescent="0.2">
      <c r="B165" s="877" t="s">
        <v>119</v>
      </c>
      <c r="C165" s="209"/>
      <c r="D165" s="211"/>
      <c r="E165" s="211"/>
      <c r="F165" s="761">
        <f>IFERROR(INDEX($C$7:$L$30,F153,F152),0)</f>
        <v>0</v>
      </c>
    </row>
    <row r="166" spans="1:26" s="78" customFormat="1" x14ac:dyDescent="0.2">
      <c r="B166" s="878" t="s">
        <v>90</v>
      </c>
      <c r="C166" s="210"/>
      <c r="D166" s="85"/>
      <c r="E166" s="85"/>
      <c r="F166" s="581">
        <f>IFERROR(INDEX($C$7:$L$30,F154,F152),0)</f>
        <v>0</v>
      </c>
    </row>
    <row r="167" spans="1:26" s="78" customFormat="1" x14ac:dyDescent="0.2">
      <c r="B167" s="879" t="s">
        <v>121</v>
      </c>
      <c r="C167" s="301"/>
      <c r="D167" s="302"/>
      <c r="E167" s="302"/>
      <c r="F167" s="581">
        <f>IFERROR(FORECAST(F148,F165:F166,F155:F156),0)</f>
        <v>0</v>
      </c>
    </row>
    <row r="168" spans="1:26" s="78" customFormat="1" x14ac:dyDescent="0.2">
      <c r="B168" s="310" t="s">
        <v>1071</v>
      </c>
      <c r="C168" s="311"/>
      <c r="D168" s="312"/>
      <c r="E168" s="312"/>
      <c r="F168" s="313">
        <f>IF(F153="/",0,F167/$D$38*F146)</f>
        <v>0</v>
      </c>
    </row>
    <row r="169" spans="1:26" x14ac:dyDescent="0.2">
      <c r="J169" s="78"/>
      <c r="K169" s="78"/>
      <c r="L169" s="78"/>
      <c r="M169" s="78"/>
      <c r="T169"/>
      <c r="U169"/>
      <c r="V169"/>
      <c r="W169"/>
      <c r="X169"/>
      <c r="Y169"/>
      <c r="Z169"/>
    </row>
    <row r="170" spans="1:26" x14ac:dyDescent="0.2">
      <c r="J170" s="78"/>
      <c r="K170" s="78"/>
      <c r="L170" s="78"/>
      <c r="M170" s="78"/>
    </row>
    <row r="171" spans="1:26" s="78" customFormat="1" x14ac:dyDescent="0.2">
      <c r="A171" s="81"/>
      <c r="C171" s="212"/>
      <c r="D171" s="212"/>
      <c r="E171" s="212"/>
      <c r="F171" s="212"/>
    </row>
    <row r="172" spans="1:26" ht="13.5" thickBot="1" x14ac:dyDescent="0.25">
      <c r="J172" s="78"/>
      <c r="K172" s="78"/>
      <c r="L172" s="78"/>
      <c r="M172" s="78"/>
    </row>
    <row r="173" spans="1:26" s="78" customFormat="1" ht="18.75" x14ac:dyDescent="0.2">
      <c r="A173" s="831" t="s">
        <v>1142</v>
      </c>
      <c r="B173" s="831"/>
      <c r="C173" s="831"/>
      <c r="D173" s="831"/>
      <c r="E173" s="831"/>
      <c r="F173" s="831"/>
      <c r="G173" s="831"/>
      <c r="H173" s="831"/>
    </row>
    <row r="174" spans="1:26" s="78" customFormat="1" x14ac:dyDescent="0.2">
      <c r="A174" s="212"/>
      <c r="B174" s="212"/>
      <c r="C174" s="752"/>
      <c r="D174" s="752"/>
      <c r="E174" s="752"/>
      <c r="F174" s="640"/>
      <c r="G174" s="640"/>
      <c r="H174" s="752"/>
    </row>
    <row r="175" spans="1:26" s="78" customFormat="1" x14ac:dyDescent="0.2">
      <c r="A175" s="212"/>
      <c r="B175" s="86" t="s">
        <v>875</v>
      </c>
      <c r="C175" s="212"/>
      <c r="D175" s="212"/>
      <c r="E175" s="212"/>
      <c r="F175" s="507">
        <f>'OSNOVNI PODATKI'!G379</f>
        <v>0</v>
      </c>
      <c r="G175" s="212"/>
      <c r="H175" s="212"/>
    </row>
    <row r="176" spans="1:26" s="78" customFormat="1" x14ac:dyDescent="0.2">
      <c r="A176" s="212"/>
      <c r="B176" s="86" t="s">
        <v>876</v>
      </c>
      <c r="C176" s="210"/>
      <c r="D176" s="85"/>
      <c r="E176" s="85"/>
      <c r="F176" s="493">
        <f>'ARHIGRAM 6'!I16</f>
        <v>46</v>
      </c>
      <c r="G176" s="210"/>
      <c r="H176" s="210"/>
    </row>
    <row r="177" spans="1:24" s="78" customFormat="1" x14ac:dyDescent="0.2">
      <c r="A177" s="212"/>
      <c r="B177" s="212"/>
      <c r="C177" s="212"/>
      <c r="D177" s="212"/>
      <c r="E177" s="212"/>
      <c r="G177" s="212"/>
      <c r="H177" s="212"/>
    </row>
    <row r="178" spans="1:24" s="78" customFormat="1" x14ac:dyDescent="0.2">
      <c r="B178" s="86" t="str">
        <f>'OSNOVNI PODATKI'!$B$394</f>
        <v>PRIBITEK ZA PRENOVO</v>
      </c>
      <c r="C178" s="210"/>
      <c r="D178" s="85"/>
      <c r="E178" s="85"/>
      <c r="F178" s="314">
        <f>'OSNOVNI PODATKI'!$F$394</f>
        <v>0</v>
      </c>
      <c r="G178" s="210" t="str">
        <f>'OSNOVNI PODATKI'!G394</f>
        <v>upošteva se v vseh fazah, samo za storitve projektiranja</v>
      </c>
      <c r="H178" s="210"/>
    </row>
    <row r="179" spans="1:24" s="78" customFormat="1" x14ac:dyDescent="0.2">
      <c r="B179" s="86" t="str">
        <f>'OSNOVNI PODATKI'!$B$395</f>
        <v>PRIBITEK ZA VKLJUČEVANJE DRUGIH IZVAJALCEV V POGODBO</v>
      </c>
      <c r="C179" s="210"/>
      <c r="D179" s="85"/>
      <c r="E179" s="85"/>
      <c r="F179" s="314">
        <f>'OSNOVNI PODATKI'!$F$395</f>
        <v>0</v>
      </c>
      <c r="G179" s="210" t="str">
        <f>'OSNOVNI PODATKI'!G395</f>
        <v>upošteva se v vseh fazah, samo za storitve vodenja in koordinacije</v>
      </c>
      <c r="H179" s="210"/>
    </row>
    <row r="180" spans="1:24" s="78" customFormat="1" x14ac:dyDescent="0.2">
      <c r="A180" s="212"/>
      <c r="B180" s="86" t="s">
        <v>971</v>
      </c>
      <c r="C180" s="210"/>
      <c r="D180" s="85"/>
      <c r="E180" s="85"/>
      <c r="F180" s="662" t="str">
        <f>IF('OSNOVNI PODATKI'!A376=TRUE,"DA","NE")</f>
        <v>DA</v>
      </c>
      <c r="G180" s="212"/>
      <c r="H180" s="212"/>
    </row>
    <row r="181" spans="1:24" s="78" customFormat="1" x14ac:dyDescent="0.2">
      <c r="B181" s="86" t="str">
        <f>'OSNOVNI PODATKI'!$B397</f>
        <v>ZASTOPANJE INVESTITORJA V UPRAVNIH POSTOPKIH</v>
      </c>
      <c r="C181" s="210"/>
      <c r="D181" s="85"/>
      <c r="E181" s="85"/>
      <c r="F181" s="662" t="str">
        <f>IF('OSNOVNI PODATKI'!F397=TRUE,"DA","NE")</f>
        <v>NE</v>
      </c>
      <c r="G181" s="664"/>
      <c r="H181" s="210"/>
    </row>
    <row r="182" spans="1:24" s="78" customFormat="1" x14ac:dyDescent="0.2">
      <c r="B182" s="86" t="str">
        <f>'OSNOVNI PODATKI'!$B398</f>
        <v>PROJEKTANTSKI PREDRAČUN</v>
      </c>
      <c r="C182" s="210"/>
      <c r="D182" s="85"/>
      <c r="E182" s="85"/>
      <c r="F182" s="662" t="str">
        <f>IF('OSNOVNI PODATKI'!F398=TRUE,"DA","NE")</f>
        <v>NE</v>
      </c>
      <c r="G182" s="210"/>
      <c r="H182" s="210"/>
    </row>
    <row r="183" spans="1:24" s="78" customFormat="1" x14ac:dyDescent="0.2">
      <c r="B183" s="86" t="str">
        <f>'OSNOVNI PODATKI'!$B399</f>
        <v>IZDELAVA RAZPISNE DOKUMENTACIJE</v>
      </c>
      <c r="C183" s="210"/>
      <c r="D183" s="85"/>
      <c r="E183" s="85"/>
      <c r="F183" s="662" t="str">
        <f>IF('OSNOVNI PODATKI'!F399=TRUE,"DA","NE")</f>
        <v>NE</v>
      </c>
      <c r="G183" s="210"/>
      <c r="H183" s="210"/>
    </row>
    <row r="184" spans="1:24" x14ac:dyDescent="0.2">
      <c r="B184" s="86" t="str">
        <f>'OSNOVNI PODATKI'!$B400</f>
        <v>IZVEDBA RAZPISOV ZA ODDAJO DEL</v>
      </c>
      <c r="C184" s="210"/>
      <c r="D184" s="85"/>
      <c r="E184" s="85"/>
      <c r="F184" s="662" t="str">
        <f>IF('OSNOVNI PODATKI'!F400=TRUE,"DA","NE")</f>
        <v>NE</v>
      </c>
      <c r="G184" s="210"/>
      <c r="H184" s="210"/>
    </row>
    <row r="185" spans="1:24" s="78" customFormat="1" x14ac:dyDescent="0.2">
      <c r="B185" s="86" t="str">
        <f>'OSNOVNI PODATKI'!$B401</f>
        <v>GRADBENI NADZOR</v>
      </c>
      <c r="C185" s="210"/>
      <c r="D185" s="85"/>
      <c r="E185" s="85"/>
      <c r="F185" s="662" t="str">
        <f>IF('OSNOVNI PODATKI'!F401=TRUE,"DA","NE")</f>
        <v>NE</v>
      </c>
      <c r="G185" s="664"/>
      <c r="H185" s="210"/>
    </row>
    <row r="187" spans="1:24" s="489" customFormat="1" x14ac:dyDescent="0.2">
      <c r="A187"/>
      <c r="B187" s="213" t="s">
        <v>1073</v>
      </c>
      <c r="C187" s="213"/>
      <c r="D187" s="213"/>
      <c r="E187" s="213"/>
      <c r="F187" s="213"/>
      <c r="G187" s="213"/>
      <c r="H187" s="213"/>
      <c r="I187"/>
      <c r="J187"/>
      <c r="K187" s="213" t="s">
        <v>962</v>
      </c>
      <c r="L187" s="213"/>
      <c r="M187" s="213"/>
      <c r="N187" s="213"/>
      <c r="O187" s="213"/>
      <c r="P187" s="213"/>
      <c r="Q187" s="213"/>
      <c r="R187" s="213"/>
      <c r="S187"/>
    </row>
    <row r="188" spans="1:24" s="12" customFormat="1" ht="51" x14ac:dyDescent="0.25">
      <c r="A188" s="107"/>
      <c r="B188" s="108"/>
      <c r="C188" s="108"/>
      <c r="D188" s="108"/>
      <c r="E188" s="109" t="s">
        <v>25</v>
      </c>
      <c r="F188" s="303" t="s">
        <v>916</v>
      </c>
      <c r="G188" s="620" t="s">
        <v>57</v>
      </c>
      <c r="H188" s="110" t="s">
        <v>70</v>
      </c>
      <c r="I188" s="421" t="s">
        <v>1077</v>
      </c>
      <c r="J188" s="861"/>
      <c r="K188" s="107"/>
      <c r="L188" s="108"/>
      <c r="M188" s="108"/>
      <c r="N188" s="108"/>
      <c r="O188" s="109" t="s">
        <v>25</v>
      </c>
      <c r="P188" s="303" t="s">
        <v>916</v>
      </c>
      <c r="Q188" s="620" t="s">
        <v>57</v>
      </c>
      <c r="R188" s="110" t="s">
        <v>70</v>
      </c>
      <c r="S188" s="421" t="s">
        <v>1077</v>
      </c>
      <c r="T188" s="862"/>
      <c r="U188" s="303" t="s">
        <v>968</v>
      </c>
      <c r="V188" s="303" t="s">
        <v>969</v>
      </c>
      <c r="W188" s="769" t="s">
        <v>1075</v>
      </c>
      <c r="X188" s="110" t="s">
        <v>1076</v>
      </c>
    </row>
    <row r="189" spans="1:24" s="13" customFormat="1" ht="14.25" x14ac:dyDescent="0.2">
      <c r="A189" s="103" t="s">
        <v>29</v>
      </c>
      <c r="B189" s="104" t="s">
        <v>30</v>
      </c>
      <c r="C189" s="104"/>
      <c r="D189" s="104"/>
      <c r="E189" s="105"/>
      <c r="F189" s="105"/>
      <c r="G189" s="621"/>
      <c r="H189" s="106"/>
      <c r="I189" s="863"/>
      <c r="J189" s="863"/>
      <c r="K189" s="103" t="s">
        <v>29</v>
      </c>
      <c r="L189" s="104" t="s">
        <v>30</v>
      </c>
      <c r="M189" s="104"/>
      <c r="N189" s="104"/>
      <c r="O189" s="105"/>
      <c r="P189" s="105"/>
      <c r="Q189" s="621"/>
      <c r="R189" s="106"/>
      <c r="S189" s="863"/>
      <c r="T189" s="863"/>
      <c r="U189" s="105"/>
      <c r="V189" s="105"/>
      <c r="W189" s="864"/>
      <c r="X189" s="864"/>
    </row>
    <row r="190" spans="1:24" s="13" customFormat="1" ht="14.25" x14ac:dyDescent="0.2">
      <c r="A190" s="87" t="s">
        <v>31</v>
      </c>
      <c r="B190" s="99" t="s">
        <v>65</v>
      </c>
      <c r="C190" s="99"/>
      <c r="D190" s="99"/>
      <c r="E190" s="88"/>
      <c r="F190" s="88"/>
      <c r="G190" s="622"/>
      <c r="H190" s="89"/>
      <c r="I190" s="863"/>
      <c r="J190" s="863"/>
      <c r="K190" s="87" t="s">
        <v>31</v>
      </c>
      <c r="L190" s="99" t="s">
        <v>65</v>
      </c>
      <c r="M190" s="99"/>
      <c r="N190" s="99"/>
      <c r="O190" s="88"/>
      <c r="P190" s="88"/>
      <c r="Q190" s="622"/>
      <c r="R190" s="89"/>
      <c r="S190" s="863"/>
      <c r="T190" s="863"/>
      <c r="U190" s="88"/>
      <c r="V190" s="88"/>
      <c r="W190" s="865"/>
      <c r="X190" s="865"/>
    </row>
    <row r="191" spans="1:24" s="13" customFormat="1" ht="14.25" x14ac:dyDescent="0.2">
      <c r="A191" s="112" t="s">
        <v>32</v>
      </c>
      <c r="B191" s="113" t="s">
        <v>66</v>
      </c>
      <c r="C191" s="113"/>
      <c r="D191" s="113"/>
      <c r="E191" s="114"/>
      <c r="F191" s="114"/>
      <c r="G191" s="623"/>
      <c r="H191" s="93"/>
      <c r="I191" s="863"/>
      <c r="J191" s="863"/>
      <c r="K191" s="112" t="s">
        <v>32</v>
      </c>
      <c r="L191" s="113" t="s">
        <v>66</v>
      </c>
      <c r="M191" s="113"/>
      <c r="N191" s="113"/>
      <c r="O191" s="114"/>
      <c r="P191" s="114"/>
      <c r="Q191" s="623"/>
      <c r="R191" s="93"/>
      <c r="S191" s="863"/>
      <c r="T191" s="863"/>
      <c r="U191" s="114"/>
      <c r="V191" s="114"/>
      <c r="W191" s="866"/>
      <c r="X191" s="866"/>
    </row>
    <row r="192" spans="1:24" s="13" customFormat="1" ht="14.25" x14ac:dyDescent="0.2">
      <c r="A192" s="111" t="s">
        <v>33</v>
      </c>
      <c r="B192" s="104" t="s">
        <v>34</v>
      </c>
      <c r="C192" s="104"/>
      <c r="D192" s="104"/>
      <c r="E192" s="306">
        <f>SUM(E193:E195)</f>
        <v>5.0000000000000001E-3</v>
      </c>
      <c r="F192" s="306">
        <f>SUM(F193:F195)</f>
        <v>5.0000000000000001E-3</v>
      </c>
      <c r="G192" s="627">
        <f>SUM(G193:G195)</f>
        <v>0</v>
      </c>
      <c r="H192" s="106">
        <f>SUM(H193:H195)</f>
        <v>0</v>
      </c>
      <c r="I192" s="127">
        <f>IFERROR(H192/$D$37,0)</f>
        <v>0</v>
      </c>
      <c r="J192" s="863"/>
      <c r="K192" s="111" t="s">
        <v>33</v>
      </c>
      <c r="L192" s="104" t="s">
        <v>34</v>
      </c>
      <c r="M192" s="104"/>
      <c r="N192" s="104"/>
      <c r="O192" s="306">
        <f>SUM(O193:O195)</f>
        <v>1.4999999999999999E-2</v>
      </c>
      <c r="P192" s="306">
        <f>SUM(P193:P195)</f>
        <v>1.4999999999999999E-2</v>
      </c>
      <c r="Q192" s="627">
        <f>SUM(Q193:Q195)</f>
        <v>0</v>
      </c>
      <c r="R192" s="106">
        <f>SUM(R193:R195)</f>
        <v>0</v>
      </c>
      <c r="S192" s="127">
        <f>IFERROR(R192/$D$37,0)</f>
        <v>0</v>
      </c>
      <c r="T192" s="863"/>
      <c r="U192" s="306">
        <f>SUM(U193:U195)</f>
        <v>0.02</v>
      </c>
      <c r="V192" s="306">
        <f>SUM(V193:V195)</f>
        <v>0.02</v>
      </c>
      <c r="W192" s="627">
        <f>SUM(W193:W195)</f>
        <v>0</v>
      </c>
      <c r="X192" s="106">
        <f>SUM(X193:X195)</f>
        <v>0</v>
      </c>
    </row>
    <row r="193" spans="1:24" s="13" customFormat="1" ht="14.25" x14ac:dyDescent="0.2">
      <c r="A193" s="90" t="s">
        <v>35</v>
      </c>
      <c r="B193" s="98" t="s">
        <v>67</v>
      </c>
      <c r="C193" s="98"/>
      <c r="D193" s="98"/>
      <c r="E193" s="304">
        <v>2.5000000000000001E-3</v>
      </c>
      <c r="F193" s="304">
        <f>E193*(100%+$F$178)</f>
        <v>2.5000000000000001E-3</v>
      </c>
      <c r="G193" s="628">
        <f>F193*$F$175</f>
        <v>0</v>
      </c>
      <c r="H193" s="89">
        <f>+G193*$F$176</f>
        <v>0</v>
      </c>
      <c r="I193" s="863"/>
      <c r="J193" s="863"/>
      <c r="K193" s="90" t="s">
        <v>35</v>
      </c>
      <c r="L193" s="98" t="s">
        <v>67</v>
      </c>
      <c r="M193" s="98"/>
      <c r="N193" s="98"/>
      <c r="O193" s="304">
        <v>2.5000000000000001E-3</v>
      </c>
      <c r="P193" s="304">
        <f>O193*(100%+$F$179)</f>
        <v>2.5000000000000001E-3</v>
      </c>
      <c r="Q193" s="628">
        <f>P193*$F$175</f>
        <v>0</v>
      </c>
      <c r="R193" s="89">
        <f>+Q193*$F$176</f>
        <v>0</v>
      </c>
      <c r="S193" s="863"/>
      <c r="T193" s="863"/>
      <c r="U193" s="491">
        <f t="shared" ref="U193:X195" si="0">+E193+O193</f>
        <v>5.0000000000000001E-3</v>
      </c>
      <c r="V193" s="491">
        <f t="shared" si="0"/>
        <v>5.0000000000000001E-3</v>
      </c>
      <c r="W193" s="628">
        <f t="shared" si="0"/>
        <v>0</v>
      </c>
      <c r="X193" s="89">
        <f t="shared" si="0"/>
        <v>0</v>
      </c>
    </row>
    <row r="194" spans="1:24" s="13" customFormat="1" ht="14.25" x14ac:dyDescent="0.2">
      <c r="A194" s="90" t="s">
        <v>36</v>
      </c>
      <c r="B194" s="98" t="s">
        <v>68</v>
      </c>
      <c r="C194" s="98"/>
      <c r="D194" s="98"/>
      <c r="E194" s="304">
        <v>2.5000000000000001E-3</v>
      </c>
      <c r="F194" s="304">
        <f>E194*(100%+$F$178)</f>
        <v>2.5000000000000001E-3</v>
      </c>
      <c r="G194" s="628">
        <f t="shared" ref="G194" si="1">F194*$F$175</f>
        <v>0</v>
      </c>
      <c r="H194" s="89">
        <f t="shared" ref="H194" si="2">+G194*$F$176</f>
        <v>0</v>
      </c>
      <c r="I194" s="863"/>
      <c r="J194" s="863"/>
      <c r="K194" s="90" t="s">
        <v>36</v>
      </c>
      <c r="L194" s="98" t="s">
        <v>68</v>
      </c>
      <c r="M194" s="98"/>
      <c r="N194" s="98"/>
      <c r="O194" s="304">
        <v>2.5000000000000001E-3</v>
      </c>
      <c r="P194" s="304">
        <f>O194*(100%+$F$179)</f>
        <v>2.5000000000000001E-3</v>
      </c>
      <c r="Q194" s="628">
        <f t="shared" ref="Q194:Q195" si="3">P194*$F$175</f>
        <v>0</v>
      </c>
      <c r="R194" s="89">
        <f t="shared" ref="R194:R195" si="4">+Q194*$F$176</f>
        <v>0</v>
      </c>
      <c r="S194" s="863"/>
      <c r="T194" s="863"/>
      <c r="U194" s="491">
        <f t="shared" si="0"/>
        <v>5.0000000000000001E-3</v>
      </c>
      <c r="V194" s="491">
        <f t="shared" si="0"/>
        <v>5.0000000000000001E-3</v>
      </c>
      <c r="W194" s="628">
        <f t="shared" si="0"/>
        <v>0</v>
      </c>
      <c r="X194" s="89">
        <f t="shared" si="0"/>
        <v>0</v>
      </c>
    </row>
    <row r="195" spans="1:24" s="13" customFormat="1" ht="14.25" x14ac:dyDescent="0.2">
      <c r="A195" s="116" t="s">
        <v>37</v>
      </c>
      <c r="B195" s="117" t="s">
        <v>844</v>
      </c>
      <c r="C195" s="117"/>
      <c r="D195" s="117"/>
      <c r="E195" s="490"/>
      <c r="F195" s="490"/>
      <c r="G195" s="629"/>
      <c r="H195" s="93"/>
      <c r="I195" s="863"/>
      <c r="J195" s="863"/>
      <c r="K195" s="116" t="s">
        <v>37</v>
      </c>
      <c r="L195" s="117" t="s">
        <v>844</v>
      </c>
      <c r="M195" s="117"/>
      <c r="N195" s="117"/>
      <c r="O195" s="490">
        <v>0.01</v>
      </c>
      <c r="P195" s="490">
        <f>O195*(100%+$F$179)</f>
        <v>0.01</v>
      </c>
      <c r="Q195" s="629">
        <f t="shared" si="3"/>
        <v>0</v>
      </c>
      <c r="R195" s="93">
        <f t="shared" si="4"/>
        <v>0</v>
      </c>
      <c r="S195" s="863"/>
      <c r="T195" s="863"/>
      <c r="U195" s="492">
        <f t="shared" si="0"/>
        <v>0.01</v>
      </c>
      <c r="V195" s="492">
        <f t="shared" si="0"/>
        <v>0.01</v>
      </c>
      <c r="W195" s="629">
        <f t="shared" si="0"/>
        <v>0</v>
      </c>
      <c r="X195" s="93">
        <f t="shared" si="0"/>
        <v>0</v>
      </c>
    </row>
    <row r="196" spans="1:24" s="13" customFormat="1" ht="14.25" x14ac:dyDescent="0.2">
      <c r="A196" s="115">
        <v>2</v>
      </c>
      <c r="B196" s="104" t="s">
        <v>38</v>
      </c>
      <c r="C196" s="104"/>
      <c r="D196" s="104"/>
      <c r="E196" s="306">
        <f>SUM(E197:E203)</f>
        <v>0.56000000000000005</v>
      </c>
      <c r="F196" s="306">
        <f>SUM(F197:F203)</f>
        <v>0.56000000000000005</v>
      </c>
      <c r="G196" s="630">
        <f>SUM(G197:G203)</f>
        <v>0</v>
      </c>
      <c r="H196" s="106">
        <f>SUM(H197:H203)</f>
        <v>0</v>
      </c>
      <c r="I196" s="127">
        <f>IFERROR(H196/$D$37,0)</f>
        <v>0</v>
      </c>
      <c r="J196" s="863"/>
      <c r="K196" s="115">
        <v>2</v>
      </c>
      <c r="L196" s="104" t="s">
        <v>38</v>
      </c>
      <c r="M196" s="104"/>
      <c r="N196" s="104"/>
      <c r="O196" s="306">
        <f>SUM(O197:O203)</f>
        <v>0.05</v>
      </c>
      <c r="P196" s="306">
        <f>SUM(P197:P203)</f>
        <v>0.05</v>
      </c>
      <c r="Q196" s="630">
        <f>SUM(Q197:Q203)</f>
        <v>0</v>
      </c>
      <c r="R196" s="106">
        <f>SUM(R197:R203)</f>
        <v>0</v>
      </c>
      <c r="S196" s="127">
        <f>IFERROR(R196/$D$37,0)</f>
        <v>0</v>
      </c>
      <c r="T196" s="863"/>
      <c r="U196" s="306">
        <f>SUM(U197:U203)</f>
        <v>0.6100000000000001</v>
      </c>
      <c r="V196" s="306">
        <f>SUM(V197:V203)</f>
        <v>0.6100000000000001</v>
      </c>
      <c r="W196" s="630">
        <f>SUM(W197:W203)</f>
        <v>0</v>
      </c>
      <c r="X196" s="106">
        <f>SUM(X197:X203)</f>
        <v>0</v>
      </c>
    </row>
    <row r="197" spans="1:24" s="13" customFormat="1" ht="14.25" x14ac:dyDescent="0.2">
      <c r="A197" s="90" t="s">
        <v>51</v>
      </c>
      <c r="B197" s="98" t="s">
        <v>95</v>
      </c>
      <c r="C197" s="98"/>
      <c r="D197" s="98"/>
      <c r="E197" s="491">
        <v>7.4999999999999997E-2</v>
      </c>
      <c r="F197" s="304">
        <f>E197*(100%+$F$178)</f>
        <v>7.4999999999999997E-2</v>
      </c>
      <c r="G197" s="628">
        <f t="shared" ref="G197:G202" si="5">F197*$F$175</f>
        <v>0</v>
      </c>
      <c r="H197" s="89">
        <f t="shared" ref="H197:H202" si="6">+G197*$F$176</f>
        <v>0</v>
      </c>
      <c r="I197" s="863"/>
      <c r="J197" s="863"/>
      <c r="K197" s="90" t="s">
        <v>51</v>
      </c>
      <c r="L197" s="98" t="s">
        <v>95</v>
      </c>
      <c r="M197" s="98"/>
      <c r="N197" s="98"/>
      <c r="O197" s="491">
        <v>5.0000000000000001E-3</v>
      </c>
      <c r="P197" s="304">
        <f>O197*(100%+$F$179)</f>
        <v>5.0000000000000001E-3</v>
      </c>
      <c r="Q197" s="628">
        <f t="shared" ref="Q197:Q203" si="7">P197*$F$175</f>
        <v>0</v>
      </c>
      <c r="R197" s="89">
        <f t="shared" ref="R197:R203" si="8">+Q197*$F$176</f>
        <v>0</v>
      </c>
      <c r="S197" s="863"/>
      <c r="T197" s="863"/>
      <c r="U197" s="491">
        <f t="shared" ref="U197:X203" si="9">+E197+O197</f>
        <v>0.08</v>
      </c>
      <c r="V197" s="491">
        <f t="shared" si="9"/>
        <v>0.08</v>
      </c>
      <c r="W197" s="628">
        <f t="shared" si="9"/>
        <v>0</v>
      </c>
      <c r="X197" s="89">
        <f t="shared" si="9"/>
        <v>0</v>
      </c>
    </row>
    <row r="198" spans="1:24" s="13" customFormat="1" ht="14.25" x14ac:dyDescent="0.2">
      <c r="A198" s="91" t="s">
        <v>52</v>
      </c>
      <c r="B198" s="102" t="s">
        <v>744</v>
      </c>
      <c r="C198" s="102"/>
      <c r="D198" s="102"/>
      <c r="E198" s="491">
        <v>0.14249999999999999</v>
      </c>
      <c r="F198" s="304">
        <f>E198*(100%+$F$178)</f>
        <v>0.14249999999999999</v>
      </c>
      <c r="G198" s="628">
        <f t="shared" si="5"/>
        <v>0</v>
      </c>
      <c r="H198" s="89">
        <f t="shared" si="6"/>
        <v>0</v>
      </c>
      <c r="I198" s="863"/>
      <c r="J198" s="863"/>
      <c r="K198" s="91" t="s">
        <v>52</v>
      </c>
      <c r="L198" s="102" t="s">
        <v>744</v>
      </c>
      <c r="M198" s="102"/>
      <c r="N198" s="102"/>
      <c r="O198" s="491">
        <v>7.4999999999999997E-3</v>
      </c>
      <c r="P198" s="304">
        <f>O198*(100%+$F$179)</f>
        <v>7.4999999999999997E-3</v>
      </c>
      <c r="Q198" s="628">
        <f t="shared" si="7"/>
        <v>0</v>
      </c>
      <c r="R198" s="89">
        <f t="shared" si="8"/>
        <v>0</v>
      </c>
      <c r="S198" s="863"/>
      <c r="T198" s="863"/>
      <c r="U198" s="491">
        <f t="shared" si="9"/>
        <v>0.15</v>
      </c>
      <c r="V198" s="491">
        <f t="shared" si="9"/>
        <v>0.15</v>
      </c>
      <c r="W198" s="628">
        <f t="shared" si="9"/>
        <v>0</v>
      </c>
      <c r="X198" s="89">
        <f t="shared" si="9"/>
        <v>0</v>
      </c>
    </row>
    <row r="199" spans="1:24" s="13" customFormat="1" ht="14.25" x14ac:dyDescent="0.2">
      <c r="A199" s="91" t="s">
        <v>53</v>
      </c>
      <c r="B199" s="102" t="s">
        <v>848</v>
      </c>
      <c r="C199" s="102"/>
      <c r="D199" s="102"/>
      <c r="E199" s="491"/>
      <c r="F199" s="304"/>
      <c r="G199" s="628"/>
      <c r="H199" s="89"/>
      <c r="I199" s="863"/>
      <c r="J199" s="863"/>
      <c r="K199" s="91" t="s">
        <v>53</v>
      </c>
      <c r="L199" s="102" t="s">
        <v>848</v>
      </c>
      <c r="M199" s="102"/>
      <c r="N199" s="102"/>
      <c r="O199" s="491"/>
      <c r="P199" s="304"/>
      <c r="Q199" s="628"/>
      <c r="R199" s="89"/>
      <c r="S199" s="863"/>
      <c r="T199" s="863"/>
      <c r="U199" s="491">
        <f t="shared" si="9"/>
        <v>0</v>
      </c>
      <c r="V199" s="491">
        <f t="shared" si="9"/>
        <v>0</v>
      </c>
      <c r="W199" s="628">
        <f t="shared" si="9"/>
        <v>0</v>
      </c>
      <c r="X199" s="89">
        <f t="shared" si="9"/>
        <v>0</v>
      </c>
    </row>
    <row r="200" spans="1:24" s="13" customFormat="1" ht="14.25" x14ac:dyDescent="0.2">
      <c r="A200" s="91" t="s">
        <v>96</v>
      </c>
      <c r="B200" s="102" t="s">
        <v>745</v>
      </c>
      <c r="C200" s="102"/>
      <c r="D200" s="102"/>
      <c r="E200" s="491">
        <v>0.28000000000000003</v>
      </c>
      <c r="F200" s="304">
        <f>E200*(100%+$F$178)</f>
        <v>0.28000000000000003</v>
      </c>
      <c r="G200" s="628">
        <f t="shared" si="5"/>
        <v>0</v>
      </c>
      <c r="H200" s="89">
        <f t="shared" si="6"/>
        <v>0</v>
      </c>
      <c r="I200" s="863"/>
      <c r="J200" s="863"/>
      <c r="K200" s="91" t="s">
        <v>96</v>
      </c>
      <c r="L200" s="102" t="s">
        <v>745</v>
      </c>
      <c r="M200" s="102"/>
      <c r="N200" s="102"/>
      <c r="O200" s="491">
        <v>0.02</v>
      </c>
      <c r="P200" s="304">
        <f>O200*(100%+$F$179)</f>
        <v>0.02</v>
      </c>
      <c r="Q200" s="628">
        <f t="shared" si="7"/>
        <v>0</v>
      </c>
      <c r="R200" s="89">
        <f t="shared" si="8"/>
        <v>0</v>
      </c>
      <c r="S200" s="863"/>
      <c r="T200" s="863"/>
      <c r="U200" s="491">
        <f t="shared" si="9"/>
        <v>0.30000000000000004</v>
      </c>
      <c r="V200" s="491">
        <f t="shared" si="9"/>
        <v>0.30000000000000004</v>
      </c>
      <c r="W200" s="628">
        <f t="shared" si="9"/>
        <v>0</v>
      </c>
      <c r="X200" s="89">
        <f t="shared" si="9"/>
        <v>0</v>
      </c>
    </row>
    <row r="201" spans="1:24" s="13" customFormat="1" ht="14.25" x14ac:dyDescent="0.2">
      <c r="A201" s="91" t="s">
        <v>97</v>
      </c>
      <c r="B201" s="102" t="s">
        <v>845</v>
      </c>
      <c r="C201" s="102"/>
      <c r="D201" s="102"/>
      <c r="E201" s="491">
        <v>4.7500000000000001E-2</v>
      </c>
      <c r="F201" s="304">
        <f>E201*(100%+$F$178)</f>
        <v>4.7500000000000001E-2</v>
      </c>
      <c r="G201" s="628">
        <f t="shared" si="5"/>
        <v>0</v>
      </c>
      <c r="H201" s="89">
        <f t="shared" si="6"/>
        <v>0</v>
      </c>
      <c r="I201" s="863"/>
      <c r="J201" s="863"/>
      <c r="K201" s="91" t="s">
        <v>97</v>
      </c>
      <c r="L201" s="102" t="s">
        <v>845</v>
      </c>
      <c r="M201" s="102"/>
      <c r="N201" s="102"/>
      <c r="O201" s="491">
        <v>2.5000000000000001E-3</v>
      </c>
      <c r="P201" s="304">
        <f>O201*(100%+$F$179)</f>
        <v>2.5000000000000001E-3</v>
      </c>
      <c r="Q201" s="628">
        <f t="shared" si="7"/>
        <v>0</v>
      </c>
      <c r="R201" s="89">
        <f t="shared" si="8"/>
        <v>0</v>
      </c>
      <c r="S201" s="863"/>
      <c r="T201" s="863"/>
      <c r="U201" s="491">
        <f t="shared" si="9"/>
        <v>0.05</v>
      </c>
      <c r="V201" s="491">
        <f t="shared" si="9"/>
        <v>0.05</v>
      </c>
      <c r="W201" s="628">
        <f t="shared" si="9"/>
        <v>0</v>
      </c>
      <c r="X201" s="89">
        <f t="shared" si="9"/>
        <v>0</v>
      </c>
    </row>
    <row r="202" spans="1:24" s="868" customFormat="1" ht="14.25" x14ac:dyDescent="0.2">
      <c r="A202" s="804"/>
      <c r="B202" s="805" t="s">
        <v>965</v>
      </c>
      <c r="C202" s="805"/>
      <c r="D202" s="805"/>
      <c r="E202" s="806">
        <v>1.4999999999999999E-2</v>
      </c>
      <c r="F202" s="808">
        <f>E202*(100%+$F$178)</f>
        <v>1.4999999999999999E-2</v>
      </c>
      <c r="G202" s="846">
        <f t="shared" si="5"/>
        <v>0</v>
      </c>
      <c r="H202" s="799">
        <f t="shared" si="6"/>
        <v>0</v>
      </c>
      <c r="I202" s="867"/>
      <c r="J202" s="867"/>
      <c r="K202" s="804"/>
      <c r="L202" s="805" t="s">
        <v>965</v>
      </c>
      <c r="M202" s="805"/>
      <c r="N202" s="805"/>
      <c r="O202" s="806"/>
      <c r="P202" s="808"/>
      <c r="Q202" s="809"/>
      <c r="R202" s="810"/>
      <c r="S202" s="867"/>
      <c r="T202" s="867"/>
      <c r="U202" s="794">
        <f t="shared" si="9"/>
        <v>1.4999999999999999E-2</v>
      </c>
      <c r="V202" s="794">
        <f t="shared" si="9"/>
        <v>1.4999999999999999E-2</v>
      </c>
      <c r="W202" s="869">
        <f t="shared" si="9"/>
        <v>0</v>
      </c>
      <c r="X202" s="810">
        <f t="shared" si="9"/>
        <v>0</v>
      </c>
    </row>
    <row r="203" spans="1:24" s="868" customFormat="1" ht="14.25" x14ac:dyDescent="0.2">
      <c r="A203" s="811"/>
      <c r="B203" s="812" t="s">
        <v>1041</v>
      </c>
      <c r="C203" s="812"/>
      <c r="D203" s="812"/>
      <c r="E203" s="813"/>
      <c r="F203" s="814"/>
      <c r="G203" s="815"/>
      <c r="H203" s="816"/>
      <c r="I203" s="867"/>
      <c r="J203" s="867"/>
      <c r="K203" s="811"/>
      <c r="L203" s="812" t="s">
        <v>1041</v>
      </c>
      <c r="M203" s="812"/>
      <c r="N203" s="812"/>
      <c r="O203" s="813">
        <v>1.4999999999999999E-2</v>
      </c>
      <c r="P203" s="814">
        <f>O203*(100%+$F$179)</f>
        <v>1.4999999999999999E-2</v>
      </c>
      <c r="Q203" s="847">
        <f t="shared" si="7"/>
        <v>0</v>
      </c>
      <c r="R203" s="816">
        <f t="shared" si="8"/>
        <v>0</v>
      </c>
      <c r="S203" s="867"/>
      <c r="T203" s="867"/>
      <c r="U203" s="813">
        <f t="shared" si="9"/>
        <v>1.4999999999999999E-2</v>
      </c>
      <c r="V203" s="813">
        <f t="shared" si="9"/>
        <v>1.4999999999999999E-2</v>
      </c>
      <c r="W203" s="847">
        <f t="shared" si="9"/>
        <v>0</v>
      </c>
      <c r="X203" s="816">
        <f t="shared" si="9"/>
        <v>0</v>
      </c>
    </row>
    <row r="204" spans="1:24" s="13" customFormat="1" ht="14.25" x14ac:dyDescent="0.2">
      <c r="A204" s="118" t="s">
        <v>39</v>
      </c>
      <c r="B204" s="104" t="s">
        <v>122</v>
      </c>
      <c r="C204" s="104"/>
      <c r="D204" s="104"/>
      <c r="E204" s="306">
        <f>SUM(E205:E207)</f>
        <v>5.0000000000000001E-3</v>
      </c>
      <c r="F204" s="306">
        <f>SUM(F205:F207)</f>
        <v>5.0000000000000001E-3</v>
      </c>
      <c r="G204" s="627">
        <f>SUM(G205:G208)</f>
        <v>0</v>
      </c>
      <c r="H204" s="106">
        <f>SUM(H205:H208)</f>
        <v>0</v>
      </c>
      <c r="I204" s="127">
        <f>IFERROR(H204/$D$37,0)</f>
        <v>0</v>
      </c>
      <c r="J204" s="863"/>
      <c r="K204" s="118" t="s">
        <v>39</v>
      </c>
      <c r="L204" s="104" t="s">
        <v>122</v>
      </c>
      <c r="M204" s="104"/>
      <c r="N204" s="104"/>
      <c r="O204" s="306">
        <f>SUM(O205:O208)</f>
        <v>2.5000000000000001E-2</v>
      </c>
      <c r="P204" s="306">
        <f>SUM(P205:P208)</f>
        <v>2.5000000000000001E-2</v>
      </c>
      <c r="Q204" s="627">
        <f>SUM(Q205:Q208)</f>
        <v>0</v>
      </c>
      <c r="R204" s="106">
        <f>SUM(R205:R208)</f>
        <v>0</v>
      </c>
      <c r="S204" s="127">
        <f>IFERROR(R204/$D$37,0)</f>
        <v>0</v>
      </c>
      <c r="T204" s="863"/>
      <c r="U204" s="306">
        <f>SUM(U205:U208)</f>
        <v>0.03</v>
      </c>
      <c r="V204" s="306">
        <f>SUM(V205:V208)</f>
        <v>0.03</v>
      </c>
      <c r="W204" s="627">
        <f>SUM(W205:W208)</f>
        <v>0</v>
      </c>
      <c r="X204" s="106">
        <f>SUM(X205:X208)</f>
        <v>0</v>
      </c>
    </row>
    <row r="205" spans="1:24" s="13" customFormat="1" ht="14.25" x14ac:dyDescent="0.2">
      <c r="A205" s="91" t="s">
        <v>40</v>
      </c>
      <c r="B205" s="97" t="s">
        <v>846</v>
      </c>
      <c r="C205" s="97"/>
      <c r="D205" s="97"/>
      <c r="E205" s="304">
        <v>2.5000000000000001E-3</v>
      </c>
      <c r="F205" s="304">
        <f>E205*(100%+$F$178)</f>
        <v>2.5000000000000001E-3</v>
      </c>
      <c r="G205" s="628">
        <f t="shared" ref="G205:G207" si="10">F205*$F$175</f>
        <v>0</v>
      </c>
      <c r="H205" s="89">
        <f t="shared" ref="H205:H207" si="11">+G205*$F$176</f>
        <v>0</v>
      </c>
      <c r="I205" s="863"/>
      <c r="J205" s="863"/>
      <c r="K205" s="91" t="s">
        <v>40</v>
      </c>
      <c r="L205" s="97" t="s">
        <v>846</v>
      </c>
      <c r="M205" s="97"/>
      <c r="N205" s="97"/>
      <c r="O205" s="304">
        <v>5.0000000000000001E-3</v>
      </c>
      <c r="P205" s="304">
        <f>O205*(100%+$F$179)</f>
        <v>5.0000000000000001E-3</v>
      </c>
      <c r="Q205" s="628">
        <f t="shared" ref="Q205:Q208" si="12">P205*$F$175</f>
        <v>0</v>
      </c>
      <c r="R205" s="89">
        <f t="shared" ref="R205:R208" si="13">+Q205*$F$176</f>
        <v>0</v>
      </c>
      <c r="S205" s="863"/>
      <c r="T205" s="863"/>
      <c r="U205" s="491">
        <f t="shared" ref="U205:X208" si="14">+E205+O205</f>
        <v>7.4999999999999997E-3</v>
      </c>
      <c r="V205" s="491">
        <f t="shared" si="14"/>
        <v>7.4999999999999997E-3</v>
      </c>
      <c r="W205" s="628">
        <f t="shared" si="14"/>
        <v>0</v>
      </c>
      <c r="X205" s="89">
        <f t="shared" si="14"/>
        <v>0</v>
      </c>
    </row>
    <row r="206" spans="1:24" s="868" customFormat="1" ht="14.25" x14ac:dyDescent="0.2">
      <c r="A206" s="804"/>
      <c r="B206" s="805" t="s">
        <v>1042</v>
      </c>
      <c r="C206" s="805"/>
      <c r="D206" s="805"/>
      <c r="E206" s="806"/>
      <c r="F206" s="808"/>
      <c r="G206" s="809"/>
      <c r="H206" s="810"/>
      <c r="I206" s="867"/>
      <c r="J206" s="867"/>
      <c r="K206" s="795"/>
      <c r="L206" s="805" t="s">
        <v>1042</v>
      </c>
      <c r="M206" s="796"/>
      <c r="N206" s="796"/>
      <c r="O206" s="794">
        <v>5.0000000000000001E-3</v>
      </c>
      <c r="P206" s="797">
        <f>O206*(100%+$F$179)</f>
        <v>5.0000000000000001E-3</v>
      </c>
      <c r="Q206" s="846">
        <f t="shared" si="12"/>
        <v>0</v>
      </c>
      <c r="R206" s="799">
        <f t="shared" si="13"/>
        <v>0</v>
      </c>
      <c r="S206" s="867"/>
      <c r="T206" s="867"/>
      <c r="U206" s="794">
        <f t="shared" si="14"/>
        <v>5.0000000000000001E-3</v>
      </c>
      <c r="V206" s="794">
        <f t="shared" si="14"/>
        <v>5.0000000000000001E-3</v>
      </c>
      <c r="W206" s="846">
        <f t="shared" si="14"/>
        <v>0</v>
      </c>
      <c r="X206" s="799">
        <f t="shared" si="14"/>
        <v>0</v>
      </c>
    </row>
    <row r="207" spans="1:24" s="13" customFormat="1" ht="14.25" x14ac:dyDescent="0.2">
      <c r="A207" s="91" t="s">
        <v>41</v>
      </c>
      <c r="B207" s="97" t="s">
        <v>202</v>
      </c>
      <c r="C207" s="97"/>
      <c r="D207" s="97"/>
      <c r="E207" s="304">
        <v>2.5000000000000001E-3</v>
      </c>
      <c r="F207" s="304">
        <f>E207*(100%+$F$178)</f>
        <v>2.5000000000000001E-3</v>
      </c>
      <c r="G207" s="628">
        <f t="shared" si="10"/>
        <v>0</v>
      </c>
      <c r="H207" s="89">
        <f t="shared" si="11"/>
        <v>0</v>
      </c>
      <c r="I207" s="863"/>
      <c r="J207" s="863"/>
      <c r="K207" s="91" t="s">
        <v>41</v>
      </c>
      <c r="L207" s="97" t="s">
        <v>202</v>
      </c>
      <c r="M207" s="97"/>
      <c r="N207" s="97"/>
      <c r="O207" s="304">
        <v>5.0000000000000001E-3</v>
      </c>
      <c r="P207" s="304">
        <f>O207*(100%+$F$179)</f>
        <v>5.0000000000000001E-3</v>
      </c>
      <c r="Q207" s="628">
        <f t="shared" si="12"/>
        <v>0</v>
      </c>
      <c r="R207" s="89">
        <f t="shared" si="13"/>
        <v>0</v>
      </c>
      <c r="S207" s="863"/>
      <c r="T207" s="863"/>
      <c r="U207" s="491">
        <f t="shared" si="14"/>
        <v>7.4999999999999997E-3</v>
      </c>
      <c r="V207" s="491">
        <f t="shared" si="14"/>
        <v>7.4999999999999997E-3</v>
      </c>
      <c r="W207" s="628">
        <f t="shared" si="14"/>
        <v>0</v>
      </c>
      <c r="X207" s="89">
        <f t="shared" si="14"/>
        <v>0</v>
      </c>
    </row>
    <row r="208" spans="1:24" s="868" customFormat="1" ht="14.25" x14ac:dyDescent="0.2">
      <c r="A208" s="811"/>
      <c r="B208" s="812" t="s">
        <v>1042</v>
      </c>
      <c r="C208" s="812"/>
      <c r="D208" s="812"/>
      <c r="E208" s="813"/>
      <c r="F208" s="814"/>
      <c r="G208" s="815"/>
      <c r="H208" s="816"/>
      <c r="I208" s="867"/>
      <c r="J208" s="867"/>
      <c r="K208" s="811"/>
      <c r="L208" s="812" t="s">
        <v>1042</v>
      </c>
      <c r="M208" s="812"/>
      <c r="N208" s="812"/>
      <c r="O208" s="813">
        <v>0.01</v>
      </c>
      <c r="P208" s="814">
        <f>O208*(100%+$F$179)</f>
        <v>0.01</v>
      </c>
      <c r="Q208" s="847">
        <f t="shared" si="12"/>
        <v>0</v>
      </c>
      <c r="R208" s="816">
        <f t="shared" si="13"/>
        <v>0</v>
      </c>
      <c r="S208" s="867"/>
      <c r="T208" s="867"/>
      <c r="U208" s="813">
        <f t="shared" si="14"/>
        <v>0.01</v>
      </c>
      <c r="V208" s="813">
        <f t="shared" si="14"/>
        <v>0.01</v>
      </c>
      <c r="W208" s="847">
        <f t="shared" si="14"/>
        <v>0</v>
      </c>
      <c r="X208" s="816">
        <f t="shared" si="14"/>
        <v>0</v>
      </c>
    </row>
    <row r="209" spans="1:24" s="13" customFormat="1" ht="14.25" x14ac:dyDescent="0.2">
      <c r="A209" s="122">
        <v>4</v>
      </c>
      <c r="B209" s="104" t="s">
        <v>60</v>
      </c>
      <c r="C209" s="104"/>
      <c r="D209" s="104"/>
      <c r="E209" s="306">
        <f>SUM(E210:E217)</f>
        <v>0.28000000000000003</v>
      </c>
      <c r="F209" s="306">
        <f>SUM(F210:F217)</f>
        <v>0.28000000000000003</v>
      </c>
      <c r="G209" s="627">
        <f>SUM(G210:G217)</f>
        <v>0</v>
      </c>
      <c r="H209" s="106">
        <f>SUM(H210:H217)</f>
        <v>0</v>
      </c>
      <c r="I209" s="127">
        <f>IFERROR(H209/$D$37,0)</f>
        <v>0</v>
      </c>
      <c r="J209" s="863"/>
      <c r="K209" s="122">
        <v>4</v>
      </c>
      <c r="L209" s="104" t="s">
        <v>60</v>
      </c>
      <c r="M209" s="104"/>
      <c r="N209" s="104"/>
      <c r="O209" s="306">
        <f>SUM(O210:O217)</f>
        <v>0.04</v>
      </c>
      <c r="P209" s="306">
        <f>SUM(P210:P217)</f>
        <v>0.04</v>
      </c>
      <c r="Q209" s="627">
        <f>SUM(Q210:Q217)</f>
        <v>0</v>
      </c>
      <c r="R209" s="106">
        <f>SUM(R210:R217)</f>
        <v>0</v>
      </c>
      <c r="S209" s="127">
        <f>IFERROR(R209/$D$37,0)</f>
        <v>0</v>
      </c>
      <c r="T209" s="863"/>
      <c r="U209" s="306">
        <f>SUM(U210:U217)</f>
        <v>0.32000000000000006</v>
      </c>
      <c r="V209" s="306">
        <f>SUM(V210:V217)</f>
        <v>0.32000000000000006</v>
      </c>
      <c r="W209" s="627">
        <f>SUM(W210:W217)</f>
        <v>0</v>
      </c>
      <c r="X209" s="106">
        <f>SUM(X210:X217)</f>
        <v>0</v>
      </c>
    </row>
    <row r="210" spans="1:24" s="13" customFormat="1" ht="14.25" x14ac:dyDescent="0.2">
      <c r="A210" s="91" t="s">
        <v>42</v>
      </c>
      <c r="B210" s="97" t="s">
        <v>203</v>
      </c>
      <c r="C210" s="97"/>
      <c r="D210" s="97"/>
      <c r="E210" s="304"/>
      <c r="F210" s="304"/>
      <c r="G210" s="628"/>
      <c r="H210" s="89">
        <f t="shared" ref="H210:H217" si="15">+G210*$F$176</f>
        <v>0</v>
      </c>
      <c r="I210" s="863"/>
      <c r="J210" s="863"/>
      <c r="K210" s="91" t="s">
        <v>42</v>
      </c>
      <c r="L210" s="97" t="s">
        <v>203</v>
      </c>
      <c r="M210" s="97"/>
      <c r="N210" s="97"/>
      <c r="O210" s="304">
        <v>0.01</v>
      </c>
      <c r="P210" s="304">
        <f t="shared" ref="P210:P217" si="16">O210*(100%+$F$179)</f>
        <v>0.01</v>
      </c>
      <c r="Q210" s="628">
        <f t="shared" ref="Q210:Q217" si="17">P210*$F$175</f>
        <v>0</v>
      </c>
      <c r="R210" s="89">
        <f t="shared" ref="R210:R217" si="18">+Q210*$F$176</f>
        <v>0</v>
      </c>
      <c r="S210" s="863"/>
      <c r="T210" s="863"/>
      <c r="U210" s="491">
        <f t="shared" ref="U210:X217" si="19">+E210+O210</f>
        <v>0.01</v>
      </c>
      <c r="V210" s="491">
        <f t="shared" si="19"/>
        <v>0.01</v>
      </c>
      <c r="W210" s="628">
        <f t="shared" si="19"/>
        <v>0</v>
      </c>
      <c r="X210" s="89">
        <f t="shared" si="19"/>
        <v>0</v>
      </c>
    </row>
    <row r="211" spans="1:24" s="13" customFormat="1" ht="14.25" x14ac:dyDescent="0.2">
      <c r="A211" s="91" t="s">
        <v>43</v>
      </c>
      <c r="B211" s="97" t="s">
        <v>865</v>
      </c>
      <c r="C211" s="97"/>
      <c r="D211" s="97"/>
      <c r="E211" s="304">
        <v>6.5000000000000002E-2</v>
      </c>
      <c r="F211" s="304">
        <f>E211*(100%+$F$178)</f>
        <v>6.5000000000000002E-2</v>
      </c>
      <c r="G211" s="628">
        <f t="shared" ref="G211:G217" si="20">F211*$F$175</f>
        <v>0</v>
      </c>
      <c r="H211" s="89">
        <f t="shared" si="15"/>
        <v>0</v>
      </c>
      <c r="I211" s="863"/>
      <c r="J211" s="863"/>
      <c r="K211" s="91" t="s">
        <v>43</v>
      </c>
      <c r="L211" s="97" t="s">
        <v>865</v>
      </c>
      <c r="M211" s="97"/>
      <c r="N211" s="97"/>
      <c r="O211" s="304">
        <v>5.0000000000000001E-3</v>
      </c>
      <c r="P211" s="304">
        <f t="shared" si="16"/>
        <v>5.0000000000000001E-3</v>
      </c>
      <c r="Q211" s="628">
        <f t="shared" si="17"/>
        <v>0</v>
      </c>
      <c r="R211" s="89">
        <f t="shared" si="18"/>
        <v>0</v>
      </c>
      <c r="S211" s="863"/>
      <c r="T211" s="863"/>
      <c r="U211" s="491">
        <f t="shared" si="19"/>
        <v>7.0000000000000007E-2</v>
      </c>
      <c r="V211" s="491">
        <f t="shared" si="19"/>
        <v>7.0000000000000007E-2</v>
      </c>
      <c r="W211" s="628">
        <f t="shared" si="19"/>
        <v>0</v>
      </c>
      <c r="X211" s="89">
        <f t="shared" si="19"/>
        <v>0</v>
      </c>
    </row>
    <row r="212" spans="1:24" s="868" customFormat="1" ht="14.25" x14ac:dyDescent="0.2">
      <c r="A212" s="795"/>
      <c r="B212" s="796" t="s">
        <v>505</v>
      </c>
      <c r="C212" s="796"/>
      <c r="D212" s="796"/>
      <c r="E212" s="794">
        <v>0.185</v>
      </c>
      <c r="F212" s="797">
        <f>E212*(100%+$F$178)</f>
        <v>0.185</v>
      </c>
      <c r="G212" s="846">
        <f t="shared" si="20"/>
        <v>0</v>
      </c>
      <c r="H212" s="799">
        <f t="shared" si="15"/>
        <v>0</v>
      </c>
      <c r="I212" s="867"/>
      <c r="J212" s="867"/>
      <c r="K212" s="795"/>
      <c r="L212" s="796" t="s">
        <v>505</v>
      </c>
      <c r="M212" s="796"/>
      <c r="N212" s="796"/>
      <c r="O212" s="794">
        <v>1.4999999999999999E-2</v>
      </c>
      <c r="P212" s="797">
        <f t="shared" si="16"/>
        <v>1.4999999999999999E-2</v>
      </c>
      <c r="Q212" s="846">
        <f t="shared" si="17"/>
        <v>0</v>
      </c>
      <c r="R212" s="799">
        <f t="shared" si="18"/>
        <v>0</v>
      </c>
      <c r="S212" s="867"/>
      <c r="T212" s="867"/>
      <c r="U212" s="794">
        <f t="shared" si="19"/>
        <v>0.2</v>
      </c>
      <c r="V212" s="794">
        <f t="shared" si="19"/>
        <v>0.2</v>
      </c>
      <c r="W212" s="846">
        <f t="shared" si="19"/>
        <v>0</v>
      </c>
      <c r="X212" s="799">
        <f t="shared" si="19"/>
        <v>0</v>
      </c>
    </row>
    <row r="213" spans="1:24" s="13" customFormat="1" ht="14.25" x14ac:dyDescent="0.2">
      <c r="A213" s="91" t="s">
        <v>44</v>
      </c>
      <c r="B213" s="97" t="s">
        <v>963</v>
      </c>
      <c r="C213" s="97"/>
      <c r="D213" s="97"/>
      <c r="E213" s="304"/>
      <c r="F213" s="304"/>
      <c r="G213" s="628">
        <f t="shared" si="20"/>
        <v>0</v>
      </c>
      <c r="H213" s="89">
        <f t="shared" si="15"/>
        <v>0</v>
      </c>
      <c r="I213" s="863"/>
      <c r="J213" s="863"/>
      <c r="K213" s="91" t="s">
        <v>44</v>
      </c>
      <c r="L213" s="97" t="s">
        <v>963</v>
      </c>
      <c r="M213" s="97"/>
      <c r="N213" s="97"/>
      <c r="O213" s="304"/>
      <c r="P213" s="304"/>
      <c r="Q213" s="628"/>
      <c r="R213" s="89"/>
      <c r="S213" s="863"/>
      <c r="T213" s="863"/>
      <c r="U213" s="491">
        <f t="shared" si="19"/>
        <v>0</v>
      </c>
      <c r="V213" s="491">
        <f t="shared" si="19"/>
        <v>0</v>
      </c>
      <c r="W213" s="628">
        <f t="shared" si="19"/>
        <v>0</v>
      </c>
      <c r="X213" s="89">
        <f t="shared" si="19"/>
        <v>0</v>
      </c>
    </row>
    <row r="214" spans="1:24" s="868" customFormat="1" ht="14.25" x14ac:dyDescent="0.2">
      <c r="A214" s="795"/>
      <c r="B214" s="796" t="s">
        <v>505</v>
      </c>
      <c r="C214" s="796"/>
      <c r="D214" s="796"/>
      <c r="E214" s="794"/>
      <c r="F214" s="797"/>
      <c r="G214" s="846">
        <f t="shared" si="20"/>
        <v>0</v>
      </c>
      <c r="H214" s="799">
        <f t="shared" si="15"/>
        <v>0</v>
      </c>
      <c r="I214" s="867"/>
      <c r="J214" s="867"/>
      <c r="K214" s="795"/>
      <c r="L214" s="796" t="s">
        <v>505</v>
      </c>
      <c r="M214" s="796"/>
      <c r="N214" s="796"/>
      <c r="O214" s="794"/>
      <c r="P214" s="797"/>
      <c r="Q214" s="798"/>
      <c r="R214" s="799"/>
      <c r="S214" s="867"/>
      <c r="T214" s="867"/>
      <c r="U214" s="794">
        <f t="shared" si="19"/>
        <v>0</v>
      </c>
      <c r="V214" s="794">
        <f t="shared" si="19"/>
        <v>0</v>
      </c>
      <c r="W214" s="846">
        <f t="shared" si="19"/>
        <v>0</v>
      </c>
      <c r="X214" s="799">
        <f t="shared" si="19"/>
        <v>0</v>
      </c>
    </row>
    <row r="215" spans="1:24" s="13" customFormat="1" ht="14.25" x14ac:dyDescent="0.2">
      <c r="A215" s="91" t="s">
        <v>45</v>
      </c>
      <c r="B215" s="97" t="s">
        <v>866</v>
      </c>
      <c r="C215" s="97"/>
      <c r="D215" s="97"/>
      <c r="E215" s="304">
        <v>2.5000000000000001E-3</v>
      </c>
      <c r="F215" s="304">
        <f>E215*(100%+$F$178)</f>
        <v>2.5000000000000001E-3</v>
      </c>
      <c r="G215" s="628">
        <f t="shared" si="20"/>
        <v>0</v>
      </c>
      <c r="H215" s="89">
        <f t="shared" si="15"/>
        <v>0</v>
      </c>
      <c r="I215" s="863"/>
      <c r="J215" s="863"/>
      <c r="K215" s="91" t="s">
        <v>45</v>
      </c>
      <c r="L215" s="97" t="s">
        <v>866</v>
      </c>
      <c r="M215" s="97"/>
      <c r="N215" s="97"/>
      <c r="O215" s="304">
        <v>2.5000000000000001E-3</v>
      </c>
      <c r="P215" s="304">
        <f t="shared" si="16"/>
        <v>2.5000000000000001E-3</v>
      </c>
      <c r="Q215" s="628">
        <f t="shared" si="17"/>
        <v>0</v>
      </c>
      <c r="R215" s="89">
        <f t="shared" si="18"/>
        <v>0</v>
      </c>
      <c r="S215" s="863"/>
      <c r="T215" s="863"/>
      <c r="U215" s="491">
        <f t="shared" si="19"/>
        <v>5.0000000000000001E-3</v>
      </c>
      <c r="V215" s="491">
        <f t="shared" si="19"/>
        <v>5.0000000000000001E-3</v>
      </c>
      <c r="W215" s="628">
        <f t="shared" si="19"/>
        <v>0</v>
      </c>
      <c r="X215" s="89">
        <f t="shared" si="19"/>
        <v>0</v>
      </c>
    </row>
    <row r="216" spans="1:24" s="868" customFormat="1" ht="14.25" x14ac:dyDescent="0.2">
      <c r="A216" s="795"/>
      <c r="B216" s="796" t="s">
        <v>505</v>
      </c>
      <c r="C216" s="796"/>
      <c r="D216" s="796"/>
      <c r="E216" s="794">
        <v>2.5000000000000001E-3</v>
      </c>
      <c r="F216" s="797">
        <f>E216*(100%+$F$178)</f>
        <v>2.5000000000000001E-3</v>
      </c>
      <c r="G216" s="846">
        <f t="shared" si="20"/>
        <v>0</v>
      </c>
      <c r="H216" s="799">
        <f t="shared" si="15"/>
        <v>0</v>
      </c>
      <c r="I216" s="867"/>
      <c r="J216" s="867"/>
      <c r="K216" s="795"/>
      <c r="L216" s="796" t="s">
        <v>505</v>
      </c>
      <c r="M216" s="796"/>
      <c r="N216" s="796"/>
      <c r="O216" s="794">
        <v>2.5000000000000001E-3</v>
      </c>
      <c r="P216" s="797">
        <f t="shared" si="16"/>
        <v>2.5000000000000001E-3</v>
      </c>
      <c r="Q216" s="846">
        <f t="shared" si="17"/>
        <v>0</v>
      </c>
      <c r="R216" s="799">
        <f t="shared" si="18"/>
        <v>0</v>
      </c>
      <c r="S216" s="867"/>
      <c r="T216" s="867"/>
      <c r="U216" s="794">
        <f t="shared" si="19"/>
        <v>5.0000000000000001E-3</v>
      </c>
      <c r="V216" s="794">
        <f t="shared" si="19"/>
        <v>5.0000000000000001E-3</v>
      </c>
      <c r="W216" s="846">
        <f t="shared" si="19"/>
        <v>0</v>
      </c>
      <c r="X216" s="799">
        <f t="shared" si="19"/>
        <v>0</v>
      </c>
    </row>
    <row r="217" spans="1:24" s="13" customFormat="1" ht="14.25" x14ac:dyDescent="0.2">
      <c r="A217" s="119" t="s">
        <v>46</v>
      </c>
      <c r="B217" s="92" t="s">
        <v>847</v>
      </c>
      <c r="C217" s="92"/>
      <c r="D217" s="92"/>
      <c r="E217" s="490">
        <v>2.5000000000000001E-2</v>
      </c>
      <c r="F217" s="304">
        <f>E217*(100%+$F$178)</f>
        <v>2.5000000000000001E-2</v>
      </c>
      <c r="G217" s="629">
        <f t="shared" si="20"/>
        <v>0</v>
      </c>
      <c r="H217" s="93">
        <f t="shared" si="15"/>
        <v>0</v>
      </c>
      <c r="I217" s="863"/>
      <c r="J217" s="863"/>
      <c r="K217" s="119" t="s">
        <v>46</v>
      </c>
      <c r="L217" s="92" t="s">
        <v>847</v>
      </c>
      <c r="M217" s="92"/>
      <c r="N217" s="92"/>
      <c r="O217" s="490">
        <v>5.0000000000000001E-3</v>
      </c>
      <c r="P217" s="304">
        <f t="shared" si="16"/>
        <v>5.0000000000000001E-3</v>
      </c>
      <c r="Q217" s="629">
        <f t="shared" si="17"/>
        <v>0</v>
      </c>
      <c r="R217" s="93">
        <f t="shared" si="18"/>
        <v>0</v>
      </c>
      <c r="S217" s="863"/>
      <c r="T217" s="863"/>
      <c r="U217" s="492">
        <f t="shared" si="19"/>
        <v>3.0000000000000002E-2</v>
      </c>
      <c r="V217" s="492">
        <f t="shared" si="19"/>
        <v>3.0000000000000002E-2</v>
      </c>
      <c r="W217" s="629">
        <f t="shared" si="19"/>
        <v>0</v>
      </c>
      <c r="X217" s="93">
        <f t="shared" si="19"/>
        <v>0</v>
      </c>
    </row>
    <row r="218" spans="1:24" s="13" customFormat="1" ht="14.25" x14ac:dyDescent="0.2">
      <c r="A218" s="123">
        <v>5</v>
      </c>
      <c r="B218" s="104" t="s">
        <v>47</v>
      </c>
      <c r="C218" s="104"/>
      <c r="D218" s="104"/>
      <c r="E218" s="306">
        <f>SUM(E219:E220)</f>
        <v>1.4999999999999999E-2</v>
      </c>
      <c r="F218" s="308">
        <f>SUM(F219:F220)</f>
        <v>1.4999999999999999E-2</v>
      </c>
      <c r="G218" s="627">
        <f>SUM(G219:G220)</f>
        <v>0</v>
      </c>
      <c r="H218" s="106">
        <f>SUM(H219:H220)</f>
        <v>0</v>
      </c>
      <c r="I218" s="127">
        <f>IFERROR(H218/$D$37,0)</f>
        <v>0</v>
      </c>
      <c r="J218" s="863"/>
      <c r="K218" s="123">
        <v>5</v>
      </c>
      <c r="L218" s="104" t="s">
        <v>47</v>
      </c>
      <c r="M218" s="104"/>
      <c r="N218" s="104"/>
      <c r="O218" s="306">
        <f>SUM(O219:O220)</f>
        <v>5.0000000000000001E-3</v>
      </c>
      <c r="P218" s="308">
        <f>SUM(P219:P220)</f>
        <v>5.0000000000000001E-3</v>
      </c>
      <c r="Q218" s="627">
        <f>SUM(Q219:Q220)</f>
        <v>0</v>
      </c>
      <c r="R218" s="106">
        <f>SUM(R219:R220)</f>
        <v>0</v>
      </c>
      <c r="S218" s="127">
        <f>IFERROR(R218/$D$37,0)</f>
        <v>0</v>
      </c>
      <c r="T218" s="863"/>
      <c r="U218" s="306">
        <f>SUM(U219:U220)</f>
        <v>0.02</v>
      </c>
      <c r="V218" s="306">
        <f>SUM(V219:V220)</f>
        <v>0.02</v>
      </c>
      <c r="W218" s="627">
        <f>SUM(W219:W220)</f>
        <v>0</v>
      </c>
      <c r="X218" s="106">
        <f>SUM(X219:X220)</f>
        <v>0</v>
      </c>
    </row>
    <row r="219" spans="1:24" s="13" customFormat="1" ht="14.25" x14ac:dyDescent="0.2">
      <c r="A219" s="91" t="s">
        <v>48</v>
      </c>
      <c r="B219" s="100" t="s">
        <v>205</v>
      </c>
      <c r="C219" s="100"/>
      <c r="D219" s="100"/>
      <c r="E219" s="304">
        <v>7.4999999999999997E-3</v>
      </c>
      <c r="F219" s="304">
        <f>E219*(100%+$F$178+$F$179)</f>
        <v>7.4999999999999997E-3</v>
      </c>
      <c r="G219" s="628">
        <f t="shared" ref="G219:G220" si="21">F219*$F$175</f>
        <v>0</v>
      </c>
      <c r="H219" s="89">
        <f t="shared" ref="H219:H220" si="22">+G219*$F$176</f>
        <v>0</v>
      </c>
      <c r="I219" s="863"/>
      <c r="J219" s="863"/>
      <c r="K219" s="91" t="s">
        <v>48</v>
      </c>
      <c r="L219" s="100" t="s">
        <v>205</v>
      </c>
      <c r="M219" s="100"/>
      <c r="N219" s="100"/>
      <c r="O219" s="304">
        <v>2.5000000000000001E-3</v>
      </c>
      <c r="P219" s="304">
        <f>O219*(100%+$F$178+$F$179)</f>
        <v>2.5000000000000001E-3</v>
      </c>
      <c r="Q219" s="628">
        <f t="shared" ref="Q219:Q220" si="23">P219*$F$175</f>
        <v>0</v>
      </c>
      <c r="R219" s="89">
        <f t="shared" ref="R219:R220" si="24">+Q219*$F$176</f>
        <v>0</v>
      </c>
      <c r="S219" s="863"/>
      <c r="T219" s="863"/>
      <c r="U219" s="491">
        <f t="shared" ref="U219:X220" si="25">+E219+O219</f>
        <v>0.01</v>
      </c>
      <c r="V219" s="491">
        <f t="shared" si="25"/>
        <v>0.01</v>
      </c>
      <c r="W219" s="628">
        <f t="shared" si="25"/>
        <v>0</v>
      </c>
      <c r="X219" s="89">
        <f t="shared" si="25"/>
        <v>0</v>
      </c>
    </row>
    <row r="220" spans="1:24" s="13" customFormat="1" ht="14.25" x14ac:dyDescent="0.2">
      <c r="A220" s="119" t="s">
        <v>49</v>
      </c>
      <c r="B220" s="125" t="s">
        <v>206</v>
      </c>
      <c r="C220" s="125"/>
      <c r="D220" s="125"/>
      <c r="E220" s="490">
        <v>7.4999999999999997E-3</v>
      </c>
      <c r="F220" s="307">
        <f>E220*(100%+$F$178+$F$179)</f>
        <v>7.4999999999999997E-3</v>
      </c>
      <c r="G220" s="629">
        <f t="shared" si="21"/>
        <v>0</v>
      </c>
      <c r="H220" s="93">
        <f t="shared" si="22"/>
        <v>0</v>
      </c>
      <c r="I220" s="863"/>
      <c r="J220" s="863"/>
      <c r="K220" s="119" t="s">
        <v>49</v>
      </c>
      <c r="L220" s="125" t="s">
        <v>206</v>
      </c>
      <c r="M220" s="125"/>
      <c r="N220" s="125"/>
      <c r="O220" s="490">
        <v>2.5000000000000001E-3</v>
      </c>
      <c r="P220" s="307">
        <f>O220*(100%+$F$178+$F$179)</f>
        <v>2.5000000000000001E-3</v>
      </c>
      <c r="Q220" s="629">
        <f t="shared" si="23"/>
        <v>0</v>
      </c>
      <c r="R220" s="93">
        <f t="shared" si="24"/>
        <v>0</v>
      </c>
      <c r="S220" s="863"/>
      <c r="T220" s="863"/>
      <c r="U220" s="492">
        <f t="shared" si="25"/>
        <v>0.01</v>
      </c>
      <c r="V220" s="492">
        <f t="shared" si="25"/>
        <v>0.01</v>
      </c>
      <c r="W220" s="629">
        <f t="shared" si="25"/>
        <v>0</v>
      </c>
      <c r="X220" s="93">
        <f t="shared" si="25"/>
        <v>0</v>
      </c>
    </row>
    <row r="221" spans="1:24" s="13" customFormat="1" ht="14.25" x14ac:dyDescent="0.2">
      <c r="A221" s="124">
        <v>6</v>
      </c>
      <c r="B221" s="104" t="s">
        <v>50</v>
      </c>
      <c r="C221" s="104"/>
      <c r="D221" s="104"/>
      <c r="E221" s="105"/>
      <c r="F221" s="309"/>
      <c r="G221" s="621"/>
      <c r="H221" s="106"/>
      <c r="I221" s="863"/>
      <c r="J221" s="863"/>
      <c r="K221" s="124">
        <v>6</v>
      </c>
      <c r="L221" s="104" t="s">
        <v>50</v>
      </c>
      <c r="M221" s="104"/>
      <c r="N221" s="104"/>
      <c r="O221" s="105"/>
      <c r="P221" s="309"/>
      <c r="Q221" s="621"/>
      <c r="R221" s="106"/>
      <c r="S221" s="863"/>
      <c r="T221" s="863"/>
      <c r="U221" s="105"/>
      <c r="V221" s="105"/>
      <c r="W221" s="864"/>
      <c r="X221" s="864"/>
    </row>
    <row r="222" spans="1:24" s="13" customFormat="1" ht="14.25" x14ac:dyDescent="0.2">
      <c r="A222" s="91" t="s">
        <v>54</v>
      </c>
      <c r="B222" s="100" t="s">
        <v>207</v>
      </c>
      <c r="C222" s="100"/>
      <c r="D222" s="100"/>
      <c r="E222" s="88"/>
      <c r="F222" s="88"/>
      <c r="G222" s="622"/>
      <c r="H222" s="89"/>
      <c r="I222" s="863"/>
      <c r="J222" s="863"/>
      <c r="K222" s="91" t="s">
        <v>54</v>
      </c>
      <c r="L222" s="100" t="s">
        <v>207</v>
      </c>
      <c r="M222" s="100"/>
      <c r="N222" s="100"/>
      <c r="O222" s="88"/>
      <c r="P222" s="88"/>
      <c r="Q222" s="622"/>
      <c r="R222" s="89"/>
      <c r="S222" s="863"/>
      <c r="T222" s="863"/>
      <c r="U222" s="88"/>
      <c r="V222" s="88"/>
      <c r="W222" s="865"/>
      <c r="X222" s="865"/>
    </row>
    <row r="223" spans="1:24" s="13" customFormat="1" ht="14.25" x14ac:dyDescent="0.2">
      <c r="A223" s="91" t="s">
        <v>55</v>
      </c>
      <c r="B223" s="100" t="s">
        <v>208</v>
      </c>
      <c r="C223" s="100"/>
      <c r="D223" s="100"/>
      <c r="E223" s="88"/>
      <c r="F223" s="88"/>
      <c r="G223" s="622"/>
      <c r="H223" s="89"/>
      <c r="I223" s="863"/>
      <c r="J223" s="863"/>
      <c r="K223" s="91" t="s">
        <v>55</v>
      </c>
      <c r="L223" s="100" t="s">
        <v>208</v>
      </c>
      <c r="M223" s="100"/>
      <c r="N223" s="100"/>
      <c r="O223" s="88"/>
      <c r="P223" s="88"/>
      <c r="Q223" s="622"/>
      <c r="R223" s="89"/>
      <c r="S223" s="863"/>
      <c r="T223" s="863"/>
      <c r="U223" s="88"/>
      <c r="V223" s="88"/>
      <c r="W223" s="865"/>
      <c r="X223" s="865"/>
    </row>
    <row r="224" spans="1:24" s="13" customFormat="1" ht="14.25" x14ac:dyDescent="0.2">
      <c r="A224" s="119" t="s">
        <v>56</v>
      </c>
      <c r="B224" s="125" t="s">
        <v>209</v>
      </c>
      <c r="C224" s="125"/>
      <c r="D224" s="125"/>
      <c r="E224" s="114"/>
      <c r="F224" s="114"/>
      <c r="G224" s="623"/>
      <c r="H224" s="93"/>
      <c r="I224" s="863"/>
      <c r="J224" s="863"/>
      <c r="K224" s="119" t="s">
        <v>56</v>
      </c>
      <c r="L224" s="125" t="s">
        <v>209</v>
      </c>
      <c r="M224" s="125"/>
      <c r="N224" s="125"/>
      <c r="O224" s="114"/>
      <c r="P224" s="114"/>
      <c r="Q224" s="623"/>
      <c r="R224" s="93"/>
      <c r="S224" s="863"/>
      <c r="T224" s="863"/>
      <c r="U224" s="114"/>
      <c r="V224" s="114"/>
      <c r="W224" s="866"/>
      <c r="X224" s="866"/>
    </row>
    <row r="225" spans="1:24" s="13" customFormat="1" ht="14.25" x14ac:dyDescent="0.2">
      <c r="A225" s="94"/>
      <c r="B225" s="95"/>
      <c r="C225" s="95"/>
      <c r="D225" s="95"/>
      <c r="E225" s="96"/>
      <c r="F225" s="96"/>
      <c r="G225" s="624"/>
      <c r="H225" s="95"/>
      <c r="I225" s="863"/>
      <c r="J225" s="863"/>
      <c r="K225" s="94"/>
      <c r="L225" s="95"/>
      <c r="M225" s="95"/>
      <c r="N225" s="95"/>
      <c r="O225" s="96"/>
      <c r="P225" s="96"/>
      <c r="Q225" s="624"/>
      <c r="R225" s="95"/>
      <c r="S225" s="863"/>
      <c r="T225" s="863"/>
      <c r="U225" s="96"/>
      <c r="V225" s="96"/>
      <c r="W225" s="863"/>
      <c r="X225" s="863"/>
    </row>
    <row r="226" spans="1:24" s="13" customFormat="1" ht="14.25" x14ac:dyDescent="0.2">
      <c r="A226" s="128"/>
      <c r="B226" s="129" t="s">
        <v>0</v>
      </c>
      <c r="C226" s="129"/>
      <c r="D226" s="129"/>
      <c r="E226" s="130">
        <f>E189+E192+E196+E204+E209+E218+E221</f>
        <v>0.8650000000000001</v>
      </c>
      <c r="F226" s="130">
        <f>F189+F192+F196+F204+F209+F218+F221</f>
        <v>0.8650000000000001</v>
      </c>
      <c r="G226" s="625">
        <f>G189+G192+G196+G204+G209+G218+G221</f>
        <v>0</v>
      </c>
      <c r="H226" s="131">
        <f>H189+H192+H196+H204+H209+H218+H221</f>
        <v>0</v>
      </c>
      <c r="I226" s="127">
        <f>IFERROR(H226/$D$37,0)</f>
        <v>0</v>
      </c>
      <c r="J226" s="863"/>
      <c r="K226" s="128"/>
      <c r="L226" s="129" t="s">
        <v>0</v>
      </c>
      <c r="M226" s="129"/>
      <c r="N226" s="129"/>
      <c r="O226" s="130">
        <f>O189+O192+O196+O204+O209+O218+O221</f>
        <v>0.13500000000000001</v>
      </c>
      <c r="P226" s="130">
        <f>P189+P192+P196+P204+P209+P218+P221</f>
        <v>0.13500000000000001</v>
      </c>
      <c r="Q226" s="625">
        <f>Q189+Q192+Q196+Q204+Q209+Q218+Q221</f>
        <v>0</v>
      </c>
      <c r="R226" s="131">
        <f>R189+R192+R196+R204+R209+R218+R221</f>
        <v>0</v>
      </c>
      <c r="S226" s="127">
        <f>IFERROR(R226/$D$37,0)</f>
        <v>0</v>
      </c>
      <c r="T226" s="863"/>
      <c r="U226" s="130">
        <f>U189+U192+U196+U204+U209+U218+U221</f>
        <v>1.0000000000000002</v>
      </c>
      <c r="V226" s="130">
        <f>V189+V192+V196+V204+V209+V218+V221</f>
        <v>1.0000000000000002</v>
      </c>
      <c r="W226" s="625">
        <f>W189+W192+W196+W204+W209+W218+W221</f>
        <v>0</v>
      </c>
      <c r="X226" s="131">
        <f>X189+X192+X196+X204+X209+X218+X221</f>
        <v>0</v>
      </c>
    </row>
    <row r="227" spans="1:24" s="13" customFormat="1" ht="14.25" x14ac:dyDescent="0.2">
      <c r="A227" s="29"/>
      <c r="B227" s="126"/>
      <c r="E227" s="30"/>
      <c r="G227" s="30"/>
    </row>
    <row r="228" spans="1:24" s="13" customFormat="1" ht="14.25" x14ac:dyDescent="0.2">
      <c r="A228" s="29"/>
      <c r="B228" s="126"/>
      <c r="E228" s="30"/>
      <c r="G228" s="30"/>
      <c r="H228" s="127"/>
    </row>
    <row r="229" spans="1:24" s="489" customFormat="1" x14ac:dyDescent="0.2">
      <c r="A229"/>
      <c r="B229"/>
      <c r="C229"/>
      <c r="D229"/>
      <c r="E229"/>
      <c r="F229"/>
      <c r="G229"/>
      <c r="H229" s="663"/>
      <c r="I229"/>
      <c r="J229"/>
      <c r="K229"/>
      <c r="L229"/>
      <c r="M229"/>
      <c r="N229"/>
      <c r="O229"/>
      <c r="P229"/>
      <c r="Q229"/>
      <c r="R229"/>
      <c r="S229"/>
    </row>
    <row r="230" spans="1:24" s="489" customFormat="1" x14ac:dyDescent="0.2">
      <c r="A230"/>
      <c r="B230"/>
      <c r="C230"/>
      <c r="D230"/>
      <c r="E230"/>
      <c r="F230"/>
      <c r="G230"/>
      <c r="H230" s="663"/>
      <c r="I230"/>
      <c r="J230"/>
      <c r="K230"/>
      <c r="L230"/>
      <c r="M230"/>
      <c r="N230"/>
      <c r="O230"/>
      <c r="P230"/>
      <c r="Q230"/>
      <c r="R230"/>
      <c r="S230"/>
    </row>
    <row r="231" spans="1:24" s="489" customFormat="1" x14ac:dyDescent="0.2">
      <c r="A231"/>
      <c r="B231"/>
      <c r="C231"/>
      <c r="D231"/>
      <c r="E231"/>
      <c r="F231"/>
      <c r="G231"/>
      <c r="H231" s="663"/>
      <c r="I231"/>
      <c r="J231" s="663"/>
      <c r="K231"/>
      <c r="L231"/>
      <c r="M231"/>
      <c r="N231"/>
      <c r="O231"/>
      <c r="P231"/>
      <c r="Q231"/>
      <c r="R231"/>
      <c r="S231"/>
    </row>
    <row r="234" spans="1:24" x14ac:dyDescent="0.2">
      <c r="J234" s="663"/>
    </row>
    <row r="235" spans="1:24" x14ac:dyDescent="0.2">
      <c r="N235" s="667"/>
    </row>
  </sheetData>
  <sheetProtection algorithmName="SHA-512" hashValue="3fvIkj+uwqwgJsuc1/acwyKhWwL5N5jJDiDFLTDliod0gKNm7Te/2+Qo2/j13bSIlkM1RFKyI5tZejZMF4xkTQ==" saltValue="wV1A+RduCP0GLbfm52DrVw==" spinCount="100000" sheet="1" objects="1" scenarios="1"/>
  <mergeCells count="1">
    <mergeCell ref="B4:B5"/>
  </mergeCell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NAVODILA</vt:lpstr>
      <vt:lpstr>OSNOVNI PODATKI</vt:lpstr>
      <vt:lpstr>CENOVNI RAZREDI</vt:lpstr>
      <vt:lpstr>ARHIGRAM 6</vt:lpstr>
      <vt:lpstr>OSNOVNE STORITVE</vt:lpstr>
      <vt:lpstr>POSEBNE STORITVE</vt:lpstr>
      <vt:lpstr>VREDNOST NU</vt:lpstr>
      <vt:lpstr>STAVBE</vt:lpstr>
      <vt:lpstr>NOTRANJA OPREMA</vt:lpstr>
      <vt:lpstr>ODPRTI PROSTOR</vt:lpstr>
      <vt:lpstr>GRADBENE KONSTRUKCIJE</vt:lpstr>
      <vt:lpstr>TEHNIČNA OPREMA</vt:lpstr>
      <vt:lpstr>POŽARNA VARNOST</vt:lpstr>
      <vt:lpstr>GRADBENA FIZIKA</vt:lpstr>
      <vt:lpstr>'OSNOVNI PODATKI'!Print_Area</vt:lpstr>
    </vt:vector>
  </TitlesOfParts>
  <Company>Poljanska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Mima Suhadolc</dc:creator>
  <cp:keywords>ZAPS</cp:keywords>
  <cp:lastModifiedBy>Mima Suhadolc</cp:lastModifiedBy>
  <cp:lastPrinted>2023-05-30T16:48:41Z</cp:lastPrinted>
  <dcterms:created xsi:type="dcterms:W3CDTF">2005-12-03T10:02:57Z</dcterms:created>
  <dcterms:modified xsi:type="dcterms:W3CDTF">2023-07-18T08:41:52Z</dcterms:modified>
</cp:coreProperties>
</file>