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C:\Dropbox\0 ZAPS\STANDARD ZAPS\02 VREDNOTENJE\ARHIGRAM 6\"/>
    </mc:Choice>
  </mc:AlternateContent>
  <xr:revisionPtr revIDLastSave="0" documentId="13_ncr:1_{797FE117-C798-4AD5-9328-18AE6BCEA934}" xr6:coauthVersionLast="47" xr6:coauthVersionMax="47" xr10:uidLastSave="{00000000-0000-0000-0000-000000000000}"/>
  <bookViews>
    <workbookView xWindow="-120" yWindow="-120" windowWidth="38640" windowHeight="21840" xr2:uid="{37C3ADB0-BF22-4E00-B8AC-09877745A2C0}"/>
  </bookViews>
  <sheets>
    <sheet name="NAVODILA" sheetId="42" r:id="rId1"/>
    <sheet name="OSNOVNI PODATKI" sheetId="55" r:id="rId2"/>
    <sheet name="CENOVNI RAZREDI" sheetId="49" r:id="rId3"/>
    <sheet name="ARHIGRAM 6" sheetId="17" r:id="rId4"/>
    <sheet name="OSNOVNE STORITVE" sheetId="56" r:id="rId5"/>
    <sheet name="POSEBNE STORITVE" sheetId="57" r:id="rId6"/>
    <sheet name="VREDNOST NU" sheetId="7" r:id="rId7"/>
    <sheet name="STAVBE" sheetId="54" r:id="rId8"/>
    <sheet name="NOTRANJA OPREMA" sheetId="58" r:id="rId9"/>
    <sheet name="ODPRTI PROSTOR" sheetId="32" r:id="rId10"/>
    <sheet name="GRADBENE KONSTRUKCIJE" sheetId="33" r:id="rId11"/>
    <sheet name="TEHNIČNA OPREMA" sheetId="34" r:id="rId12"/>
    <sheet name="POŽARNA VARNOST" sheetId="50" r:id="rId13"/>
    <sheet name="GRADBENA FIZIKA" sheetId="48" r:id="rId14"/>
  </sheets>
  <definedNames>
    <definedName name="ARHINST" localSheetId="3">#REF!</definedName>
    <definedName name="ARHINST" localSheetId="0">#REF!</definedName>
    <definedName name="ARHINST" localSheetId="4">#REF!</definedName>
    <definedName name="ARHINST" localSheetId="1">#REF!</definedName>
    <definedName name="ARHINST" localSheetId="5">#REF!</definedName>
    <definedName name="ARHINST">#REF!</definedName>
    <definedName name="Cenovni_razred">#REF!</definedName>
    <definedName name="DANE" localSheetId="0">#REF!</definedName>
    <definedName name="DANE">#REF!</definedName>
    <definedName name="FAZE" localSheetId="3">#REF!</definedName>
    <definedName name="FAZE" localSheetId="0">#REF!</definedName>
    <definedName name="FAZE" localSheetId="4">#REF!</definedName>
    <definedName name="FAZE" localSheetId="1">#REF!</definedName>
    <definedName name="FAZE" localSheetId="5">#REF!</definedName>
    <definedName name="FAZE">#REF!</definedName>
    <definedName name="KONS" localSheetId="3">#REF!</definedName>
    <definedName name="KONS" localSheetId="0">#REF!</definedName>
    <definedName name="KONS" localSheetId="4">#REF!</definedName>
    <definedName name="KONS" localSheetId="1">#REF!</definedName>
    <definedName name="KONS" localSheetId="5">#REF!</definedName>
    <definedName name="KONS">#REF!</definedName>
    <definedName name="NOPREMA" localSheetId="0">#REF!</definedName>
    <definedName name="NOPREMA">#REF!</definedName>
    <definedName name="OBJEKT" localSheetId="3">#REF!</definedName>
    <definedName name="OBJEKT" localSheetId="0">#REF!</definedName>
    <definedName name="OBJEKT" localSheetId="4">#REF!</definedName>
    <definedName name="OBJEKT" localSheetId="1">#REF!</definedName>
    <definedName name="OBJEKT" localSheetId="5">#REF!</definedName>
    <definedName name="OBJEKT">#REF!</definedName>
    <definedName name="OPREMA" localSheetId="3">#REF!</definedName>
    <definedName name="OPREMA" localSheetId="0">#REF!</definedName>
    <definedName name="OPREMA" localSheetId="4">#REF!</definedName>
    <definedName name="OPREMA" localSheetId="1">#REF!</definedName>
    <definedName name="OPREMA" localSheetId="5">#REF!</definedName>
    <definedName name="OPREMA">#REF!</definedName>
    <definedName name="PID" localSheetId="3">#REF!</definedName>
    <definedName name="PID" localSheetId="0">#REF!</definedName>
    <definedName name="PID" localSheetId="4">#REF!</definedName>
    <definedName name="PID" localSheetId="1">#REF!</definedName>
    <definedName name="PID" localSheetId="5">#REF!</definedName>
    <definedName name="PID">#REF!</definedName>
    <definedName name="POVRŠINE" localSheetId="0">#REF!</definedName>
    <definedName name="POVRŠINE">#REF!</definedName>
    <definedName name="_xlnm.Print_Area" localSheetId="1">'OSNOVNI PODATKI'!$A$1:$F$357</definedName>
    <definedName name="RAZREDARH" localSheetId="0">#REF!</definedName>
    <definedName name="RAZREDARH">#REF!</definedName>
    <definedName name="RAZREDIARH" localSheetId="0">#REF!</definedName>
    <definedName name="RAZREDIARH">#REF!</definedName>
    <definedName name="RAZREDIKONS" localSheetId="0">#REF!</definedName>
    <definedName name="RAZREDIKONS">#REF!</definedName>
    <definedName name="RAZREDKONS" localSheetId="0">#REF!</definedName>
    <definedName name="RAZREDKONS">#REF!</definedName>
    <definedName name="STAVBA" localSheetId="0">#REF!</definedName>
    <definedName name="STAVBA">#REF!</definedName>
    <definedName name="TEH" localSheetId="3">#REF!</definedName>
    <definedName name="TEH" localSheetId="13">#REF!</definedName>
    <definedName name="TEH" localSheetId="10">#REF!</definedName>
    <definedName name="TEH" localSheetId="0">#REF!</definedName>
    <definedName name="TEH" localSheetId="4">#REF!</definedName>
    <definedName name="TEH" localSheetId="1">#REF!</definedName>
    <definedName name="TEH" localSheetId="5">#REF!</definedName>
    <definedName name="TEH" localSheetId="12">#REF!</definedName>
    <definedName name="TEH" localSheetId="11">#REF!</definedName>
    <definedName name="TEH">#REF!</definedName>
    <definedName name="ZUNANJA" localSheetId="3">#REF!</definedName>
    <definedName name="ZUNANJA" localSheetId="0">#REF!</definedName>
    <definedName name="ZUNANJA" localSheetId="4">#REF!</definedName>
    <definedName name="ZUNANJA" localSheetId="1">#REF!</definedName>
    <definedName name="ZUNANJA" localSheetId="5">#REF!</definedName>
    <definedName name="ZUNANJ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2" l="1"/>
  <c r="H201" i="17" l="1"/>
  <c r="H193" i="17"/>
  <c r="H172" i="17"/>
  <c r="H156" i="17"/>
  <c r="H149" i="17"/>
  <c r="H123" i="17"/>
  <c r="H114" i="17"/>
  <c r="H25" i="17"/>
  <c r="E253" i="48" l="1"/>
  <c r="E247" i="48"/>
  <c r="E244" i="48"/>
  <c r="E238" i="48"/>
  <c r="E234" i="48"/>
  <c r="H233" i="48"/>
  <c r="H232" i="48"/>
  <c r="F227" i="48"/>
  <c r="F239" i="48" s="1"/>
  <c r="B227" i="48"/>
  <c r="F225" i="48"/>
  <c r="E208" i="48"/>
  <c r="E202" i="48"/>
  <c r="E199" i="48"/>
  <c r="E193" i="48"/>
  <c r="E189" i="48"/>
  <c r="H188" i="48"/>
  <c r="H187" i="48"/>
  <c r="F182" i="48"/>
  <c r="F201" i="48" s="1"/>
  <c r="B182" i="48"/>
  <c r="F180" i="48"/>
  <c r="H163" i="48"/>
  <c r="G163" i="48"/>
  <c r="F163" i="48"/>
  <c r="E163" i="48"/>
  <c r="E157" i="48"/>
  <c r="H154" i="48"/>
  <c r="G154" i="48"/>
  <c r="F154" i="48"/>
  <c r="E154" i="48"/>
  <c r="E148" i="48"/>
  <c r="E144" i="48"/>
  <c r="F136" i="48"/>
  <c r="F162" i="48" s="1"/>
  <c r="F157" i="48" s="1"/>
  <c r="B136" i="48"/>
  <c r="F134" i="48"/>
  <c r="B117" i="48"/>
  <c r="B116" i="48"/>
  <c r="B115" i="48"/>
  <c r="B114" i="48"/>
  <c r="K107" i="48"/>
  <c r="G107" i="48"/>
  <c r="C103" i="48"/>
  <c r="C102" i="48"/>
  <c r="C101" i="48"/>
  <c r="B101" i="48"/>
  <c r="B94" i="48"/>
  <c r="B93" i="48"/>
  <c r="B92" i="48"/>
  <c r="B91" i="48"/>
  <c r="K84" i="48"/>
  <c r="G84" i="48"/>
  <c r="C80" i="48"/>
  <c r="C79" i="48"/>
  <c r="C78" i="48"/>
  <c r="B78" i="48"/>
  <c r="B71" i="48"/>
  <c r="B70" i="48"/>
  <c r="B69" i="48"/>
  <c r="B68" i="48"/>
  <c r="K61" i="48"/>
  <c r="G61" i="48"/>
  <c r="C57" i="48"/>
  <c r="C56" i="48"/>
  <c r="C55" i="48"/>
  <c r="B55" i="48"/>
  <c r="B48" i="48"/>
  <c r="B47" i="48"/>
  <c r="B46" i="48"/>
  <c r="B45" i="48"/>
  <c r="K38" i="48"/>
  <c r="G38" i="48"/>
  <c r="C34" i="48"/>
  <c r="C33" i="48"/>
  <c r="C32" i="48"/>
  <c r="B32" i="48"/>
  <c r="B25" i="48"/>
  <c r="B24" i="48"/>
  <c r="B23" i="48"/>
  <c r="B22" i="48"/>
  <c r="K15" i="48"/>
  <c r="G15" i="48"/>
  <c r="C11" i="48"/>
  <c r="C10" i="48"/>
  <c r="C9" i="48"/>
  <c r="B9" i="48"/>
  <c r="C6" i="48"/>
  <c r="D6" i="48" s="1"/>
  <c r="H173" i="50"/>
  <c r="G173" i="50"/>
  <c r="F173" i="50"/>
  <c r="E173" i="50"/>
  <c r="E167" i="50"/>
  <c r="H164" i="50"/>
  <c r="G164" i="50"/>
  <c r="F164" i="50"/>
  <c r="E164" i="50"/>
  <c r="E158" i="50"/>
  <c r="E154" i="50"/>
  <c r="H153" i="50"/>
  <c r="H152" i="50"/>
  <c r="F144" i="50"/>
  <c r="F162" i="50" s="1"/>
  <c r="B144" i="50"/>
  <c r="F142" i="50"/>
  <c r="B116" i="50"/>
  <c r="B115" i="50"/>
  <c r="B114" i="50"/>
  <c r="B113" i="50"/>
  <c r="C106" i="50"/>
  <c r="C102" i="50"/>
  <c r="C101" i="50"/>
  <c r="C100" i="50"/>
  <c r="B100" i="50"/>
  <c r="B93" i="50"/>
  <c r="B92" i="50"/>
  <c r="B91" i="50"/>
  <c r="B90" i="50"/>
  <c r="C83" i="50"/>
  <c r="C79" i="50"/>
  <c r="C78" i="50"/>
  <c r="C77" i="50"/>
  <c r="B77" i="50"/>
  <c r="B70" i="50"/>
  <c r="B69" i="50"/>
  <c r="B68" i="50"/>
  <c r="B67" i="50"/>
  <c r="C60" i="50"/>
  <c r="C56" i="50"/>
  <c r="C55" i="50"/>
  <c r="C54" i="50"/>
  <c r="B54" i="50"/>
  <c r="B47" i="50"/>
  <c r="B46" i="50"/>
  <c r="B45" i="50"/>
  <c r="B44" i="50"/>
  <c r="C37" i="50"/>
  <c r="C33" i="50"/>
  <c r="C32" i="50"/>
  <c r="C31" i="50"/>
  <c r="B31" i="50"/>
  <c r="B24" i="50"/>
  <c r="B23" i="50"/>
  <c r="B22" i="50"/>
  <c r="B21" i="50"/>
  <c r="C14" i="50"/>
  <c r="C10" i="50"/>
  <c r="C9" i="50"/>
  <c r="C8" i="50"/>
  <c r="B8" i="50"/>
  <c r="C5" i="50"/>
  <c r="D5" i="50" s="1"/>
  <c r="E262" i="34"/>
  <c r="E253" i="34"/>
  <c r="E250" i="34"/>
  <c r="E243" i="34"/>
  <c r="E239" i="34"/>
  <c r="H238" i="34"/>
  <c r="H237" i="34"/>
  <c r="F232" i="34"/>
  <c r="B232" i="34"/>
  <c r="F231" i="34"/>
  <c r="F264" i="34" s="1"/>
  <c r="B231" i="34"/>
  <c r="F229" i="34"/>
  <c r="E214" i="34"/>
  <c r="E205" i="34"/>
  <c r="E202" i="34"/>
  <c r="E195" i="34"/>
  <c r="E191" i="34"/>
  <c r="H190" i="34"/>
  <c r="H189" i="34"/>
  <c r="F182" i="34"/>
  <c r="B182" i="34"/>
  <c r="F181" i="34"/>
  <c r="B181" i="34"/>
  <c r="F180" i="34"/>
  <c r="B180" i="34"/>
  <c r="F178" i="34"/>
  <c r="F165" i="34"/>
  <c r="F164" i="34"/>
  <c r="E163" i="34"/>
  <c r="E154" i="34"/>
  <c r="E151" i="34"/>
  <c r="E144" i="34"/>
  <c r="E140" i="34"/>
  <c r="H139" i="34"/>
  <c r="H138" i="34"/>
  <c r="G131" i="34"/>
  <c r="G182" i="34" s="1"/>
  <c r="G232" i="34" s="1"/>
  <c r="F131" i="34"/>
  <c r="B131" i="34"/>
  <c r="G130" i="34"/>
  <c r="G181" i="34" s="1"/>
  <c r="F130" i="34"/>
  <c r="B130" i="34"/>
  <c r="G129" i="34"/>
  <c r="G180" i="34" s="1"/>
  <c r="G231" i="34" s="1"/>
  <c r="F129" i="34"/>
  <c r="F208" i="34" s="1"/>
  <c r="B129" i="34"/>
  <c r="F127" i="34"/>
  <c r="B116" i="34"/>
  <c r="B115" i="34"/>
  <c r="B114" i="34"/>
  <c r="B113" i="34"/>
  <c r="K106" i="34"/>
  <c r="G106" i="34"/>
  <c r="C106" i="34"/>
  <c r="C102" i="34"/>
  <c r="C101" i="34"/>
  <c r="C100" i="34"/>
  <c r="B100" i="34"/>
  <c r="B93" i="34"/>
  <c r="B92" i="34"/>
  <c r="B91" i="34"/>
  <c r="B90" i="34"/>
  <c r="K83" i="34"/>
  <c r="G83" i="34"/>
  <c r="C83" i="34"/>
  <c r="C79" i="34"/>
  <c r="C78" i="34"/>
  <c r="C77" i="34"/>
  <c r="B77" i="34"/>
  <c r="B70" i="34"/>
  <c r="B69" i="34"/>
  <c r="B68" i="34"/>
  <c r="B67" i="34"/>
  <c r="K60" i="34"/>
  <c r="G60" i="34"/>
  <c r="C60" i="34"/>
  <c r="C56" i="34"/>
  <c r="C55" i="34"/>
  <c r="C54" i="34"/>
  <c r="B54" i="34"/>
  <c r="B47" i="34"/>
  <c r="B46" i="34"/>
  <c r="B45" i="34"/>
  <c r="B44" i="34"/>
  <c r="K37" i="34"/>
  <c r="G37" i="34"/>
  <c r="C37" i="34"/>
  <c r="C33" i="34"/>
  <c r="C32" i="34"/>
  <c r="C31" i="34"/>
  <c r="B31" i="34"/>
  <c r="B24" i="34"/>
  <c r="B23" i="34"/>
  <c r="B22" i="34"/>
  <c r="B21" i="34"/>
  <c r="K14" i="34"/>
  <c r="G14" i="34"/>
  <c r="C14" i="34"/>
  <c r="C10" i="34"/>
  <c r="C9" i="34"/>
  <c r="C8" i="34"/>
  <c r="B8" i="34"/>
  <c r="C5" i="34"/>
  <c r="D5" i="34" s="1"/>
  <c r="H158" i="33"/>
  <c r="G158" i="33"/>
  <c r="F158" i="33"/>
  <c r="E158" i="33"/>
  <c r="H152" i="33"/>
  <c r="G152" i="33"/>
  <c r="F152" i="33"/>
  <c r="E152" i="33"/>
  <c r="H149" i="33"/>
  <c r="G149" i="33"/>
  <c r="F149" i="33"/>
  <c r="E149" i="33"/>
  <c r="E147" i="33"/>
  <c r="E139" i="33"/>
  <c r="H138" i="33"/>
  <c r="H137" i="33"/>
  <c r="G130" i="33"/>
  <c r="F130" i="33"/>
  <c r="B130" i="33"/>
  <c r="G129" i="33"/>
  <c r="F129" i="33"/>
  <c r="F145" i="33" s="1"/>
  <c r="B129" i="33"/>
  <c r="F127" i="33"/>
  <c r="B116" i="33"/>
  <c r="B115" i="33"/>
  <c r="B114" i="33"/>
  <c r="B113" i="33"/>
  <c r="C106" i="33"/>
  <c r="C102" i="33"/>
  <c r="C101" i="33"/>
  <c r="C100" i="33"/>
  <c r="B100" i="33"/>
  <c r="B93" i="33"/>
  <c r="B92" i="33"/>
  <c r="B91" i="33"/>
  <c r="B90" i="33"/>
  <c r="C83" i="33"/>
  <c r="C79" i="33"/>
  <c r="C78" i="33"/>
  <c r="C77" i="33"/>
  <c r="B77" i="33"/>
  <c r="B70" i="33"/>
  <c r="B69" i="33"/>
  <c r="B68" i="33"/>
  <c r="B67" i="33"/>
  <c r="C60" i="33"/>
  <c r="C56" i="33"/>
  <c r="C55" i="33"/>
  <c r="C54" i="33"/>
  <c r="B54" i="33"/>
  <c r="B47" i="33"/>
  <c r="B46" i="33"/>
  <c r="B45" i="33"/>
  <c r="B44" i="33"/>
  <c r="C37" i="33"/>
  <c r="C33" i="33"/>
  <c r="C32" i="33"/>
  <c r="C31" i="33"/>
  <c r="B31" i="33"/>
  <c r="B24" i="33"/>
  <c r="B23" i="33"/>
  <c r="B22" i="33"/>
  <c r="B21" i="33"/>
  <c r="C14" i="33"/>
  <c r="C10" i="33"/>
  <c r="C9" i="33"/>
  <c r="C8" i="33"/>
  <c r="B8" i="33"/>
  <c r="C5" i="33"/>
  <c r="D5" i="33" s="1"/>
  <c r="F192" i="32"/>
  <c r="E192" i="32"/>
  <c r="G191" i="32"/>
  <c r="G190" i="32"/>
  <c r="G189" i="32"/>
  <c r="G188" i="32"/>
  <c r="G187" i="32"/>
  <c r="K186" i="32"/>
  <c r="G186" i="32"/>
  <c r="K185" i="32"/>
  <c r="G185" i="32"/>
  <c r="K184" i="32"/>
  <c r="G184" i="32"/>
  <c r="C184" i="32"/>
  <c r="J183" i="32"/>
  <c r="I183" i="32"/>
  <c r="U169" i="32"/>
  <c r="U167" i="32" s="1"/>
  <c r="F169" i="32"/>
  <c r="U168" i="32"/>
  <c r="F168" i="32"/>
  <c r="O167" i="32"/>
  <c r="E167" i="32"/>
  <c r="U166" i="32"/>
  <c r="U165" i="32"/>
  <c r="U164" i="32"/>
  <c r="U163" i="32"/>
  <c r="U162" i="32"/>
  <c r="U161" i="32"/>
  <c r="U160" i="32"/>
  <c r="U159" i="32"/>
  <c r="O158" i="32"/>
  <c r="E158" i="32"/>
  <c r="U157" i="32"/>
  <c r="U156" i="32"/>
  <c r="U155" i="32"/>
  <c r="U154" i="32"/>
  <c r="O153" i="32"/>
  <c r="E153" i="32"/>
  <c r="U152" i="32"/>
  <c r="U151" i="32"/>
  <c r="U150" i="32"/>
  <c r="U149" i="32"/>
  <c r="U148" i="32"/>
  <c r="U147" i="32"/>
  <c r="U146" i="32"/>
  <c r="W145" i="32"/>
  <c r="V145" i="32"/>
  <c r="U145" i="32"/>
  <c r="U144" i="32"/>
  <c r="U143" i="32"/>
  <c r="O142" i="32"/>
  <c r="E142" i="32"/>
  <c r="U141" i="32"/>
  <c r="U140" i="32"/>
  <c r="U139" i="32"/>
  <c r="O138" i="32"/>
  <c r="E138" i="32"/>
  <c r="F131" i="32"/>
  <c r="G130" i="32"/>
  <c r="F130" i="32"/>
  <c r="P147" i="32" s="1"/>
  <c r="V147" i="32" s="1"/>
  <c r="B130" i="32"/>
  <c r="G129" i="32"/>
  <c r="F129" i="32"/>
  <c r="F165" i="32" s="1"/>
  <c r="B129" i="32"/>
  <c r="F127" i="32"/>
  <c r="H141" i="32" s="1"/>
  <c r="C90" i="32"/>
  <c r="C86" i="32"/>
  <c r="C85" i="32"/>
  <c r="C84" i="32"/>
  <c r="B84" i="32"/>
  <c r="C71" i="32"/>
  <c r="C67" i="32"/>
  <c r="C66" i="32"/>
  <c r="C65" i="32"/>
  <c r="B65" i="32"/>
  <c r="C52" i="32"/>
  <c r="C48" i="32"/>
  <c r="C47" i="32"/>
  <c r="C46" i="32"/>
  <c r="B46" i="32"/>
  <c r="C33" i="32"/>
  <c r="C29" i="32"/>
  <c r="C28" i="32"/>
  <c r="C27" i="32"/>
  <c r="B27" i="32"/>
  <c r="C14" i="32"/>
  <c r="C10" i="32"/>
  <c r="C9" i="32"/>
  <c r="C8" i="32"/>
  <c r="B8" i="32"/>
  <c r="C5" i="32"/>
  <c r="D5" i="32" s="1"/>
  <c r="U221" i="58"/>
  <c r="P221" i="58"/>
  <c r="O221" i="58"/>
  <c r="E221" i="58"/>
  <c r="V215" i="58"/>
  <c r="U215" i="58"/>
  <c r="P215" i="58"/>
  <c r="F215" i="58"/>
  <c r="V214" i="58"/>
  <c r="U214" i="58"/>
  <c r="P214" i="58"/>
  <c r="F214" i="58"/>
  <c r="V213" i="58"/>
  <c r="U213" i="58"/>
  <c r="P213" i="58"/>
  <c r="O213" i="58"/>
  <c r="F213" i="58"/>
  <c r="E213" i="58"/>
  <c r="U212" i="58"/>
  <c r="P212" i="58"/>
  <c r="U211" i="58"/>
  <c r="P211" i="58"/>
  <c r="U210" i="58"/>
  <c r="P210" i="58"/>
  <c r="V209" i="58"/>
  <c r="U209" i="58"/>
  <c r="V208" i="58"/>
  <c r="U208" i="58"/>
  <c r="U207" i="58"/>
  <c r="P207" i="58"/>
  <c r="U206" i="58"/>
  <c r="P206" i="58"/>
  <c r="V205" i="58"/>
  <c r="U205" i="58"/>
  <c r="P205" i="58"/>
  <c r="U204" i="58"/>
  <c r="P204" i="58"/>
  <c r="O204" i="58"/>
  <c r="E204" i="58"/>
  <c r="V203" i="58"/>
  <c r="U203" i="58"/>
  <c r="P203" i="58"/>
  <c r="U202" i="58"/>
  <c r="P202" i="58"/>
  <c r="V201" i="58"/>
  <c r="U201" i="58"/>
  <c r="P201" i="58"/>
  <c r="U200" i="58"/>
  <c r="P200" i="58"/>
  <c r="U199" i="58"/>
  <c r="P199" i="58"/>
  <c r="O199" i="58"/>
  <c r="E199" i="58"/>
  <c r="V198" i="58"/>
  <c r="U198" i="58"/>
  <c r="P198" i="58"/>
  <c r="U197" i="58"/>
  <c r="U196" i="58"/>
  <c r="P196" i="58"/>
  <c r="U195" i="58"/>
  <c r="P195" i="58"/>
  <c r="X194" i="58"/>
  <c r="W194" i="58"/>
  <c r="V194" i="58"/>
  <c r="U194" i="58"/>
  <c r="U193" i="58"/>
  <c r="P193" i="58"/>
  <c r="U192" i="58"/>
  <c r="P192" i="58"/>
  <c r="U191" i="58"/>
  <c r="P191" i="58"/>
  <c r="O191" i="58"/>
  <c r="E191" i="58"/>
  <c r="V190" i="58"/>
  <c r="U190" i="58"/>
  <c r="P190" i="58"/>
  <c r="U189" i="58"/>
  <c r="P189" i="58"/>
  <c r="U188" i="58"/>
  <c r="P188" i="58"/>
  <c r="U187" i="58"/>
  <c r="P187" i="58"/>
  <c r="O187" i="58"/>
  <c r="E187" i="58"/>
  <c r="F180" i="58"/>
  <c r="G179" i="58"/>
  <c r="F179" i="58"/>
  <c r="B179" i="58"/>
  <c r="G178" i="58"/>
  <c r="F178" i="58"/>
  <c r="F202" i="58" s="1"/>
  <c r="V202" i="58" s="1"/>
  <c r="B178" i="58"/>
  <c r="F176" i="58"/>
  <c r="H205" i="58" s="1"/>
  <c r="F150" i="58"/>
  <c r="F151" i="58" s="1"/>
  <c r="F152" i="58" s="1"/>
  <c r="F147" i="58"/>
  <c r="F146" i="58"/>
  <c r="C145" i="58"/>
  <c r="C144" i="58"/>
  <c r="B144" i="58"/>
  <c r="F124" i="58"/>
  <c r="F125" i="58" s="1"/>
  <c r="F126" i="58" s="1"/>
  <c r="F121" i="58"/>
  <c r="F120" i="58"/>
  <c r="C119" i="58"/>
  <c r="C118" i="58"/>
  <c r="B118" i="58"/>
  <c r="F98" i="58"/>
  <c r="F99" i="58" s="1"/>
  <c r="F100" i="58" s="1"/>
  <c r="F95" i="58"/>
  <c r="F94" i="58"/>
  <c r="C93" i="58"/>
  <c r="C92" i="58"/>
  <c r="B92" i="58"/>
  <c r="F72" i="58"/>
  <c r="F73" i="58" s="1"/>
  <c r="F74" i="58" s="1"/>
  <c r="F69" i="58"/>
  <c r="F68" i="58"/>
  <c r="C67" i="58"/>
  <c r="C66" i="58"/>
  <c r="B66" i="58"/>
  <c r="F46" i="58"/>
  <c r="F47" i="58" s="1"/>
  <c r="F48" i="58" s="1"/>
  <c r="F43" i="58"/>
  <c r="F42" i="58"/>
  <c r="C41" i="58"/>
  <c r="C40" i="58"/>
  <c r="B40" i="58"/>
  <c r="C36" i="58"/>
  <c r="D36" i="58" s="1"/>
  <c r="U169" i="54"/>
  <c r="F169" i="54"/>
  <c r="U168" i="54"/>
  <c r="F168" i="54"/>
  <c r="O167" i="54"/>
  <c r="E167" i="54"/>
  <c r="U166" i="54"/>
  <c r="U165" i="54"/>
  <c r="U164" i="54"/>
  <c r="U163" i="54"/>
  <c r="U162" i="54"/>
  <c r="U161" i="54"/>
  <c r="U160" i="54"/>
  <c r="U159" i="54"/>
  <c r="O158" i="54"/>
  <c r="E158" i="54"/>
  <c r="U157" i="54"/>
  <c r="U156" i="54"/>
  <c r="U155" i="54"/>
  <c r="U154" i="54"/>
  <c r="O153" i="54"/>
  <c r="E153" i="54"/>
  <c r="U152" i="54"/>
  <c r="U151" i="54"/>
  <c r="U150" i="54"/>
  <c r="U149" i="54"/>
  <c r="U148" i="54"/>
  <c r="U147" i="54"/>
  <c r="U146" i="54"/>
  <c r="U144" i="54"/>
  <c r="U143" i="54"/>
  <c r="O142" i="54"/>
  <c r="E142" i="54"/>
  <c r="U141" i="54"/>
  <c r="U140" i="54"/>
  <c r="U139" i="54"/>
  <c r="O138" i="54"/>
  <c r="E138" i="54"/>
  <c r="F131" i="54"/>
  <c r="G130" i="54"/>
  <c r="F130" i="54"/>
  <c r="P140" i="54" s="1"/>
  <c r="B130" i="54"/>
  <c r="G129" i="54"/>
  <c r="F129" i="54"/>
  <c r="F166" i="54" s="1"/>
  <c r="B129" i="54"/>
  <c r="F127" i="54"/>
  <c r="H159" i="54" s="1"/>
  <c r="B116" i="54"/>
  <c r="B115" i="54"/>
  <c r="B114" i="54"/>
  <c r="B113" i="54"/>
  <c r="C106" i="54"/>
  <c r="C102" i="54"/>
  <c r="C101" i="54"/>
  <c r="C100" i="54"/>
  <c r="B100" i="54"/>
  <c r="B93" i="54"/>
  <c r="B92" i="54"/>
  <c r="B91" i="54"/>
  <c r="B90" i="54"/>
  <c r="C83" i="54"/>
  <c r="C79" i="54"/>
  <c r="C78" i="54"/>
  <c r="C77" i="54"/>
  <c r="B77" i="54"/>
  <c r="B70" i="54"/>
  <c r="B69" i="54"/>
  <c r="B68" i="54"/>
  <c r="B67" i="54"/>
  <c r="C60" i="54"/>
  <c r="C56" i="54"/>
  <c r="C55" i="54"/>
  <c r="C54" i="54"/>
  <c r="B54" i="54"/>
  <c r="B47" i="54"/>
  <c r="B46" i="54"/>
  <c r="B45" i="54"/>
  <c r="B44" i="54"/>
  <c r="C37" i="54"/>
  <c r="C33" i="54"/>
  <c r="C32" i="54"/>
  <c r="C31" i="54"/>
  <c r="B31" i="54"/>
  <c r="B24" i="54"/>
  <c r="B23" i="54"/>
  <c r="B22" i="54"/>
  <c r="B21" i="54"/>
  <c r="C14" i="54"/>
  <c r="C10" i="54"/>
  <c r="C9" i="54"/>
  <c r="C8" i="54"/>
  <c r="B8" i="54"/>
  <c r="C5" i="54"/>
  <c r="D5" i="54" s="1"/>
  <c r="F84" i="7"/>
  <c r="F83" i="7"/>
  <c r="F79" i="7"/>
  <c r="D76" i="7"/>
  <c r="D74" i="7"/>
  <c r="C74" i="7"/>
  <c r="F73" i="7"/>
  <c r="D73" i="7"/>
  <c r="C73" i="7"/>
  <c r="D67" i="7"/>
  <c r="F65" i="7"/>
  <c r="D65" i="7"/>
  <c r="F63" i="7"/>
  <c r="D63" i="7"/>
  <c r="D41" i="7"/>
  <c r="F37" i="7"/>
  <c r="D37" i="7"/>
  <c r="C37" i="7"/>
  <c r="D35" i="7"/>
  <c r="C35" i="7"/>
  <c r="D33" i="7"/>
  <c r="D32" i="7"/>
  <c r="D31" i="7"/>
  <c r="C31" i="7"/>
  <c r="E30" i="7"/>
  <c r="D30" i="7"/>
  <c r="E29" i="7"/>
  <c r="D29" i="7"/>
  <c r="C29" i="7"/>
  <c r="E23" i="7"/>
  <c r="E22" i="7"/>
  <c r="D14" i="7"/>
  <c r="C14" i="7"/>
  <c r="D13" i="7"/>
  <c r="D12" i="7"/>
  <c r="F10" i="7"/>
  <c r="H91" i="57"/>
  <c r="G91" i="57"/>
  <c r="F91" i="57"/>
  <c r="E91" i="57"/>
  <c r="H88" i="57"/>
  <c r="G88" i="57"/>
  <c r="E88" i="57"/>
  <c r="H87" i="57"/>
  <c r="G87" i="57"/>
  <c r="E87" i="57"/>
  <c r="H85" i="57"/>
  <c r="G85" i="57"/>
  <c r="E85" i="57"/>
  <c r="H84" i="57"/>
  <c r="G84" i="57"/>
  <c r="E84" i="57"/>
  <c r="H82" i="57"/>
  <c r="G82" i="57"/>
  <c r="E82" i="57"/>
  <c r="H81" i="57"/>
  <c r="G81" i="57"/>
  <c r="E81" i="57"/>
  <c r="H78" i="57"/>
  <c r="G78" i="57"/>
  <c r="E78" i="57"/>
  <c r="H77" i="57"/>
  <c r="G77" i="57"/>
  <c r="E77" i="57"/>
  <c r="H75" i="57"/>
  <c r="G75" i="57"/>
  <c r="E75" i="57"/>
  <c r="H74" i="57"/>
  <c r="G74" i="57"/>
  <c r="E74" i="57"/>
  <c r="H71" i="57"/>
  <c r="G71" i="57"/>
  <c r="E71" i="57"/>
  <c r="H70" i="57"/>
  <c r="G70" i="57"/>
  <c r="E70" i="57"/>
  <c r="H69" i="57"/>
  <c r="G69" i="57"/>
  <c r="E69" i="57"/>
  <c r="H67" i="57"/>
  <c r="G67" i="57"/>
  <c r="E67" i="57"/>
  <c r="H66" i="57"/>
  <c r="G66" i="57"/>
  <c r="E66" i="57"/>
  <c r="H64" i="57"/>
  <c r="G64" i="57"/>
  <c r="E64" i="57"/>
  <c r="H63" i="57"/>
  <c r="G63" i="57"/>
  <c r="E63" i="57"/>
  <c r="H61" i="57"/>
  <c r="G61" i="57"/>
  <c r="E61" i="57"/>
  <c r="H60" i="57"/>
  <c r="G60" i="57"/>
  <c r="E60" i="57"/>
  <c r="H58" i="57"/>
  <c r="G58" i="57"/>
  <c r="E58" i="57"/>
  <c r="H57" i="57"/>
  <c r="G57" i="57"/>
  <c r="E57" i="57"/>
  <c r="H56" i="57"/>
  <c r="G56" i="57"/>
  <c r="E56" i="57"/>
  <c r="H53" i="57"/>
  <c r="G53" i="57"/>
  <c r="E53" i="57"/>
  <c r="H52" i="57"/>
  <c r="G52" i="57"/>
  <c r="E52" i="57"/>
  <c r="H50" i="57"/>
  <c r="G50" i="57"/>
  <c r="E50" i="57"/>
  <c r="H49" i="57"/>
  <c r="G49" i="57"/>
  <c r="E49" i="57"/>
  <c r="H46" i="57"/>
  <c r="G46" i="57"/>
  <c r="E46" i="57"/>
  <c r="H45" i="57"/>
  <c r="G45" i="57"/>
  <c r="E45" i="57"/>
  <c r="H44" i="57"/>
  <c r="G44" i="57"/>
  <c r="E44" i="57"/>
  <c r="H42" i="57"/>
  <c r="G42" i="57"/>
  <c r="E42" i="57"/>
  <c r="H41" i="57"/>
  <c r="G41" i="57"/>
  <c r="E41" i="57"/>
  <c r="H39" i="57"/>
  <c r="G39" i="57"/>
  <c r="E39" i="57"/>
  <c r="H38" i="57"/>
  <c r="G38" i="57"/>
  <c r="E38" i="57"/>
  <c r="H37" i="57"/>
  <c r="G37" i="57"/>
  <c r="E37" i="57"/>
  <c r="H35" i="57"/>
  <c r="G35" i="57"/>
  <c r="E35" i="57"/>
  <c r="H34" i="57"/>
  <c r="G34" i="57"/>
  <c r="E34" i="57"/>
  <c r="H32" i="57"/>
  <c r="G32" i="57"/>
  <c r="E32" i="57"/>
  <c r="H31" i="57"/>
  <c r="G31" i="57"/>
  <c r="E31" i="57"/>
  <c r="H28" i="57"/>
  <c r="G28" i="57"/>
  <c r="E28" i="57"/>
  <c r="H27" i="57"/>
  <c r="G27" i="57"/>
  <c r="E27" i="57"/>
  <c r="H25" i="57"/>
  <c r="G25" i="57"/>
  <c r="E25" i="57"/>
  <c r="H24" i="57"/>
  <c r="G24" i="57"/>
  <c r="E24" i="57"/>
  <c r="H22" i="57"/>
  <c r="G22" i="57"/>
  <c r="E22" i="57"/>
  <c r="H21" i="57"/>
  <c r="G21" i="57"/>
  <c r="E21" i="57"/>
  <c r="H18" i="57"/>
  <c r="G18" i="57"/>
  <c r="E18" i="57"/>
  <c r="H17" i="57"/>
  <c r="G17" i="57"/>
  <c r="E17" i="57"/>
  <c r="H15" i="57"/>
  <c r="G15" i="57"/>
  <c r="E15" i="57"/>
  <c r="H14" i="57"/>
  <c r="G14" i="57"/>
  <c r="E14" i="57"/>
  <c r="C5" i="57"/>
  <c r="D4" i="57"/>
  <c r="C4" i="57"/>
  <c r="D3" i="57"/>
  <c r="C3" i="57"/>
  <c r="D2" i="57"/>
  <c r="D1" i="57"/>
  <c r="C1" i="57"/>
  <c r="H55" i="56"/>
  <c r="G55" i="56"/>
  <c r="F55" i="56"/>
  <c r="E55" i="56"/>
  <c r="H53" i="56"/>
  <c r="G53" i="56"/>
  <c r="E53" i="56"/>
  <c r="H52" i="56"/>
  <c r="G52" i="56"/>
  <c r="E52" i="56"/>
  <c r="H51" i="56"/>
  <c r="G51" i="56"/>
  <c r="E51" i="56"/>
  <c r="H49" i="56"/>
  <c r="G49" i="56"/>
  <c r="E49" i="56"/>
  <c r="H48" i="56"/>
  <c r="G48" i="56"/>
  <c r="E48" i="56"/>
  <c r="H46" i="56"/>
  <c r="G46" i="56"/>
  <c r="E46" i="56"/>
  <c r="H44" i="56"/>
  <c r="G44" i="56"/>
  <c r="E44" i="56"/>
  <c r="H43" i="56"/>
  <c r="G43" i="56"/>
  <c r="E43" i="56"/>
  <c r="H42" i="56"/>
  <c r="G42" i="56"/>
  <c r="E42" i="56"/>
  <c r="H39" i="56"/>
  <c r="G39" i="56"/>
  <c r="E39" i="56"/>
  <c r="H38" i="56"/>
  <c r="G38" i="56"/>
  <c r="E38" i="56"/>
  <c r="H36" i="56"/>
  <c r="G36" i="56"/>
  <c r="E36" i="56"/>
  <c r="H35" i="56"/>
  <c r="G35" i="56"/>
  <c r="E35" i="56"/>
  <c r="H34" i="56"/>
  <c r="G34" i="56"/>
  <c r="E34" i="56"/>
  <c r="H33" i="56"/>
  <c r="G33" i="56"/>
  <c r="E33" i="56"/>
  <c r="H31" i="56"/>
  <c r="G31" i="56"/>
  <c r="E31" i="56"/>
  <c r="H30" i="56"/>
  <c r="G30" i="56"/>
  <c r="E30" i="56"/>
  <c r="H29" i="56"/>
  <c r="G29" i="56"/>
  <c r="E29" i="56"/>
  <c r="H28" i="56"/>
  <c r="G28" i="56"/>
  <c r="E28" i="56"/>
  <c r="H26" i="56"/>
  <c r="G26" i="56"/>
  <c r="E26" i="56"/>
  <c r="H25" i="56"/>
  <c r="G25" i="56"/>
  <c r="E25" i="56"/>
  <c r="H23" i="56"/>
  <c r="G23" i="56"/>
  <c r="E23" i="56"/>
  <c r="H21" i="56"/>
  <c r="G21" i="56"/>
  <c r="E21" i="56"/>
  <c r="H18" i="56"/>
  <c r="G18" i="56"/>
  <c r="E18" i="56"/>
  <c r="H17" i="56"/>
  <c r="G17" i="56"/>
  <c r="E17" i="56"/>
  <c r="H16" i="56"/>
  <c r="G16" i="56"/>
  <c r="E16" i="56"/>
  <c r="H14" i="56"/>
  <c r="G14" i="56"/>
  <c r="E14" i="56"/>
  <c r="H13" i="56"/>
  <c r="G13" i="56"/>
  <c r="E13" i="56"/>
  <c r="C5" i="56"/>
  <c r="D4" i="56"/>
  <c r="C4" i="56"/>
  <c r="D3" i="56"/>
  <c r="C3" i="56"/>
  <c r="D2" i="56"/>
  <c r="D1" i="56"/>
  <c r="C1" i="56"/>
  <c r="N230" i="17"/>
  <c r="M230" i="17"/>
  <c r="L230" i="17"/>
  <c r="K230" i="17"/>
  <c r="J230" i="17"/>
  <c r="I230" i="17"/>
  <c r="H230" i="17"/>
  <c r="G230" i="17"/>
  <c r="F230" i="17"/>
  <c r="F252" i="17" s="1"/>
  <c r="E230" i="17"/>
  <c r="E252" i="17" s="1"/>
  <c r="D230" i="17"/>
  <c r="D252" i="17" s="1"/>
  <c r="C230" i="17"/>
  <c r="H204" i="17"/>
  <c r="J247" i="17" s="1"/>
  <c r="H203" i="17"/>
  <c r="I247" i="17" s="1"/>
  <c r="H202" i="17"/>
  <c r="I202" i="17" s="1"/>
  <c r="H269" i="17" s="1"/>
  <c r="F247" i="17"/>
  <c r="H200" i="17"/>
  <c r="E247" i="17" s="1"/>
  <c r="H199" i="17"/>
  <c r="I199" i="17" s="1"/>
  <c r="D269" i="17" s="1"/>
  <c r="H198" i="17"/>
  <c r="C247" i="17" s="1"/>
  <c r="H196" i="17"/>
  <c r="I196" i="17" s="1"/>
  <c r="J268" i="17" s="1"/>
  <c r="H195" i="17"/>
  <c r="I195" i="17" s="1"/>
  <c r="I268" i="17" s="1"/>
  <c r="H194" i="17"/>
  <c r="I194" i="17" s="1"/>
  <c r="H268" i="17" s="1"/>
  <c r="F246" i="17"/>
  <c r="H192" i="17"/>
  <c r="I192" i="17" s="1"/>
  <c r="E268" i="17" s="1"/>
  <c r="H191" i="17"/>
  <c r="D246" i="17" s="1"/>
  <c r="H190" i="17"/>
  <c r="C246" i="17" s="1"/>
  <c r="H175" i="17"/>
  <c r="I175" i="17" s="1"/>
  <c r="H174" i="17"/>
  <c r="I174" i="17" s="1"/>
  <c r="H173" i="17"/>
  <c r="I173" i="17" s="1"/>
  <c r="I172" i="17"/>
  <c r="H171" i="17"/>
  <c r="I171" i="17" s="1"/>
  <c r="H170" i="17"/>
  <c r="I170" i="17" s="1"/>
  <c r="H169" i="17"/>
  <c r="I169" i="17" s="1"/>
  <c r="H159" i="17"/>
  <c r="I159" i="17" s="1"/>
  <c r="H158" i="17"/>
  <c r="I158" i="17" s="1"/>
  <c r="H157" i="17"/>
  <c r="I157" i="17" s="1"/>
  <c r="I156" i="17"/>
  <c r="H155" i="17"/>
  <c r="I155" i="17" s="1"/>
  <c r="H154" i="17"/>
  <c r="I154" i="17" s="1"/>
  <c r="H152" i="17"/>
  <c r="H151" i="17"/>
  <c r="H150" i="17"/>
  <c r="H148" i="17"/>
  <c r="I148" i="17" s="1"/>
  <c r="H147" i="17"/>
  <c r="H129" i="17"/>
  <c r="H127" i="17"/>
  <c r="I127" i="17" s="1"/>
  <c r="H126" i="17"/>
  <c r="J240" i="17" s="1"/>
  <c r="H125" i="17"/>
  <c r="I240" i="17" s="1"/>
  <c r="H124" i="17"/>
  <c r="H240" i="17" s="1"/>
  <c r="F240" i="17"/>
  <c r="H122" i="17"/>
  <c r="E240" i="17" s="1"/>
  <c r="H121" i="17"/>
  <c r="I121" i="17" s="1"/>
  <c r="D262" i="17" s="1"/>
  <c r="H120" i="17"/>
  <c r="H118" i="17"/>
  <c r="I118" i="17" s="1"/>
  <c r="H117" i="17"/>
  <c r="I117" i="17" s="1"/>
  <c r="J261" i="17" s="1"/>
  <c r="H116" i="17"/>
  <c r="I116" i="17" s="1"/>
  <c r="I261" i="17" s="1"/>
  <c r="H115" i="17"/>
  <c r="H239" i="17" s="1"/>
  <c r="I114" i="17"/>
  <c r="F261" i="17" s="1"/>
  <c r="H113" i="17"/>
  <c r="E239" i="17" s="1"/>
  <c r="H112" i="17"/>
  <c r="D239" i="17" s="1"/>
  <c r="H111" i="17"/>
  <c r="I111" i="17" s="1"/>
  <c r="H47" i="17"/>
  <c r="I47" i="17" s="1"/>
  <c r="C255" i="17" s="1"/>
  <c r="O255" i="17" s="1"/>
  <c r="H46" i="17"/>
  <c r="N232" i="17" s="1"/>
  <c r="H45" i="17"/>
  <c r="M232" i="17" s="1"/>
  <c r="H44" i="17"/>
  <c r="L232" i="17" s="1"/>
  <c r="H43" i="17"/>
  <c r="K232" i="17" s="1"/>
  <c r="H42" i="17"/>
  <c r="J232" i="17" s="1"/>
  <c r="H41" i="17"/>
  <c r="I232" i="17" s="1"/>
  <c r="H40" i="17"/>
  <c r="H232" i="17" s="1"/>
  <c r="H39" i="17"/>
  <c r="G232" i="17" s="1"/>
  <c r="H38" i="17"/>
  <c r="F232" i="17" s="1"/>
  <c r="H37" i="17"/>
  <c r="I37" i="17" s="1"/>
  <c r="E254" i="17" s="1"/>
  <c r="H36" i="17"/>
  <c r="D232" i="17" s="1"/>
  <c r="H35" i="17"/>
  <c r="I35" i="17" s="1"/>
  <c r="H33" i="17"/>
  <c r="I33" i="17" s="1"/>
  <c r="N253" i="17" s="1"/>
  <c r="H32" i="17"/>
  <c r="I32" i="17" s="1"/>
  <c r="M253" i="17" s="1"/>
  <c r="H31" i="17"/>
  <c r="I31" i="17" s="1"/>
  <c r="L253" i="17" s="1"/>
  <c r="H30" i="17"/>
  <c r="I30" i="17" s="1"/>
  <c r="K253" i="17" s="1"/>
  <c r="H29" i="17"/>
  <c r="I29" i="17" s="1"/>
  <c r="J253" i="17" s="1"/>
  <c r="H28" i="17"/>
  <c r="I231" i="17" s="1"/>
  <c r="H27" i="17"/>
  <c r="H231" i="17" s="1"/>
  <c r="H26" i="17"/>
  <c r="I26" i="17" s="1"/>
  <c r="G253" i="17" s="1"/>
  <c r="F231" i="17"/>
  <c r="H24" i="17"/>
  <c r="I24" i="17" s="1"/>
  <c r="H23" i="17"/>
  <c r="D231" i="17" s="1"/>
  <c r="H22" i="17"/>
  <c r="C231" i="17" s="1"/>
  <c r="B10" i="17"/>
  <c r="B9" i="17"/>
  <c r="B8" i="17"/>
  <c r="B7" i="17"/>
  <c r="B5" i="17"/>
  <c r="A5" i="17"/>
  <c r="B4" i="17"/>
  <c r="B3" i="17"/>
  <c r="F447" i="49"/>
  <c r="G446" i="49"/>
  <c r="F387" i="49"/>
  <c r="G386" i="49"/>
  <c r="F251" i="49"/>
  <c r="G250" i="49"/>
  <c r="J242" i="49"/>
  <c r="I242" i="49"/>
  <c r="J241" i="49"/>
  <c r="I241" i="49"/>
  <c r="J240" i="49"/>
  <c r="I240" i="49"/>
  <c r="J239" i="49"/>
  <c r="I239" i="49"/>
  <c r="J238" i="49"/>
  <c r="I238" i="49"/>
  <c r="J237" i="49"/>
  <c r="I237" i="49"/>
  <c r="J236" i="49"/>
  <c r="I236" i="49"/>
  <c r="J235" i="49"/>
  <c r="I235" i="49"/>
  <c r="J234" i="49"/>
  <c r="I234" i="49"/>
  <c r="J233" i="49"/>
  <c r="I233" i="49"/>
  <c r="J232" i="49"/>
  <c r="I232" i="49"/>
  <c r="J231" i="49"/>
  <c r="I231" i="49"/>
  <c r="J230" i="49"/>
  <c r="I230" i="49"/>
  <c r="J229" i="49"/>
  <c r="I229" i="49"/>
  <c r="J228" i="49"/>
  <c r="I228" i="49"/>
  <c r="J227" i="49"/>
  <c r="I227" i="49"/>
  <c r="J226" i="49"/>
  <c r="I226" i="49"/>
  <c r="J225" i="49"/>
  <c r="I225" i="49"/>
  <c r="J224" i="49"/>
  <c r="I224" i="49"/>
  <c r="J223" i="49"/>
  <c r="I223" i="49"/>
  <c r="J222" i="49"/>
  <c r="I222" i="49"/>
  <c r="J221" i="49"/>
  <c r="I221" i="49"/>
  <c r="J220" i="49"/>
  <c r="I220" i="49"/>
  <c r="J219" i="49"/>
  <c r="I219" i="49"/>
  <c r="J218" i="49"/>
  <c r="I218" i="49"/>
  <c r="J217" i="49"/>
  <c r="I217" i="49"/>
  <c r="J216" i="49"/>
  <c r="I216" i="49"/>
  <c r="J209" i="49"/>
  <c r="I209" i="49"/>
  <c r="J208" i="49"/>
  <c r="I208" i="49"/>
  <c r="J207" i="49"/>
  <c r="I207" i="49"/>
  <c r="J206" i="49"/>
  <c r="I206" i="49"/>
  <c r="J205" i="49"/>
  <c r="I205" i="49"/>
  <c r="J204" i="49"/>
  <c r="I204" i="49"/>
  <c r="J203" i="49"/>
  <c r="I203" i="49"/>
  <c r="J202" i="49"/>
  <c r="I202" i="49"/>
  <c r="J201" i="49"/>
  <c r="I201" i="49"/>
  <c r="J200" i="49"/>
  <c r="I200" i="49"/>
  <c r="J199" i="49"/>
  <c r="I199" i="49"/>
  <c r="J198" i="49"/>
  <c r="I198" i="49"/>
  <c r="J197" i="49"/>
  <c r="I197" i="49"/>
  <c r="J196" i="49"/>
  <c r="I196" i="49"/>
  <c r="J195" i="49"/>
  <c r="I195" i="49"/>
  <c r="J194" i="49"/>
  <c r="I194" i="49"/>
  <c r="J193" i="49"/>
  <c r="I193" i="49"/>
  <c r="J192" i="49"/>
  <c r="I192" i="49"/>
  <c r="J191" i="49"/>
  <c r="I191" i="49"/>
  <c r="J190" i="49"/>
  <c r="I190" i="49"/>
  <c r="J189" i="49"/>
  <c r="I189" i="49"/>
  <c r="J188" i="49"/>
  <c r="I188" i="49"/>
  <c r="J187" i="49"/>
  <c r="I187" i="49"/>
  <c r="J186" i="49"/>
  <c r="I186" i="49"/>
  <c r="J185" i="49"/>
  <c r="I185" i="49"/>
  <c r="F180" i="49"/>
  <c r="G179" i="49"/>
  <c r="F102" i="49"/>
  <c r="G101" i="49"/>
  <c r="V92" i="49"/>
  <c r="U92" i="49"/>
  <c r="T92" i="49"/>
  <c r="S92" i="49"/>
  <c r="R92" i="49"/>
  <c r="O92" i="49"/>
  <c r="N92" i="49"/>
  <c r="M92" i="49"/>
  <c r="L92" i="49"/>
  <c r="J92" i="49"/>
  <c r="I92" i="49"/>
  <c r="V91" i="49"/>
  <c r="U91" i="49"/>
  <c r="T91" i="49"/>
  <c r="S91" i="49"/>
  <c r="R91" i="49"/>
  <c r="O91" i="49"/>
  <c r="N91" i="49"/>
  <c r="M91" i="49"/>
  <c r="L91" i="49"/>
  <c r="J91" i="49"/>
  <c r="I91" i="49"/>
  <c r="V90" i="49"/>
  <c r="U90" i="49"/>
  <c r="T90" i="49"/>
  <c r="S90" i="49"/>
  <c r="R90" i="49"/>
  <c r="O90" i="49"/>
  <c r="N90" i="49"/>
  <c r="M90" i="49"/>
  <c r="L90" i="49"/>
  <c r="J90" i="49"/>
  <c r="I90" i="49"/>
  <c r="V89" i="49"/>
  <c r="U89" i="49"/>
  <c r="T89" i="49"/>
  <c r="S89" i="49"/>
  <c r="R89" i="49"/>
  <c r="O89" i="49"/>
  <c r="N89" i="49"/>
  <c r="M89" i="49"/>
  <c r="L89" i="49"/>
  <c r="J89" i="49"/>
  <c r="I89" i="49"/>
  <c r="V88" i="49"/>
  <c r="U88" i="49"/>
  <c r="T88" i="49"/>
  <c r="S88" i="49"/>
  <c r="R88" i="49"/>
  <c r="O88" i="49"/>
  <c r="N88" i="49"/>
  <c r="M88" i="49"/>
  <c r="L88" i="49"/>
  <c r="J88" i="49"/>
  <c r="I88" i="49"/>
  <c r="V87" i="49"/>
  <c r="U87" i="49"/>
  <c r="T87" i="49"/>
  <c r="S87" i="49"/>
  <c r="R87" i="49"/>
  <c r="O87" i="49"/>
  <c r="N87" i="49"/>
  <c r="M87" i="49"/>
  <c r="L87" i="49"/>
  <c r="J87" i="49"/>
  <c r="I87" i="49"/>
  <c r="V86" i="49"/>
  <c r="U86" i="49"/>
  <c r="T86" i="49"/>
  <c r="S86" i="49"/>
  <c r="R86" i="49"/>
  <c r="O86" i="49"/>
  <c r="N86" i="49"/>
  <c r="M86" i="49"/>
  <c r="L86" i="49"/>
  <c r="J86" i="49"/>
  <c r="I86" i="49"/>
  <c r="V85" i="49"/>
  <c r="U85" i="49"/>
  <c r="T85" i="49"/>
  <c r="S85" i="49"/>
  <c r="R85" i="49"/>
  <c r="O85" i="49"/>
  <c r="N85" i="49"/>
  <c r="M85" i="49"/>
  <c r="L85" i="49"/>
  <c r="J85" i="49"/>
  <c r="I85" i="49"/>
  <c r="V84" i="49"/>
  <c r="U84" i="49"/>
  <c r="T84" i="49"/>
  <c r="S84" i="49"/>
  <c r="R84" i="49"/>
  <c r="O84" i="49"/>
  <c r="N84" i="49"/>
  <c r="M84" i="49"/>
  <c r="L84" i="49"/>
  <c r="J84" i="49"/>
  <c r="I84" i="49"/>
  <c r="V83" i="49"/>
  <c r="U83" i="49"/>
  <c r="T83" i="49"/>
  <c r="S83" i="49"/>
  <c r="R83" i="49"/>
  <c r="Q83" i="49"/>
  <c r="N83" i="49"/>
  <c r="M83" i="49"/>
  <c r="L83" i="49"/>
  <c r="K83" i="49"/>
  <c r="J83" i="49"/>
  <c r="I83" i="49"/>
  <c r="V81" i="49"/>
  <c r="U81" i="49"/>
  <c r="T81" i="49"/>
  <c r="S81" i="49"/>
  <c r="R81" i="49"/>
  <c r="O81" i="49"/>
  <c r="M81" i="49"/>
  <c r="L81" i="49"/>
  <c r="J81" i="49"/>
  <c r="I81" i="49"/>
  <c r="V80" i="49"/>
  <c r="U80" i="49"/>
  <c r="T80" i="49"/>
  <c r="S80" i="49"/>
  <c r="R80" i="49"/>
  <c r="O80" i="49"/>
  <c r="N80" i="49"/>
  <c r="M80" i="49"/>
  <c r="L80" i="49"/>
  <c r="J80" i="49"/>
  <c r="I80" i="49"/>
  <c r="V79" i="49"/>
  <c r="U79" i="49"/>
  <c r="T79" i="49"/>
  <c r="S79" i="49"/>
  <c r="R79" i="49"/>
  <c r="O79" i="49"/>
  <c r="N79" i="49"/>
  <c r="M79" i="49"/>
  <c r="L79" i="49"/>
  <c r="J79" i="49"/>
  <c r="I79" i="49"/>
  <c r="V78" i="49"/>
  <c r="U78" i="49"/>
  <c r="T78" i="49"/>
  <c r="S78" i="49"/>
  <c r="R78" i="49"/>
  <c r="O78" i="49"/>
  <c r="N78" i="49"/>
  <c r="M78" i="49"/>
  <c r="L78" i="49"/>
  <c r="J78" i="49"/>
  <c r="I78" i="49"/>
  <c r="V77" i="49"/>
  <c r="U77" i="49"/>
  <c r="T77" i="49"/>
  <c r="S77" i="49"/>
  <c r="R77" i="49"/>
  <c r="O77" i="49"/>
  <c r="M77" i="49"/>
  <c r="L77" i="49"/>
  <c r="J77" i="49"/>
  <c r="I77" i="49"/>
  <c r="V76" i="49"/>
  <c r="U76" i="49"/>
  <c r="T76" i="49"/>
  <c r="S76" i="49"/>
  <c r="R76" i="49"/>
  <c r="Q76" i="49"/>
  <c r="N76" i="49"/>
  <c r="M76" i="49"/>
  <c r="L76" i="49"/>
  <c r="K76" i="49"/>
  <c r="J76" i="49"/>
  <c r="I76" i="49"/>
  <c r="V75" i="49"/>
  <c r="U75" i="49"/>
  <c r="T75" i="49"/>
  <c r="S75" i="49"/>
  <c r="R75" i="49"/>
  <c r="O75" i="49"/>
  <c r="N75" i="49"/>
  <c r="M75" i="49"/>
  <c r="L75" i="49"/>
  <c r="J75" i="49"/>
  <c r="I75" i="49"/>
  <c r="V74" i="49"/>
  <c r="U74" i="49"/>
  <c r="T74" i="49"/>
  <c r="S74" i="49"/>
  <c r="R74" i="49"/>
  <c r="O74" i="49"/>
  <c r="N74" i="49"/>
  <c r="M74" i="49"/>
  <c r="L74" i="49"/>
  <c r="J74" i="49"/>
  <c r="I74" i="49"/>
  <c r="V73" i="49"/>
  <c r="U73" i="49"/>
  <c r="T73" i="49"/>
  <c r="S73" i="49"/>
  <c r="R73" i="49"/>
  <c r="O73" i="49"/>
  <c r="N73" i="49"/>
  <c r="M73" i="49"/>
  <c r="L73" i="49"/>
  <c r="J73" i="49"/>
  <c r="I73" i="49"/>
  <c r="V72" i="49"/>
  <c r="U72" i="49"/>
  <c r="T72" i="49"/>
  <c r="S72" i="49"/>
  <c r="R72" i="49"/>
  <c r="O72" i="49"/>
  <c r="N72" i="49"/>
  <c r="M72" i="49"/>
  <c r="L72" i="49"/>
  <c r="J72" i="49"/>
  <c r="I72" i="49"/>
  <c r="V71" i="49"/>
  <c r="U71" i="49"/>
  <c r="T71" i="49"/>
  <c r="S71" i="49"/>
  <c r="R71" i="49"/>
  <c r="O71" i="49"/>
  <c r="N71" i="49"/>
  <c r="M71" i="49"/>
  <c r="L71" i="49"/>
  <c r="J71" i="49"/>
  <c r="I71" i="49"/>
  <c r="V70" i="49"/>
  <c r="U70" i="49"/>
  <c r="T70" i="49"/>
  <c r="S70" i="49"/>
  <c r="R70" i="49"/>
  <c r="O70" i="49"/>
  <c r="N70" i="49"/>
  <c r="M70" i="49"/>
  <c r="L70" i="49"/>
  <c r="J70" i="49"/>
  <c r="I70" i="49"/>
  <c r="V69" i="49"/>
  <c r="U69" i="49"/>
  <c r="T69" i="49"/>
  <c r="S69" i="49"/>
  <c r="R69" i="49"/>
  <c r="O69" i="49"/>
  <c r="N69" i="49"/>
  <c r="M69" i="49"/>
  <c r="L69" i="49"/>
  <c r="J69" i="49"/>
  <c r="I69" i="49"/>
  <c r="V68" i="49"/>
  <c r="U68" i="49"/>
  <c r="T68" i="49"/>
  <c r="S68" i="49"/>
  <c r="R68" i="49"/>
  <c r="O68" i="49"/>
  <c r="N68" i="49"/>
  <c r="M68" i="49"/>
  <c r="L68" i="49"/>
  <c r="J68" i="49"/>
  <c r="I68" i="49"/>
  <c r="V67" i="49"/>
  <c r="U67" i="49"/>
  <c r="T67" i="49"/>
  <c r="S67" i="49"/>
  <c r="R67" i="49"/>
  <c r="O67" i="49"/>
  <c r="M67" i="49"/>
  <c r="L67" i="49"/>
  <c r="J67" i="49"/>
  <c r="I67" i="49"/>
  <c r="V66" i="49"/>
  <c r="U66" i="49"/>
  <c r="T66" i="49"/>
  <c r="S66" i="49"/>
  <c r="R66" i="49"/>
  <c r="Q66" i="49"/>
  <c r="N66" i="49"/>
  <c r="M66" i="49"/>
  <c r="L66" i="49"/>
  <c r="K66" i="49"/>
  <c r="J66" i="49"/>
  <c r="I66" i="49"/>
  <c r="V65" i="49"/>
  <c r="U65" i="49"/>
  <c r="T65" i="49"/>
  <c r="S65" i="49"/>
  <c r="R65" i="49"/>
  <c r="O65" i="49"/>
  <c r="N65" i="49"/>
  <c r="M65" i="49"/>
  <c r="L65" i="49"/>
  <c r="J65" i="49"/>
  <c r="I65" i="49"/>
  <c r="V64" i="49"/>
  <c r="U64" i="49"/>
  <c r="T64" i="49"/>
  <c r="S64" i="49"/>
  <c r="R64" i="49"/>
  <c r="O64" i="49"/>
  <c r="N64" i="49"/>
  <c r="M64" i="49"/>
  <c r="L64" i="49"/>
  <c r="J64" i="49"/>
  <c r="I64" i="49"/>
  <c r="V63" i="49"/>
  <c r="U63" i="49"/>
  <c r="T63" i="49"/>
  <c r="S63" i="49"/>
  <c r="R63" i="49"/>
  <c r="O63" i="49"/>
  <c r="N63" i="49"/>
  <c r="M63" i="49"/>
  <c r="L63" i="49"/>
  <c r="J63" i="49"/>
  <c r="I63" i="49"/>
  <c r="V62" i="49"/>
  <c r="U62" i="49"/>
  <c r="T62" i="49"/>
  <c r="S62" i="49"/>
  <c r="R62" i="49"/>
  <c r="O62" i="49"/>
  <c r="N62" i="49"/>
  <c r="M62" i="49"/>
  <c r="L62" i="49"/>
  <c r="J62" i="49"/>
  <c r="I62" i="49"/>
  <c r="V61" i="49"/>
  <c r="U61" i="49"/>
  <c r="T61" i="49"/>
  <c r="S61" i="49"/>
  <c r="R61" i="49"/>
  <c r="O61" i="49"/>
  <c r="M61" i="49"/>
  <c r="L61" i="49"/>
  <c r="J61" i="49"/>
  <c r="I61" i="49"/>
  <c r="V60" i="49"/>
  <c r="U60" i="49"/>
  <c r="T60" i="49"/>
  <c r="S60" i="49"/>
  <c r="R60" i="49"/>
  <c r="O60" i="49"/>
  <c r="M60" i="49"/>
  <c r="L60" i="49"/>
  <c r="J60" i="49"/>
  <c r="I60" i="49"/>
  <c r="V59" i="49"/>
  <c r="U59" i="49"/>
  <c r="T59" i="49"/>
  <c r="S59" i="49"/>
  <c r="R59" i="49"/>
  <c r="Q59" i="49"/>
  <c r="N59" i="49"/>
  <c r="M59" i="49"/>
  <c r="L59" i="49"/>
  <c r="K59" i="49"/>
  <c r="J59" i="49"/>
  <c r="I59" i="49"/>
  <c r="V58" i="49"/>
  <c r="U58" i="49"/>
  <c r="T58" i="49"/>
  <c r="S58" i="49"/>
  <c r="R58" i="49"/>
  <c r="O58" i="49"/>
  <c r="N58" i="49"/>
  <c r="M58" i="49"/>
  <c r="L58" i="49"/>
  <c r="J58" i="49"/>
  <c r="I58" i="49"/>
  <c r="V57" i="49"/>
  <c r="U57" i="49"/>
  <c r="T57" i="49"/>
  <c r="S57" i="49"/>
  <c r="R57" i="49"/>
  <c r="O57" i="49"/>
  <c r="N57" i="49"/>
  <c r="M57" i="49"/>
  <c r="L57" i="49"/>
  <c r="J57" i="49"/>
  <c r="I57" i="49"/>
  <c r="V56" i="49"/>
  <c r="U56" i="49"/>
  <c r="T56" i="49"/>
  <c r="S56" i="49"/>
  <c r="R56" i="49"/>
  <c r="O56" i="49"/>
  <c r="M56" i="49"/>
  <c r="L56" i="49"/>
  <c r="J56" i="49"/>
  <c r="I56" i="49"/>
  <c r="V55" i="49"/>
  <c r="U55" i="49"/>
  <c r="T55" i="49"/>
  <c r="S55" i="49"/>
  <c r="R55" i="49"/>
  <c r="O55" i="49"/>
  <c r="M55" i="49"/>
  <c r="L55" i="49"/>
  <c r="J55" i="49"/>
  <c r="I55" i="49"/>
  <c r="V54" i="49"/>
  <c r="U54" i="49"/>
  <c r="T54" i="49"/>
  <c r="S54" i="49"/>
  <c r="R54" i="49"/>
  <c r="O54" i="49"/>
  <c r="M54" i="49"/>
  <c r="L54" i="49"/>
  <c r="J54" i="49"/>
  <c r="I54" i="49"/>
  <c r="V53" i="49"/>
  <c r="U53" i="49"/>
  <c r="T53" i="49"/>
  <c r="S53" i="49"/>
  <c r="R53" i="49"/>
  <c r="O53" i="49"/>
  <c r="N53" i="49"/>
  <c r="M53" i="49"/>
  <c r="L53" i="49"/>
  <c r="J53" i="49"/>
  <c r="I53" i="49"/>
  <c r="V52" i="49"/>
  <c r="U52" i="49"/>
  <c r="T52" i="49"/>
  <c r="S52" i="49"/>
  <c r="R52" i="49"/>
  <c r="O52" i="49"/>
  <c r="N52" i="49"/>
  <c r="M52" i="49"/>
  <c r="L52" i="49"/>
  <c r="J52" i="49"/>
  <c r="I52" i="49"/>
  <c r="V51" i="49"/>
  <c r="U51" i="49"/>
  <c r="T51" i="49"/>
  <c r="S51" i="49"/>
  <c r="R51" i="49"/>
  <c r="O51" i="49"/>
  <c r="N51" i="49"/>
  <c r="M51" i="49"/>
  <c r="L51" i="49"/>
  <c r="J51" i="49"/>
  <c r="I51" i="49"/>
  <c r="V50" i="49"/>
  <c r="U50" i="49"/>
  <c r="T50" i="49"/>
  <c r="S50" i="49"/>
  <c r="R50" i="49"/>
  <c r="O50" i="49"/>
  <c r="N50" i="49"/>
  <c r="M50" i="49"/>
  <c r="L50" i="49"/>
  <c r="J50" i="49"/>
  <c r="I50" i="49"/>
  <c r="V49" i="49"/>
  <c r="U49" i="49"/>
  <c r="T49" i="49"/>
  <c r="S49" i="49"/>
  <c r="R49" i="49"/>
  <c r="Q49" i="49"/>
  <c r="N49" i="49"/>
  <c r="M49" i="49"/>
  <c r="L49" i="49"/>
  <c r="K49" i="49"/>
  <c r="J49" i="49"/>
  <c r="I49" i="49"/>
  <c r="V48" i="49"/>
  <c r="U48" i="49"/>
  <c r="T48" i="49"/>
  <c r="S48" i="49"/>
  <c r="R48" i="49"/>
  <c r="O48" i="49"/>
  <c r="N48" i="49"/>
  <c r="M48" i="49"/>
  <c r="L48" i="49"/>
  <c r="J48" i="49"/>
  <c r="I48" i="49"/>
  <c r="V47" i="49"/>
  <c r="U47" i="49"/>
  <c r="T47" i="49"/>
  <c r="S47" i="49"/>
  <c r="R47" i="49"/>
  <c r="O47" i="49"/>
  <c r="N47" i="49"/>
  <c r="M47" i="49"/>
  <c r="L47" i="49"/>
  <c r="J47" i="49"/>
  <c r="I47" i="49"/>
  <c r="V46" i="49"/>
  <c r="U46" i="49"/>
  <c r="T46" i="49"/>
  <c r="S46" i="49"/>
  <c r="R46" i="49"/>
  <c r="O46" i="49"/>
  <c r="N46" i="49"/>
  <c r="M46" i="49"/>
  <c r="L46" i="49"/>
  <c r="J46" i="49"/>
  <c r="I46" i="49"/>
  <c r="V45" i="49"/>
  <c r="U45" i="49"/>
  <c r="T45" i="49"/>
  <c r="S45" i="49"/>
  <c r="R45" i="49"/>
  <c r="O45" i="49"/>
  <c r="N45" i="49"/>
  <c r="M45" i="49"/>
  <c r="L45" i="49"/>
  <c r="J45" i="49"/>
  <c r="I45" i="49"/>
  <c r="V44" i="49"/>
  <c r="U44" i="49"/>
  <c r="T44" i="49"/>
  <c r="S44" i="49"/>
  <c r="R44" i="49"/>
  <c r="O44" i="49"/>
  <c r="N44" i="49"/>
  <c r="M44" i="49"/>
  <c r="L44" i="49"/>
  <c r="J44" i="49"/>
  <c r="I44" i="49"/>
  <c r="V43" i="49"/>
  <c r="U43" i="49"/>
  <c r="T43" i="49"/>
  <c r="S43" i="49"/>
  <c r="R43" i="49"/>
  <c r="O43" i="49"/>
  <c r="N43" i="49"/>
  <c r="M43" i="49"/>
  <c r="L43" i="49"/>
  <c r="J43" i="49"/>
  <c r="I43" i="49"/>
  <c r="V42" i="49"/>
  <c r="U42" i="49"/>
  <c r="T42" i="49"/>
  <c r="S42" i="49"/>
  <c r="R42" i="49"/>
  <c r="O42" i="49"/>
  <c r="N42" i="49"/>
  <c r="M42" i="49"/>
  <c r="L42" i="49"/>
  <c r="J42" i="49"/>
  <c r="I42" i="49"/>
  <c r="V41" i="49"/>
  <c r="U41" i="49"/>
  <c r="T41" i="49"/>
  <c r="S41" i="49"/>
  <c r="R41" i="49"/>
  <c r="O41" i="49"/>
  <c r="N41" i="49"/>
  <c r="M41" i="49"/>
  <c r="L41" i="49"/>
  <c r="J41" i="49"/>
  <c r="I41" i="49"/>
  <c r="V40" i="49"/>
  <c r="U40" i="49"/>
  <c r="T40" i="49"/>
  <c r="S40" i="49"/>
  <c r="R40" i="49"/>
  <c r="O40" i="49"/>
  <c r="N40" i="49"/>
  <c r="M40" i="49"/>
  <c r="L40" i="49"/>
  <c r="J40" i="49"/>
  <c r="I40" i="49"/>
  <c r="V39" i="49"/>
  <c r="U39" i="49"/>
  <c r="T39" i="49"/>
  <c r="S39" i="49"/>
  <c r="R39" i="49"/>
  <c r="O39" i="49"/>
  <c r="N39" i="49"/>
  <c r="M39" i="49"/>
  <c r="L39" i="49"/>
  <c r="J39" i="49"/>
  <c r="I39" i="49"/>
  <c r="V38" i="49"/>
  <c r="U38" i="49"/>
  <c r="T38" i="49"/>
  <c r="S38" i="49"/>
  <c r="R38" i="49"/>
  <c r="O38" i="49"/>
  <c r="N38" i="49"/>
  <c r="M38" i="49"/>
  <c r="L38" i="49"/>
  <c r="J38" i="49"/>
  <c r="I38" i="49"/>
  <c r="V37" i="49"/>
  <c r="U37" i="49"/>
  <c r="T37" i="49"/>
  <c r="S37" i="49"/>
  <c r="R37" i="49"/>
  <c r="Q37" i="49"/>
  <c r="N37" i="49"/>
  <c r="M37" i="49"/>
  <c r="L37" i="49"/>
  <c r="K37" i="49"/>
  <c r="J37" i="49"/>
  <c r="I37" i="49"/>
  <c r="V36" i="49"/>
  <c r="U36" i="49"/>
  <c r="T36" i="49"/>
  <c r="S36" i="49"/>
  <c r="R36" i="49"/>
  <c r="O36" i="49"/>
  <c r="N36" i="49"/>
  <c r="M36" i="49"/>
  <c r="L36" i="49"/>
  <c r="J36" i="49"/>
  <c r="I36" i="49"/>
  <c r="V35" i="49"/>
  <c r="U35" i="49"/>
  <c r="T35" i="49"/>
  <c r="S35" i="49"/>
  <c r="R35" i="49"/>
  <c r="O35" i="49"/>
  <c r="N35" i="49"/>
  <c r="M35" i="49"/>
  <c r="L35" i="49"/>
  <c r="J35" i="49"/>
  <c r="I35" i="49"/>
  <c r="V34" i="49"/>
  <c r="U34" i="49"/>
  <c r="T34" i="49"/>
  <c r="S34" i="49"/>
  <c r="R34" i="49"/>
  <c r="O34" i="49"/>
  <c r="N34" i="49"/>
  <c r="M34" i="49"/>
  <c r="L34" i="49"/>
  <c r="J34" i="49"/>
  <c r="I34" i="49"/>
  <c r="V33" i="49"/>
  <c r="U33" i="49"/>
  <c r="T33" i="49"/>
  <c r="S33" i="49"/>
  <c r="R33" i="49"/>
  <c r="O33" i="49"/>
  <c r="N33" i="49"/>
  <c r="M33" i="49"/>
  <c r="L33" i="49"/>
  <c r="J33" i="49"/>
  <c r="I33" i="49"/>
  <c r="V32" i="49"/>
  <c r="U32" i="49"/>
  <c r="T32" i="49"/>
  <c r="S32" i="49"/>
  <c r="R32" i="49"/>
  <c r="O32" i="49"/>
  <c r="N32" i="49"/>
  <c r="M32" i="49"/>
  <c r="L32" i="49"/>
  <c r="J32" i="49"/>
  <c r="I32" i="49"/>
  <c r="V31" i="49"/>
  <c r="U31" i="49"/>
  <c r="T31" i="49"/>
  <c r="S31" i="49"/>
  <c r="R31" i="49"/>
  <c r="O31" i="49"/>
  <c r="N31" i="49"/>
  <c r="M31" i="49"/>
  <c r="L31" i="49"/>
  <c r="J31" i="49"/>
  <c r="I31" i="49"/>
  <c r="V30" i="49"/>
  <c r="U30" i="49"/>
  <c r="T30" i="49"/>
  <c r="S30" i="49"/>
  <c r="R30" i="49"/>
  <c r="O30" i="49"/>
  <c r="N30" i="49"/>
  <c r="M30" i="49"/>
  <c r="L30" i="49"/>
  <c r="J30" i="49"/>
  <c r="I30" i="49"/>
  <c r="V29" i="49"/>
  <c r="U29" i="49"/>
  <c r="T29" i="49"/>
  <c r="S29" i="49"/>
  <c r="R29" i="49"/>
  <c r="O29" i="49"/>
  <c r="N29" i="49"/>
  <c r="M29" i="49"/>
  <c r="L29" i="49"/>
  <c r="J29" i="49"/>
  <c r="I29" i="49"/>
  <c r="V28" i="49"/>
  <c r="U28" i="49"/>
  <c r="T28" i="49"/>
  <c r="S28" i="49"/>
  <c r="R28" i="49"/>
  <c r="Q28" i="49"/>
  <c r="N28" i="49"/>
  <c r="M28" i="49"/>
  <c r="L28" i="49"/>
  <c r="K28" i="49"/>
  <c r="J28" i="49"/>
  <c r="I28" i="49"/>
  <c r="V27" i="49"/>
  <c r="U27" i="49"/>
  <c r="T27" i="49"/>
  <c r="S27" i="49"/>
  <c r="R27" i="49"/>
  <c r="O27" i="49"/>
  <c r="N27" i="49"/>
  <c r="M27" i="49"/>
  <c r="L27" i="49"/>
  <c r="J27" i="49"/>
  <c r="I27" i="49"/>
  <c r="V26" i="49"/>
  <c r="U26" i="49"/>
  <c r="T26" i="49"/>
  <c r="S26" i="49"/>
  <c r="R26" i="49"/>
  <c r="O26" i="49"/>
  <c r="N26" i="49"/>
  <c r="M26" i="49"/>
  <c r="L26" i="49"/>
  <c r="J26" i="49"/>
  <c r="I26" i="49"/>
  <c r="V25" i="49"/>
  <c r="U25" i="49"/>
  <c r="T25" i="49"/>
  <c r="S25" i="49"/>
  <c r="R25" i="49"/>
  <c r="O25" i="49"/>
  <c r="N25" i="49"/>
  <c r="M25" i="49"/>
  <c r="L25" i="49"/>
  <c r="J25" i="49"/>
  <c r="I25" i="49"/>
  <c r="V24" i="49"/>
  <c r="U24" i="49"/>
  <c r="T24" i="49"/>
  <c r="S24" i="49"/>
  <c r="R24" i="49"/>
  <c r="O24" i="49"/>
  <c r="N24" i="49"/>
  <c r="M24" i="49"/>
  <c r="L24" i="49"/>
  <c r="J24" i="49"/>
  <c r="I24" i="49"/>
  <c r="V23" i="49"/>
  <c r="U23" i="49"/>
  <c r="T23" i="49"/>
  <c r="S23" i="49"/>
  <c r="R23" i="49"/>
  <c r="O23" i="49"/>
  <c r="N23" i="49"/>
  <c r="M23" i="49"/>
  <c r="L23" i="49"/>
  <c r="J23" i="49"/>
  <c r="I23" i="49"/>
  <c r="V22" i="49"/>
  <c r="U22" i="49"/>
  <c r="T22" i="49"/>
  <c r="S22" i="49"/>
  <c r="R22" i="49"/>
  <c r="O22" i="49"/>
  <c r="N22" i="49"/>
  <c r="M22" i="49"/>
  <c r="L22" i="49"/>
  <c r="J22" i="49"/>
  <c r="I22" i="49"/>
  <c r="V21" i="49"/>
  <c r="U21" i="49"/>
  <c r="T21" i="49"/>
  <c r="S21" i="49"/>
  <c r="R21" i="49"/>
  <c r="Q21" i="49"/>
  <c r="N21" i="49"/>
  <c r="M21" i="49"/>
  <c r="L21" i="49"/>
  <c r="K21" i="49"/>
  <c r="J21" i="49"/>
  <c r="I21" i="49"/>
  <c r="V20" i="49"/>
  <c r="U20" i="49"/>
  <c r="T20" i="49"/>
  <c r="S20" i="49"/>
  <c r="R20" i="49"/>
  <c r="O20" i="49"/>
  <c r="N20" i="49"/>
  <c r="M20" i="49"/>
  <c r="L20" i="49"/>
  <c r="J20" i="49"/>
  <c r="I20" i="49"/>
  <c r="V19" i="49"/>
  <c r="U19" i="49"/>
  <c r="T19" i="49"/>
  <c r="S19" i="49"/>
  <c r="R19" i="49"/>
  <c r="O19" i="49"/>
  <c r="N19" i="49"/>
  <c r="M19" i="49"/>
  <c r="L19" i="49"/>
  <c r="J19" i="49"/>
  <c r="I19" i="49"/>
  <c r="V18" i="49"/>
  <c r="U18" i="49"/>
  <c r="T18" i="49"/>
  <c r="S18" i="49"/>
  <c r="R18" i="49"/>
  <c r="O18" i="49"/>
  <c r="N18" i="49"/>
  <c r="M18" i="49"/>
  <c r="L18" i="49"/>
  <c r="J18" i="49"/>
  <c r="I18" i="49"/>
  <c r="V17" i="49"/>
  <c r="U17" i="49"/>
  <c r="T17" i="49"/>
  <c r="S17" i="49"/>
  <c r="R17" i="49"/>
  <c r="O17" i="49"/>
  <c r="N17" i="49"/>
  <c r="M17" i="49"/>
  <c r="L17" i="49"/>
  <c r="J17" i="49"/>
  <c r="I17" i="49"/>
  <c r="V16" i="49"/>
  <c r="U16" i="49"/>
  <c r="T16" i="49"/>
  <c r="S16" i="49"/>
  <c r="R16" i="49"/>
  <c r="O16" i="49"/>
  <c r="N16" i="49"/>
  <c r="M16" i="49"/>
  <c r="L16" i="49"/>
  <c r="J16" i="49"/>
  <c r="I16" i="49"/>
  <c r="V15" i="49"/>
  <c r="U15" i="49"/>
  <c r="T15" i="49"/>
  <c r="S15" i="49"/>
  <c r="R15" i="49"/>
  <c r="O15" i="49"/>
  <c r="N15" i="49"/>
  <c r="M15" i="49"/>
  <c r="L15" i="49"/>
  <c r="J15" i="49"/>
  <c r="I15" i="49"/>
  <c r="V14" i="49"/>
  <c r="U14" i="49"/>
  <c r="T14" i="49"/>
  <c r="S14" i="49"/>
  <c r="R14" i="49"/>
  <c r="O14" i="49"/>
  <c r="N14" i="49"/>
  <c r="M14" i="49"/>
  <c r="L14" i="49"/>
  <c r="J14" i="49"/>
  <c r="I14" i="49"/>
  <c r="V13" i="49"/>
  <c r="U13" i="49"/>
  <c r="T13" i="49"/>
  <c r="S13" i="49"/>
  <c r="R13" i="49"/>
  <c r="O13" i="49"/>
  <c r="M13" i="49"/>
  <c r="L13" i="49"/>
  <c r="J13" i="49"/>
  <c r="I13" i="49"/>
  <c r="V12" i="49"/>
  <c r="U12" i="49"/>
  <c r="T12" i="49"/>
  <c r="S12" i="49"/>
  <c r="R12" i="49"/>
  <c r="O12" i="49"/>
  <c r="M12" i="49"/>
  <c r="L12" i="49"/>
  <c r="J12" i="49"/>
  <c r="I12" i="49"/>
  <c r="V11" i="49"/>
  <c r="U11" i="49"/>
  <c r="T11" i="49"/>
  <c r="S11" i="49"/>
  <c r="R11" i="49"/>
  <c r="O11" i="49"/>
  <c r="N11" i="49"/>
  <c r="M11" i="49"/>
  <c r="L11" i="49"/>
  <c r="J11" i="49"/>
  <c r="I11" i="49"/>
  <c r="V10" i="49"/>
  <c r="U10" i="49"/>
  <c r="T10" i="49"/>
  <c r="S10" i="49"/>
  <c r="R10" i="49"/>
  <c r="O10" i="49"/>
  <c r="N10" i="49"/>
  <c r="M10" i="49"/>
  <c r="L10" i="49"/>
  <c r="J10" i="49"/>
  <c r="I10" i="49"/>
  <c r="V9" i="49"/>
  <c r="U9" i="49"/>
  <c r="T9" i="49"/>
  <c r="S9" i="49"/>
  <c r="R9" i="49"/>
  <c r="O9" i="49"/>
  <c r="M9" i="49"/>
  <c r="L9" i="49"/>
  <c r="J9" i="49"/>
  <c r="I9" i="49"/>
  <c r="V8" i="49"/>
  <c r="U8" i="49"/>
  <c r="T8" i="49"/>
  <c r="S8" i="49"/>
  <c r="R8" i="49"/>
  <c r="O8" i="49"/>
  <c r="M8" i="49"/>
  <c r="L8" i="49"/>
  <c r="J8" i="49"/>
  <c r="I8" i="49"/>
  <c r="V7" i="49"/>
  <c r="U7" i="49"/>
  <c r="T7" i="49"/>
  <c r="S7" i="49"/>
  <c r="R7" i="49"/>
  <c r="Q7" i="49"/>
  <c r="N7" i="49"/>
  <c r="M7" i="49"/>
  <c r="L7" i="49"/>
  <c r="K7" i="49"/>
  <c r="J7" i="49"/>
  <c r="I7" i="49"/>
  <c r="S1" i="49"/>
  <c r="E347" i="55"/>
  <c r="C6" i="32" s="1"/>
  <c r="E340" i="55"/>
  <c r="D38" i="58" s="1"/>
  <c r="E329" i="55"/>
  <c r="C6" i="50" s="1"/>
  <c r="E317" i="55"/>
  <c r="E320" i="55" s="1"/>
  <c r="E315" i="55"/>
  <c r="E313" i="55"/>
  <c r="C88" i="32" s="1"/>
  <c r="E299" i="55"/>
  <c r="E303" i="55" s="1"/>
  <c r="E297" i="55"/>
  <c r="E295" i="55"/>
  <c r="C69" i="32" s="1"/>
  <c r="E281" i="55"/>
  <c r="E282" i="55" s="1"/>
  <c r="E279" i="55"/>
  <c r="E277" i="55"/>
  <c r="C50" i="32" s="1"/>
  <c r="E263" i="55"/>
  <c r="E267" i="55" s="1"/>
  <c r="E261" i="55"/>
  <c r="E259" i="55"/>
  <c r="C31" i="32" s="1"/>
  <c r="E245" i="55"/>
  <c r="E249" i="55" s="1"/>
  <c r="E243" i="55"/>
  <c r="E241" i="55"/>
  <c r="C12" i="32" s="1"/>
  <c r="E226" i="55"/>
  <c r="E224" i="55"/>
  <c r="E215" i="55"/>
  <c r="E213" i="55"/>
  <c r="E204" i="55"/>
  <c r="E202" i="55"/>
  <c r="E193" i="55"/>
  <c r="E191" i="55"/>
  <c r="E182" i="55"/>
  <c r="E180" i="55"/>
  <c r="D165" i="55"/>
  <c r="C116" i="54" s="1"/>
  <c r="D164" i="55"/>
  <c r="C115" i="54" s="1"/>
  <c r="D163" i="55"/>
  <c r="D162" i="55"/>
  <c r="C113" i="33" s="1"/>
  <c r="E161" i="55"/>
  <c r="E159" i="55"/>
  <c r="E156" i="55"/>
  <c r="E155" i="55"/>
  <c r="E154" i="55"/>
  <c r="E153" i="55"/>
  <c r="E152" i="55"/>
  <c r="E151" i="55"/>
  <c r="C104" i="50" s="1"/>
  <c r="E148" i="55"/>
  <c r="C107" i="48" s="1"/>
  <c r="D134" i="55"/>
  <c r="C93" i="34" s="1"/>
  <c r="D133" i="55"/>
  <c r="C92" i="34" s="1"/>
  <c r="D132" i="55"/>
  <c r="C91" i="54" s="1"/>
  <c r="D131" i="55"/>
  <c r="C90" i="54" s="1"/>
  <c r="E130" i="55"/>
  <c r="E128" i="55"/>
  <c r="E125" i="55"/>
  <c r="E124" i="55"/>
  <c r="E123" i="55"/>
  <c r="E122" i="55"/>
  <c r="E121" i="55"/>
  <c r="E120" i="55"/>
  <c r="C81" i="54" s="1"/>
  <c r="E117" i="55"/>
  <c r="C84" i="48" s="1"/>
  <c r="D103" i="55"/>
  <c r="C70" i="54" s="1"/>
  <c r="D102" i="55"/>
  <c r="C70" i="48" s="1"/>
  <c r="D101" i="55"/>
  <c r="C69" i="48" s="1"/>
  <c r="D100" i="55"/>
  <c r="C67" i="50" s="1"/>
  <c r="E99" i="55"/>
  <c r="E97" i="55"/>
  <c r="E94" i="55"/>
  <c r="E93" i="55"/>
  <c r="E92" i="55"/>
  <c r="E91" i="55"/>
  <c r="E90" i="55"/>
  <c r="E89" i="55"/>
  <c r="C58" i="50" s="1"/>
  <c r="E86" i="55"/>
  <c r="C61" i="48" s="1"/>
  <c r="D72" i="55"/>
  <c r="C47" i="54" s="1"/>
  <c r="D71" i="55"/>
  <c r="C46" i="54" s="1"/>
  <c r="D70" i="55"/>
  <c r="C45" i="54" s="1"/>
  <c r="D69" i="55"/>
  <c r="C44" i="54" s="1"/>
  <c r="E68" i="55"/>
  <c r="E66" i="55"/>
  <c r="E63" i="55"/>
  <c r="E62" i="55"/>
  <c r="E61" i="55"/>
  <c r="E60" i="55"/>
  <c r="E59" i="55"/>
  <c r="E58" i="55"/>
  <c r="C36" i="48" s="1"/>
  <c r="E55" i="55"/>
  <c r="C38" i="48" s="1"/>
  <c r="D41" i="55"/>
  <c r="D40" i="55"/>
  <c r="C23" i="50" s="1"/>
  <c r="D39" i="55"/>
  <c r="C22" i="50" s="1"/>
  <c r="D38" i="55"/>
  <c r="C21" i="50" s="1"/>
  <c r="E37" i="55"/>
  <c r="E35" i="55"/>
  <c r="E32" i="55"/>
  <c r="E31" i="55"/>
  <c r="E30" i="55"/>
  <c r="E29" i="55"/>
  <c r="E28" i="55"/>
  <c r="E27" i="55"/>
  <c r="C12" i="50" s="1"/>
  <c r="E24" i="55"/>
  <c r="C15" i="48" s="1"/>
  <c r="E5" i="55"/>
  <c r="D5" i="57" s="1"/>
  <c r="B96" i="42"/>
  <c r="A5" i="42"/>
  <c r="B4" i="42"/>
  <c r="B3" i="42"/>
  <c r="F96" i="58" l="1"/>
  <c r="F101" i="58" s="1"/>
  <c r="E133" i="55"/>
  <c r="E164" i="55"/>
  <c r="F195" i="58"/>
  <c r="V195" i="58" s="1"/>
  <c r="E302" i="55"/>
  <c r="E283" i="55"/>
  <c r="E300" i="55"/>
  <c r="E343" i="55"/>
  <c r="D37" i="58" s="1"/>
  <c r="E71" i="55"/>
  <c r="E69" i="55"/>
  <c r="E38" i="55"/>
  <c r="C21" i="54"/>
  <c r="F70" i="58"/>
  <c r="E131" i="55"/>
  <c r="C92" i="54"/>
  <c r="E246" i="55"/>
  <c r="E40" i="55"/>
  <c r="E41" i="55"/>
  <c r="E103" i="55"/>
  <c r="E247" i="55"/>
  <c r="E248" i="55"/>
  <c r="E100" i="55"/>
  <c r="C6" i="54"/>
  <c r="C80" i="54" s="1"/>
  <c r="E163" i="55"/>
  <c r="E284" i="55"/>
  <c r="E134" i="55"/>
  <c r="C12" i="54"/>
  <c r="F196" i="58"/>
  <c r="V196" i="58" s="1"/>
  <c r="C70" i="33"/>
  <c r="C114" i="33"/>
  <c r="C68" i="34"/>
  <c r="C24" i="50"/>
  <c r="C68" i="50"/>
  <c r="C35" i="33"/>
  <c r="C35" i="34"/>
  <c r="C104" i="34"/>
  <c r="C71" i="48"/>
  <c r="C115" i="33"/>
  <c r="C69" i="34"/>
  <c r="C69" i="50"/>
  <c r="C113" i="50"/>
  <c r="C93" i="54"/>
  <c r="F210" i="58"/>
  <c r="V210" i="58" s="1"/>
  <c r="C45" i="48"/>
  <c r="C114" i="48"/>
  <c r="E101" i="55"/>
  <c r="C58" i="54"/>
  <c r="F197" i="58"/>
  <c r="V197" i="58" s="1"/>
  <c r="C44" i="33"/>
  <c r="C116" i="33"/>
  <c r="C70" i="34"/>
  <c r="C70" i="50"/>
  <c r="C114" i="50"/>
  <c r="E102" i="55"/>
  <c r="C22" i="54"/>
  <c r="C81" i="33"/>
  <c r="C35" i="50"/>
  <c r="C46" i="48"/>
  <c r="C115" i="48"/>
  <c r="C45" i="33"/>
  <c r="C44" i="34"/>
  <c r="C113" i="34"/>
  <c r="C115" i="50"/>
  <c r="C13" i="48"/>
  <c r="C82" i="48"/>
  <c r="E332" i="55"/>
  <c r="I173" i="50" s="1"/>
  <c r="C23" i="54"/>
  <c r="C67" i="54"/>
  <c r="F211" i="58"/>
  <c r="V211" i="58" s="1"/>
  <c r="C47" i="48"/>
  <c r="C116" i="48"/>
  <c r="C104" i="54"/>
  <c r="F192" i="58"/>
  <c r="C46" i="33"/>
  <c r="C90" i="33"/>
  <c r="C45" i="34"/>
  <c r="C114" i="34"/>
  <c r="C44" i="50"/>
  <c r="C116" i="50"/>
  <c r="C24" i="54"/>
  <c r="C68" i="54"/>
  <c r="C12" i="34"/>
  <c r="C81" i="34"/>
  <c r="C81" i="50"/>
  <c r="C48" i="48"/>
  <c r="C117" i="48"/>
  <c r="C47" i="33"/>
  <c r="C91" i="33"/>
  <c r="C46" i="34"/>
  <c r="C115" i="34"/>
  <c r="C45" i="50"/>
  <c r="E162" i="55"/>
  <c r="C69" i="54"/>
  <c r="C113" i="54"/>
  <c r="F212" i="58"/>
  <c r="V212" i="58" s="1"/>
  <c r="C12" i="33"/>
  <c r="C22" i="48"/>
  <c r="C91" i="48"/>
  <c r="E70" i="55"/>
  <c r="F193" i="58"/>
  <c r="V193" i="58" s="1"/>
  <c r="C92" i="33"/>
  <c r="C47" i="34"/>
  <c r="C116" i="34"/>
  <c r="C46" i="50"/>
  <c r="C90" i="50"/>
  <c r="C114" i="54"/>
  <c r="C23" i="48"/>
  <c r="C92" i="48"/>
  <c r="E72" i="55"/>
  <c r="E264" i="55"/>
  <c r="C35" i="54"/>
  <c r="C21" i="33"/>
  <c r="C93" i="33"/>
  <c r="C21" i="34"/>
  <c r="C90" i="34"/>
  <c r="C47" i="50"/>
  <c r="C91" i="50"/>
  <c r="C59" i="48"/>
  <c r="E265" i="55"/>
  <c r="F188" i="58"/>
  <c r="F206" i="58"/>
  <c r="C58" i="33"/>
  <c r="C24" i="48"/>
  <c r="C93" i="48"/>
  <c r="F200" i="58"/>
  <c r="C22" i="33"/>
  <c r="C22" i="34"/>
  <c r="C91" i="34"/>
  <c r="C92" i="50"/>
  <c r="E39" i="55"/>
  <c r="E165" i="55"/>
  <c r="F122" i="58"/>
  <c r="C58" i="34"/>
  <c r="C25" i="48"/>
  <c r="C94" i="48"/>
  <c r="C23" i="33"/>
  <c r="C67" i="33"/>
  <c r="C23" i="34"/>
  <c r="C93" i="50"/>
  <c r="F189" i="58"/>
  <c r="V189" i="58" s="1"/>
  <c r="F207" i="58"/>
  <c r="V207" i="58" s="1"/>
  <c r="C104" i="33"/>
  <c r="C68" i="48"/>
  <c r="C24" i="34"/>
  <c r="C24" i="33"/>
  <c r="C68" i="33"/>
  <c r="E285" i="55"/>
  <c r="F44" i="58"/>
  <c r="F148" i="58"/>
  <c r="F153" i="58" s="1"/>
  <c r="C69" i="33"/>
  <c r="C67" i="34"/>
  <c r="C105" i="48"/>
  <c r="E132" i="55"/>
  <c r="I45" i="17"/>
  <c r="M254" i="17" s="1"/>
  <c r="F203" i="48"/>
  <c r="E171" i="48"/>
  <c r="F145" i="48"/>
  <c r="E216" i="48"/>
  <c r="F150" i="48"/>
  <c r="F236" i="48"/>
  <c r="F240" i="48"/>
  <c r="F241" i="48"/>
  <c r="F242" i="48"/>
  <c r="F243" i="48"/>
  <c r="F146" i="48"/>
  <c r="E261" i="48"/>
  <c r="F254" i="48"/>
  <c r="F204" i="48"/>
  <c r="I46" i="17"/>
  <c r="N254" i="17" s="1"/>
  <c r="F205" i="48"/>
  <c r="F207" i="48"/>
  <c r="F149" i="48"/>
  <c r="F245" i="48"/>
  <c r="F206" i="48"/>
  <c r="H142" i="48"/>
  <c r="F209" i="48"/>
  <c r="F246" i="48"/>
  <c r="F210" i="48"/>
  <c r="H143" i="48"/>
  <c r="F191" i="48"/>
  <c r="F190" i="48"/>
  <c r="F152" i="48"/>
  <c r="F192" i="48"/>
  <c r="F248" i="48"/>
  <c r="F249" i="48"/>
  <c r="F250" i="48"/>
  <c r="F194" i="48"/>
  <c r="F251" i="48"/>
  <c r="F195" i="48"/>
  <c r="F252" i="48"/>
  <c r="F196" i="48"/>
  <c r="F197" i="48"/>
  <c r="F198" i="48"/>
  <c r="F235" i="48"/>
  <c r="F255" i="48"/>
  <c r="F200" i="48"/>
  <c r="F199" i="48" s="1"/>
  <c r="F237" i="48"/>
  <c r="N231" i="17"/>
  <c r="I44" i="17"/>
  <c r="L254" i="17" s="1"/>
  <c r="F172" i="50"/>
  <c r="F167" i="50" s="1"/>
  <c r="E181" i="50"/>
  <c r="K231" i="17"/>
  <c r="F155" i="50"/>
  <c r="F156" i="50"/>
  <c r="F159" i="50"/>
  <c r="F160" i="50"/>
  <c r="F192" i="34"/>
  <c r="F141" i="34"/>
  <c r="F142" i="34"/>
  <c r="F148" i="34"/>
  <c r="E171" i="34"/>
  <c r="F143" i="34"/>
  <c r="F146" i="34"/>
  <c r="F193" i="34"/>
  <c r="F194" i="34"/>
  <c r="F149" i="34"/>
  <c r="F150" i="34"/>
  <c r="F212" i="34"/>
  <c r="F153" i="34"/>
  <c r="F213" i="34"/>
  <c r="F155" i="34"/>
  <c r="F215" i="34"/>
  <c r="F216" i="34"/>
  <c r="F247" i="34"/>
  <c r="F199" i="34"/>
  <c r="I125" i="17"/>
  <c r="I262" i="17" s="1"/>
  <c r="I204" i="17"/>
  <c r="J269" i="17" s="1"/>
  <c r="I41" i="17"/>
  <c r="I254" i="17" s="1"/>
  <c r="I28" i="17"/>
  <c r="I253" i="17" s="1"/>
  <c r="E222" i="34"/>
  <c r="J231" i="17"/>
  <c r="E270" i="34"/>
  <c r="F156" i="34"/>
  <c r="F157" i="34"/>
  <c r="F196" i="34"/>
  <c r="F244" i="34"/>
  <c r="F158" i="34"/>
  <c r="F197" i="34"/>
  <c r="F245" i="34"/>
  <c r="F159" i="34"/>
  <c r="F200" i="34"/>
  <c r="F160" i="34"/>
  <c r="F248" i="34"/>
  <c r="F161" i="34"/>
  <c r="F204" i="34"/>
  <c r="F249" i="34"/>
  <c r="F162" i="34"/>
  <c r="F209" i="34"/>
  <c r="F163" i="34"/>
  <c r="F210" i="34"/>
  <c r="F251" i="34"/>
  <c r="F211" i="34"/>
  <c r="F252" i="34"/>
  <c r="H243" i="17"/>
  <c r="I115" i="17"/>
  <c r="H261" i="17" s="1"/>
  <c r="I150" i="17"/>
  <c r="H265" i="17" s="1"/>
  <c r="I40" i="17"/>
  <c r="H254" i="17" s="1"/>
  <c r="I124" i="17"/>
  <c r="H262" i="17" s="1"/>
  <c r="I243" i="17"/>
  <c r="J243" i="17"/>
  <c r="I126" i="17"/>
  <c r="J262" i="17" s="1"/>
  <c r="F255" i="34"/>
  <c r="F145" i="34"/>
  <c r="F201" i="34"/>
  <c r="F256" i="34"/>
  <c r="F257" i="34"/>
  <c r="I203" i="17"/>
  <c r="I269" i="17" s="1"/>
  <c r="F258" i="34"/>
  <c r="H247" i="17"/>
  <c r="F203" i="34"/>
  <c r="F259" i="34"/>
  <c r="F260" i="34"/>
  <c r="F261" i="34"/>
  <c r="F152" i="34"/>
  <c r="F206" i="34"/>
  <c r="F207" i="34"/>
  <c r="F240" i="34"/>
  <c r="F263" i="34"/>
  <c r="F262" i="34" s="1"/>
  <c r="F241" i="34"/>
  <c r="F141" i="33"/>
  <c r="F147" i="33"/>
  <c r="F140" i="33"/>
  <c r="E143" i="33"/>
  <c r="E166" i="33" s="1"/>
  <c r="I39" i="17"/>
  <c r="G254" i="17" s="1"/>
  <c r="F144" i="33"/>
  <c r="X145" i="32"/>
  <c r="K183" i="32"/>
  <c r="P159" i="32"/>
  <c r="V159" i="32" s="1"/>
  <c r="P144" i="32"/>
  <c r="P163" i="32"/>
  <c r="P148" i="32"/>
  <c r="V148" i="32" s="1"/>
  <c r="U142" i="32"/>
  <c r="P160" i="32"/>
  <c r="U158" i="32"/>
  <c r="P150" i="32"/>
  <c r="P165" i="32"/>
  <c r="V165" i="32" s="1"/>
  <c r="F151" i="32"/>
  <c r="V151" i="32" s="1"/>
  <c r="E175" i="32"/>
  <c r="O175" i="32"/>
  <c r="P152" i="32"/>
  <c r="V152" i="32" s="1"/>
  <c r="P139" i="32"/>
  <c r="U138" i="32"/>
  <c r="P168" i="32"/>
  <c r="V168" i="32" s="1"/>
  <c r="P140" i="32"/>
  <c r="P154" i="32"/>
  <c r="U153" i="32"/>
  <c r="F239" i="17"/>
  <c r="F243" i="17"/>
  <c r="F160" i="32"/>
  <c r="F166" i="32"/>
  <c r="F154" i="32"/>
  <c r="P166" i="32"/>
  <c r="I113" i="17"/>
  <c r="E261" i="17" s="1"/>
  <c r="F161" i="32"/>
  <c r="F149" i="32"/>
  <c r="P155" i="32"/>
  <c r="V155" i="32" s="1"/>
  <c r="P161" i="32"/>
  <c r="F167" i="32"/>
  <c r="P149" i="32"/>
  <c r="I201" i="17"/>
  <c r="F269" i="17" s="1"/>
  <c r="F143" i="32"/>
  <c r="F156" i="32"/>
  <c r="F162" i="32"/>
  <c r="P143" i="32"/>
  <c r="F150" i="32"/>
  <c r="P156" i="32"/>
  <c r="P162" i="32"/>
  <c r="F144" i="32"/>
  <c r="P157" i="32"/>
  <c r="V157" i="32" s="1"/>
  <c r="F163" i="32"/>
  <c r="F139" i="32"/>
  <c r="I123" i="17"/>
  <c r="F262" i="17" s="1"/>
  <c r="P169" i="32"/>
  <c r="F164" i="32"/>
  <c r="P164" i="32"/>
  <c r="F140" i="32"/>
  <c r="P146" i="32"/>
  <c r="V146" i="32" s="1"/>
  <c r="P141" i="32"/>
  <c r="V141" i="32" s="1"/>
  <c r="U138" i="54"/>
  <c r="U158" i="54"/>
  <c r="F140" i="54"/>
  <c r="V140" i="54" s="1"/>
  <c r="F163" i="54"/>
  <c r="F149" i="54"/>
  <c r="O175" i="54"/>
  <c r="F164" i="54"/>
  <c r="U167" i="54"/>
  <c r="U153" i="54"/>
  <c r="F161" i="54"/>
  <c r="F144" i="54"/>
  <c r="P164" i="54"/>
  <c r="U142" i="54"/>
  <c r="U175" i="54" s="1"/>
  <c r="F151" i="54"/>
  <c r="V151" i="54" s="1"/>
  <c r="E175" i="54"/>
  <c r="D247" i="17"/>
  <c r="D265" i="17"/>
  <c r="I36" i="17"/>
  <c r="D254" i="17" s="1"/>
  <c r="D243" i="17"/>
  <c r="P148" i="54"/>
  <c r="V148" i="54" s="1"/>
  <c r="P154" i="54"/>
  <c r="P160" i="54"/>
  <c r="P166" i="54"/>
  <c r="V166" i="54" s="1"/>
  <c r="P141" i="54"/>
  <c r="V141" i="54" s="1"/>
  <c r="P155" i="54"/>
  <c r="V155" i="54" s="1"/>
  <c r="P149" i="54"/>
  <c r="P161" i="54"/>
  <c r="F167" i="54"/>
  <c r="F156" i="54"/>
  <c r="F150" i="54"/>
  <c r="P156" i="54"/>
  <c r="F162" i="54"/>
  <c r="P150" i="54"/>
  <c r="P162" i="54"/>
  <c r="I112" i="17"/>
  <c r="D261" i="17" s="1"/>
  <c r="F143" i="54"/>
  <c r="P157" i="54"/>
  <c r="V157" i="54" s="1"/>
  <c r="P168" i="54"/>
  <c r="V168" i="54" s="1"/>
  <c r="P143" i="54"/>
  <c r="P163" i="54"/>
  <c r="I191" i="17"/>
  <c r="D268" i="17" s="1"/>
  <c r="P152" i="54"/>
  <c r="V152" i="54" s="1"/>
  <c r="P169" i="54"/>
  <c r="V169" i="54" s="1"/>
  <c r="P144" i="54"/>
  <c r="F139" i="54"/>
  <c r="P139" i="54"/>
  <c r="P146" i="54"/>
  <c r="V146" i="54" s="1"/>
  <c r="F165" i="54"/>
  <c r="P159" i="54"/>
  <c r="P165" i="54"/>
  <c r="P147" i="54"/>
  <c r="V147" i="54" s="1"/>
  <c r="F154" i="54"/>
  <c r="F160" i="54"/>
  <c r="C103" i="50"/>
  <c r="C105" i="50" s="1"/>
  <c r="C80" i="50"/>
  <c r="C57" i="50"/>
  <c r="C59" i="50" s="1"/>
  <c r="C34" i="50"/>
  <c r="C36" i="50" s="1"/>
  <c r="C11" i="50"/>
  <c r="C13" i="50" s="1"/>
  <c r="I239" i="17"/>
  <c r="I27" i="17"/>
  <c r="H253" i="17" s="1"/>
  <c r="C243" i="17"/>
  <c r="L231" i="17"/>
  <c r="J239" i="17"/>
  <c r="H189" i="17"/>
  <c r="M231" i="17"/>
  <c r="D240" i="17"/>
  <c r="I42" i="17"/>
  <c r="J254" i="17" s="1"/>
  <c r="C6" i="33"/>
  <c r="C6" i="34"/>
  <c r="H246" i="17"/>
  <c r="I43" i="17"/>
  <c r="K254" i="17" s="1"/>
  <c r="I246" i="17"/>
  <c r="J246" i="17"/>
  <c r="C7" i="48"/>
  <c r="I151" i="17"/>
  <c r="I265" i="17" s="1"/>
  <c r="I152" i="17"/>
  <c r="J265" i="17" s="1"/>
  <c r="H119" i="17"/>
  <c r="I22" i="17"/>
  <c r="C253" i="17" s="1"/>
  <c r="I23" i="17"/>
  <c r="D253" i="17" s="1"/>
  <c r="G231" i="17"/>
  <c r="C49" i="32"/>
  <c r="C51" i="32" s="1"/>
  <c r="C68" i="32"/>
  <c r="C70" i="32" s="1"/>
  <c r="C87" i="32"/>
  <c r="C89" i="32" s="1"/>
  <c r="C11" i="32"/>
  <c r="C13" i="32" s="1"/>
  <c r="C30" i="32"/>
  <c r="C32" i="32" s="1"/>
  <c r="H146" i="17"/>
  <c r="I147" i="17"/>
  <c r="E301" i="55"/>
  <c r="I120" i="17"/>
  <c r="C262" i="17" s="1"/>
  <c r="I198" i="17"/>
  <c r="C269" i="17" s="1"/>
  <c r="C233" i="17"/>
  <c r="O233" i="17" s="1"/>
  <c r="I149" i="17"/>
  <c r="F265" i="17" s="1"/>
  <c r="C240" i="17"/>
  <c r="I25" i="17"/>
  <c r="F253" i="17" s="1"/>
  <c r="I38" i="17"/>
  <c r="F254" i="17" s="1"/>
  <c r="E266" i="55"/>
  <c r="E350" i="55"/>
  <c r="E318" i="55"/>
  <c r="I190" i="17"/>
  <c r="C268" i="17" s="1"/>
  <c r="E321" i="55"/>
  <c r="E354" i="55" s="1"/>
  <c r="I193" i="17"/>
  <c r="F268" i="17" s="1"/>
  <c r="E319" i="55"/>
  <c r="C254" i="17"/>
  <c r="E253" i="17"/>
  <c r="C261" i="17"/>
  <c r="E344" i="55"/>
  <c r="F103" i="58"/>
  <c r="F102" i="58"/>
  <c r="F116" i="58"/>
  <c r="E207" i="55" s="1"/>
  <c r="F107" i="58"/>
  <c r="F113" i="58"/>
  <c r="F110" i="58"/>
  <c r="E206" i="55" s="1"/>
  <c r="F127" i="58"/>
  <c r="I129" i="17"/>
  <c r="H197" i="17"/>
  <c r="C232" i="17"/>
  <c r="E232" i="17"/>
  <c r="H110" i="17"/>
  <c r="C239" i="17"/>
  <c r="I122" i="17"/>
  <c r="E262" i="17" s="1"/>
  <c r="I200" i="17"/>
  <c r="E269" i="17" s="1"/>
  <c r="H21" i="17"/>
  <c r="E246" i="17"/>
  <c r="H34" i="17"/>
  <c r="E231" i="17"/>
  <c r="C241" i="17"/>
  <c r="O241" i="17" s="1"/>
  <c r="B11" i="17"/>
  <c r="D5" i="56"/>
  <c r="C34" i="54" l="1"/>
  <c r="E351" i="55"/>
  <c r="D351" i="55" s="1"/>
  <c r="C103" i="54"/>
  <c r="C57" i="54"/>
  <c r="C11" i="54"/>
  <c r="E355" i="55"/>
  <c r="E357" i="55"/>
  <c r="C82" i="54"/>
  <c r="C88" i="54" s="1"/>
  <c r="C59" i="54"/>
  <c r="C63" i="54" s="1"/>
  <c r="C73" i="54" s="1" a="1"/>
  <c r="C73" i="54" s="1"/>
  <c r="C75" i="54" s="1"/>
  <c r="E106" i="55" s="1"/>
  <c r="C36" i="54"/>
  <c r="C38" i="54" s="1"/>
  <c r="I164" i="50"/>
  <c r="D354" i="55"/>
  <c r="E337" i="55"/>
  <c r="C82" i="50"/>
  <c r="C87" i="50" s="1"/>
  <c r="V144" i="32"/>
  <c r="C105" i="54"/>
  <c r="C107" i="54" s="1"/>
  <c r="E353" i="55"/>
  <c r="D353" i="55" s="1"/>
  <c r="Q255" i="17"/>
  <c r="C13" i="54"/>
  <c r="C19" i="54" s="1"/>
  <c r="E333" i="55"/>
  <c r="D333" i="55" s="1"/>
  <c r="E335" i="55"/>
  <c r="D335" i="55" s="1"/>
  <c r="F253" i="48"/>
  <c r="E336" i="55"/>
  <c r="D336" i="55" s="1"/>
  <c r="R255" i="17"/>
  <c r="V163" i="54"/>
  <c r="F140" i="34"/>
  <c r="E352" i="55"/>
  <c r="D352" i="55" s="1"/>
  <c r="V164" i="54"/>
  <c r="V163" i="32"/>
  <c r="F143" i="33"/>
  <c r="C41" i="50"/>
  <c r="C40" i="50"/>
  <c r="C50" i="50" s="1" a="1"/>
  <c r="C50" i="50" s="1"/>
  <c r="C52" i="50" s="1"/>
  <c r="C39" i="50"/>
  <c r="C49" i="50" s="1"/>
  <c r="C51" i="50" s="1"/>
  <c r="C38" i="50"/>
  <c r="C89" i="54"/>
  <c r="C64" i="50"/>
  <c r="C63" i="50"/>
  <c r="C73" i="50" s="1" a="1"/>
  <c r="C73" i="50" s="1"/>
  <c r="C75" i="50" s="1"/>
  <c r="C62" i="50"/>
  <c r="C72" i="50" s="1"/>
  <c r="C74" i="50" s="1"/>
  <c r="C61" i="50"/>
  <c r="P167" i="32"/>
  <c r="I152" i="33"/>
  <c r="I149" i="33"/>
  <c r="I163" i="48"/>
  <c r="I154" i="48"/>
  <c r="I158" i="33"/>
  <c r="C110" i="50"/>
  <c r="C109" i="50"/>
  <c r="C119" i="50" s="1" a="1"/>
  <c r="C119" i="50" s="1"/>
  <c r="C121" i="50" s="1"/>
  <c r="C108" i="50"/>
  <c r="C118" i="50" s="1"/>
  <c r="C120" i="50" s="1"/>
  <c r="C107" i="50"/>
  <c r="C42" i="54"/>
  <c r="C40" i="54"/>
  <c r="C50" i="54" s="1" a="1"/>
  <c r="C50" i="54" s="1"/>
  <c r="C52" i="54" s="1"/>
  <c r="E75" i="55" s="1"/>
  <c r="F214" i="34"/>
  <c r="E334" i="55"/>
  <c r="D334" i="55" s="1"/>
  <c r="C35" i="32"/>
  <c r="C41" i="32" s="1"/>
  <c r="C43" i="32" s="1"/>
  <c r="E269" i="55" s="1"/>
  <c r="C34" i="32"/>
  <c r="C39" i="32"/>
  <c r="C38" i="32"/>
  <c r="C37" i="32"/>
  <c r="C36" i="32"/>
  <c r="C42" i="32" s="1" a="1"/>
  <c r="C42" i="32" s="1"/>
  <c r="C44" i="32" s="1"/>
  <c r="E270" i="55" s="1"/>
  <c r="C96" i="32"/>
  <c r="C95" i="32"/>
  <c r="C94" i="32"/>
  <c r="C93" i="32"/>
  <c r="C99" i="32" s="1" a="1"/>
  <c r="C99" i="32" s="1"/>
  <c r="C101" i="32" s="1"/>
  <c r="E324" i="55" s="1"/>
  <c r="C92" i="32"/>
  <c r="C98" i="32" s="1"/>
  <c r="C100" i="32" s="1"/>
  <c r="E323" i="55" s="1"/>
  <c r="C91" i="32"/>
  <c r="F139" i="33"/>
  <c r="C77" i="32"/>
  <c r="C76" i="32"/>
  <c r="C75" i="32"/>
  <c r="C74" i="32"/>
  <c r="C80" i="32" s="1" a="1"/>
  <c r="C80" i="32" s="1"/>
  <c r="C82" i="32" s="1"/>
  <c r="E306" i="55" s="1"/>
  <c r="C73" i="32"/>
  <c r="C79" i="32" s="1"/>
  <c r="C81" i="32" s="1"/>
  <c r="E305" i="55" s="1"/>
  <c r="C72" i="32"/>
  <c r="V149" i="54"/>
  <c r="C58" i="32"/>
  <c r="C57" i="32"/>
  <c r="C56" i="32"/>
  <c r="C55" i="32"/>
  <c r="C61" i="32" s="1" a="1"/>
  <c r="C61" i="32" s="1"/>
  <c r="C63" i="32" s="1"/>
  <c r="E288" i="55" s="1"/>
  <c r="C54" i="32"/>
  <c r="C60" i="32" s="1"/>
  <c r="C62" i="32" s="1"/>
  <c r="E287" i="55" s="1"/>
  <c r="C53" i="32"/>
  <c r="V200" i="58"/>
  <c r="V199" i="58" s="1"/>
  <c r="F199" i="58"/>
  <c r="C66" i="54"/>
  <c r="C65" i="54"/>
  <c r="C64" i="54"/>
  <c r="C62" i="54"/>
  <c r="C72" i="54" s="1"/>
  <c r="C74" i="54" s="1"/>
  <c r="E105" i="55" s="1"/>
  <c r="C61" i="54"/>
  <c r="C112" i="54"/>
  <c r="V206" i="58"/>
  <c r="V204" i="58" s="1"/>
  <c r="F204" i="58"/>
  <c r="V188" i="58"/>
  <c r="V187" i="58" s="1"/>
  <c r="F187" i="58"/>
  <c r="V192" i="58"/>
  <c r="V191" i="58" s="1"/>
  <c r="F191" i="58"/>
  <c r="C18" i="50"/>
  <c r="C17" i="50"/>
  <c r="C27" i="50" s="1" a="1"/>
  <c r="C27" i="50" s="1"/>
  <c r="C29" i="50" s="1"/>
  <c r="C16" i="50"/>
  <c r="C26" i="50" s="1"/>
  <c r="C28" i="50" s="1"/>
  <c r="C15" i="50"/>
  <c r="F238" i="48"/>
  <c r="F202" i="48"/>
  <c r="F193" i="48"/>
  <c r="F189" i="48"/>
  <c r="F144" i="48"/>
  <c r="F247" i="48"/>
  <c r="F208" i="48"/>
  <c r="F244" i="48"/>
  <c r="F148" i="48"/>
  <c r="F234" i="48"/>
  <c r="F158" i="50"/>
  <c r="F154" i="50"/>
  <c r="F191" i="34"/>
  <c r="F144" i="34"/>
  <c r="F202" i="34"/>
  <c r="F151" i="34"/>
  <c r="F154" i="34"/>
  <c r="F243" i="34"/>
  <c r="F250" i="34"/>
  <c r="F195" i="34"/>
  <c r="O246" i="17"/>
  <c r="F253" i="34"/>
  <c r="F239" i="34"/>
  <c r="F205" i="34"/>
  <c r="O247" i="17"/>
  <c r="P158" i="32"/>
  <c r="O239" i="17"/>
  <c r="U175" i="32"/>
  <c r="P138" i="32"/>
  <c r="V140" i="32"/>
  <c r="C20" i="32"/>
  <c r="C19" i="32"/>
  <c r="C18" i="32"/>
  <c r="C17" i="32"/>
  <c r="C23" i="32" s="1" a="1"/>
  <c r="C23" i="32" s="1"/>
  <c r="C25" i="32" s="1"/>
  <c r="E252" i="55" s="1"/>
  <c r="C16" i="32"/>
  <c r="C22" i="32" s="1"/>
  <c r="C15" i="32"/>
  <c r="V150" i="32"/>
  <c r="V149" i="32"/>
  <c r="O262" i="17"/>
  <c r="Q262" i="17" s="1"/>
  <c r="V139" i="32"/>
  <c r="F138" i="32"/>
  <c r="V161" i="32"/>
  <c r="F153" i="32"/>
  <c r="V154" i="32"/>
  <c r="V166" i="32"/>
  <c r="V164" i="32"/>
  <c r="F158" i="32"/>
  <c r="V160" i="32"/>
  <c r="V169" i="32"/>
  <c r="V167" i="32" s="1"/>
  <c r="P153" i="32"/>
  <c r="P142" i="32"/>
  <c r="V162" i="32"/>
  <c r="V156" i="32"/>
  <c r="V143" i="32"/>
  <c r="F142" i="32"/>
  <c r="O269" i="17"/>
  <c r="R269" i="17" s="1"/>
  <c r="V161" i="54"/>
  <c r="V144" i="54"/>
  <c r="O268" i="17"/>
  <c r="Q268" i="17" s="1"/>
  <c r="V156" i="54"/>
  <c r="O243" i="17"/>
  <c r="V162" i="54"/>
  <c r="V150" i="54"/>
  <c r="V165" i="54"/>
  <c r="H188" i="17"/>
  <c r="P138" i="54"/>
  <c r="F158" i="54"/>
  <c r="V160" i="54"/>
  <c r="V139" i="54"/>
  <c r="V138" i="54" s="1"/>
  <c r="F138" i="54"/>
  <c r="F153" i="54"/>
  <c r="V154" i="54"/>
  <c r="V159" i="54"/>
  <c r="P158" i="54"/>
  <c r="P153" i="54"/>
  <c r="V167" i="54"/>
  <c r="O261" i="17"/>
  <c r="Q261" i="17" s="1"/>
  <c r="V143" i="54"/>
  <c r="F142" i="54"/>
  <c r="P142" i="54"/>
  <c r="O240" i="17"/>
  <c r="I110" i="17"/>
  <c r="P167" i="54"/>
  <c r="H109" i="17"/>
  <c r="O254" i="17"/>
  <c r="Q254" i="17" s="1"/>
  <c r="C58" i="48"/>
  <c r="C35" i="48"/>
  <c r="C12" i="48"/>
  <c r="C104" i="48"/>
  <c r="C81" i="48"/>
  <c r="I21" i="17"/>
  <c r="O231" i="17"/>
  <c r="C80" i="34"/>
  <c r="C103" i="34"/>
  <c r="C11" i="34"/>
  <c r="C34" i="34"/>
  <c r="C57" i="34"/>
  <c r="C34" i="33"/>
  <c r="C36" i="33" s="1"/>
  <c r="C103" i="33"/>
  <c r="C105" i="33" s="1"/>
  <c r="C11" i="33"/>
  <c r="C13" i="33" s="1"/>
  <c r="C80" i="33"/>
  <c r="C82" i="33" s="1"/>
  <c r="C57" i="33"/>
  <c r="C59" i="33" s="1"/>
  <c r="C265" i="17"/>
  <c r="O265" i="17" s="1"/>
  <c r="Q265" i="17" s="1"/>
  <c r="I146" i="17"/>
  <c r="I189" i="17"/>
  <c r="I34" i="17"/>
  <c r="F104" i="58"/>
  <c r="F114" i="58"/>
  <c r="F108" i="58"/>
  <c r="O253" i="17"/>
  <c r="I197" i="17"/>
  <c r="I119" i="17"/>
  <c r="F71" i="58"/>
  <c r="F45" i="58"/>
  <c r="F97" i="58"/>
  <c r="F123" i="58"/>
  <c r="F149" i="58"/>
  <c r="H20" i="17"/>
  <c r="F162" i="58"/>
  <c r="E228" i="55" s="1"/>
  <c r="F159" i="58"/>
  <c r="F155" i="58"/>
  <c r="F154" i="58"/>
  <c r="F168" i="58"/>
  <c r="E229" i="55" s="1"/>
  <c r="F165" i="58"/>
  <c r="F133" i="58"/>
  <c r="F129" i="58"/>
  <c r="F128" i="58"/>
  <c r="F142" i="58"/>
  <c r="E218" i="55" s="1"/>
  <c r="F139" i="58"/>
  <c r="F136" i="58"/>
  <c r="E217" i="55" s="1"/>
  <c r="O232" i="17"/>
  <c r="C263" i="17"/>
  <c r="O263" i="17" s="1"/>
  <c r="G56" i="56"/>
  <c r="F56" i="56"/>
  <c r="H92" i="57"/>
  <c r="G92" i="57"/>
  <c r="F92" i="57"/>
  <c r="C41" i="54" l="1"/>
  <c r="C43" i="54"/>
  <c r="C84" i="54"/>
  <c r="C85" i="54"/>
  <c r="C95" i="54" s="1"/>
  <c r="C97" i="54" s="1"/>
  <c r="E136" i="55" s="1"/>
  <c r="C86" i="54"/>
  <c r="C96" i="54" s="1" a="1"/>
  <c r="C96" i="54" s="1"/>
  <c r="C98" i="54" s="1"/>
  <c r="E137" i="55" s="1"/>
  <c r="C87" i="54"/>
  <c r="C39" i="54"/>
  <c r="C49" i="54" s="1"/>
  <c r="C51" i="54" s="1"/>
  <c r="E74" i="55" s="1"/>
  <c r="C108" i="54"/>
  <c r="C118" i="54" s="1"/>
  <c r="C120" i="54" s="1"/>
  <c r="E167" i="55" s="1"/>
  <c r="C109" i="54"/>
  <c r="C119" i="54" s="1" a="1"/>
  <c r="C119" i="54" s="1"/>
  <c r="C121" i="54" s="1"/>
  <c r="E168" i="55" s="1"/>
  <c r="C110" i="54"/>
  <c r="C84" i="50"/>
  <c r="C85" i="50"/>
  <c r="C95" i="50" s="1"/>
  <c r="C97" i="50" s="1"/>
  <c r="C376" i="55" s="1"/>
  <c r="C86" i="50"/>
  <c r="C96" i="50" s="1" a="1"/>
  <c r="C96" i="50" s="1"/>
  <c r="C98" i="50" s="1"/>
  <c r="C111" i="54"/>
  <c r="C20" i="54"/>
  <c r="H56" i="56"/>
  <c r="C15" i="54"/>
  <c r="C16" i="54"/>
  <c r="C17" i="54"/>
  <c r="C26" i="54" s="1"/>
  <c r="C28" i="54" s="1"/>
  <c r="E43" i="55" s="1"/>
  <c r="C18" i="54"/>
  <c r="C27" i="54" s="1" a="1"/>
  <c r="C27" i="54" s="1"/>
  <c r="C29" i="54" s="1"/>
  <c r="E44" i="55" s="1"/>
  <c r="E331" i="55" s="1"/>
  <c r="D368" i="55" s="1"/>
  <c r="F166" i="33"/>
  <c r="F181" i="50"/>
  <c r="F261" i="48"/>
  <c r="F115" i="58"/>
  <c r="V138" i="32"/>
  <c r="F171" i="34"/>
  <c r="F216" i="48"/>
  <c r="F171" i="48"/>
  <c r="C112" i="33"/>
  <c r="C111" i="33"/>
  <c r="C110" i="33"/>
  <c r="C109" i="33"/>
  <c r="C108" i="33"/>
  <c r="C119" i="33" s="1" a="1"/>
  <c r="C119" i="33" s="1"/>
  <c r="C121" i="33" s="1"/>
  <c r="C107" i="33"/>
  <c r="C118" i="33" s="1"/>
  <c r="C120" i="33" s="1"/>
  <c r="C89" i="33"/>
  <c r="C88" i="33"/>
  <c r="C87" i="33"/>
  <c r="C86" i="33"/>
  <c r="C85" i="33"/>
  <c r="C96" i="33" s="1" a="1"/>
  <c r="C96" i="33" s="1"/>
  <c r="C98" i="33" s="1"/>
  <c r="C84" i="33"/>
  <c r="C95" i="33" s="1"/>
  <c r="C97" i="33" s="1"/>
  <c r="F109" i="58"/>
  <c r="C39" i="33"/>
  <c r="C50" i="33" s="1" a="1"/>
  <c r="C50" i="33" s="1"/>
  <c r="C52" i="33" s="1"/>
  <c r="C38" i="33"/>
  <c r="C49" i="33" s="1"/>
  <c r="C51" i="33" s="1"/>
  <c r="C43" i="33"/>
  <c r="C42" i="33"/>
  <c r="C41" i="33"/>
  <c r="C40" i="33"/>
  <c r="F222" i="34"/>
  <c r="F221" i="58"/>
  <c r="V221" i="58"/>
  <c r="C66" i="33"/>
  <c r="C65" i="33"/>
  <c r="C64" i="33"/>
  <c r="C63" i="33"/>
  <c r="C73" i="33" s="1" a="1"/>
  <c r="C73" i="33" s="1"/>
  <c r="C75" i="33" s="1"/>
  <c r="C62" i="33"/>
  <c r="C72" i="33" s="1"/>
  <c r="C74" i="33" s="1"/>
  <c r="C61" i="33"/>
  <c r="V153" i="54"/>
  <c r="K106" i="48"/>
  <c r="G106" i="48"/>
  <c r="C106" i="48"/>
  <c r="K83" i="48"/>
  <c r="G83" i="48"/>
  <c r="C83" i="48"/>
  <c r="K60" i="48"/>
  <c r="G60" i="48"/>
  <c r="C60" i="48"/>
  <c r="K14" i="48"/>
  <c r="C14" i="48"/>
  <c r="G14" i="48"/>
  <c r="K37" i="48"/>
  <c r="G37" i="48"/>
  <c r="C37" i="48"/>
  <c r="K105" i="34"/>
  <c r="C105" i="34"/>
  <c r="G105" i="34"/>
  <c r="C82" i="34"/>
  <c r="G82" i="34"/>
  <c r="K82" i="34"/>
  <c r="C59" i="34"/>
  <c r="G59" i="34"/>
  <c r="K59" i="34"/>
  <c r="C36" i="34"/>
  <c r="G36" i="34"/>
  <c r="K36" i="34"/>
  <c r="K13" i="34"/>
  <c r="C13" i="34"/>
  <c r="G13" i="34"/>
  <c r="F270" i="34"/>
  <c r="C20" i="33"/>
  <c r="C19" i="33"/>
  <c r="C18" i="33"/>
  <c r="C17" i="33"/>
  <c r="C27" i="33" s="1" a="1"/>
  <c r="C27" i="33" s="1"/>
  <c r="C29" i="33" s="1"/>
  <c r="C16" i="33"/>
  <c r="C26" i="33" s="1"/>
  <c r="C28" i="33" s="1"/>
  <c r="C15" i="33"/>
  <c r="P175" i="32"/>
  <c r="R262" i="17"/>
  <c r="V142" i="32"/>
  <c r="R268" i="17"/>
  <c r="Q269" i="17"/>
  <c r="C24" i="32"/>
  <c r="E251" i="55" s="1"/>
  <c r="E348" i="55" s="1"/>
  <c r="C370" i="55" s="1"/>
  <c r="V158" i="32"/>
  <c r="V153" i="32"/>
  <c r="F175" i="32"/>
  <c r="R265" i="17"/>
  <c r="V158" i="54"/>
  <c r="V142" i="54"/>
  <c r="F175" i="54"/>
  <c r="P175" i="54"/>
  <c r="R261" i="17"/>
  <c r="I109" i="17"/>
  <c r="R254" i="17"/>
  <c r="I20" i="17"/>
  <c r="D376" i="55"/>
  <c r="E349" i="55"/>
  <c r="D370" i="55" s="1"/>
  <c r="I188" i="17"/>
  <c r="Q253" i="17"/>
  <c r="R253" i="17"/>
  <c r="F160" i="58"/>
  <c r="F156" i="58"/>
  <c r="F166" i="58"/>
  <c r="F134" i="58"/>
  <c r="F130" i="58"/>
  <c r="F140" i="58"/>
  <c r="R263" i="17"/>
  <c r="Q263" i="17"/>
  <c r="F49" i="58"/>
  <c r="F75" i="58"/>
  <c r="E330" i="55" l="1"/>
  <c r="C368" i="55" s="1"/>
  <c r="G376" i="55"/>
  <c r="F141" i="58"/>
  <c r="V175" i="54"/>
  <c r="F135" i="58"/>
  <c r="G368" i="55"/>
  <c r="F167" i="58"/>
  <c r="C110" i="34"/>
  <c r="C109" i="34"/>
  <c r="C119" i="34" s="1" a="1"/>
  <c r="C119" i="34" s="1"/>
  <c r="C121" i="34" s="1"/>
  <c r="C108" i="34"/>
  <c r="C118" i="34" s="1"/>
  <c r="C120" i="34" s="1"/>
  <c r="C107" i="34"/>
  <c r="F161" i="58"/>
  <c r="K110" i="34"/>
  <c r="K109" i="34"/>
  <c r="K119" i="34" s="1" a="1"/>
  <c r="K119" i="34" s="1"/>
  <c r="K121" i="34" s="1"/>
  <c r="K108" i="34"/>
  <c r="K118" i="34" s="1"/>
  <c r="K120" i="34" s="1"/>
  <c r="K107" i="34"/>
  <c r="C44" i="48"/>
  <c r="C43" i="48"/>
  <c r="C42" i="48"/>
  <c r="C41" i="48"/>
  <c r="C51" i="48" s="1" a="1"/>
  <c r="C51" i="48" s="1"/>
  <c r="C53" i="48" s="1"/>
  <c r="C40" i="48"/>
  <c r="C50" i="48" s="1"/>
  <c r="C52" i="48" s="1"/>
  <c r="C39" i="48"/>
  <c r="G42" i="48"/>
  <c r="G41" i="48"/>
  <c r="G51" i="48" s="1" a="1"/>
  <c r="G51" i="48" s="1"/>
  <c r="G53" i="48" s="1"/>
  <c r="G40" i="48"/>
  <c r="G50" i="48" s="1"/>
  <c r="G52" i="48" s="1"/>
  <c r="G39" i="48"/>
  <c r="K44" i="48"/>
  <c r="K43" i="48"/>
  <c r="K42" i="48"/>
  <c r="K41" i="48"/>
  <c r="K51" i="48" s="1" a="1"/>
  <c r="K51" i="48" s="1"/>
  <c r="K53" i="48" s="1"/>
  <c r="K40" i="48"/>
  <c r="K50" i="48" s="1"/>
  <c r="K52" i="48" s="1"/>
  <c r="K39" i="48"/>
  <c r="G19" i="48"/>
  <c r="G18" i="48"/>
  <c r="G17" i="48"/>
  <c r="G28" i="48" s="1" a="1"/>
  <c r="G28" i="48" s="1"/>
  <c r="G30" i="48" s="1"/>
  <c r="G16" i="48"/>
  <c r="G27" i="48" s="1"/>
  <c r="G29" i="48" s="1"/>
  <c r="K21" i="48"/>
  <c r="K20" i="48"/>
  <c r="K19" i="48"/>
  <c r="K18" i="48"/>
  <c r="K17" i="48"/>
  <c r="K28" i="48" s="1" a="1"/>
  <c r="K28" i="48" s="1"/>
  <c r="K30" i="48" s="1"/>
  <c r="K16" i="48"/>
  <c r="K27" i="48" s="1"/>
  <c r="K29" i="48" s="1"/>
  <c r="C67" i="48"/>
  <c r="C66" i="48"/>
  <c r="C65" i="48"/>
  <c r="C64" i="48"/>
  <c r="C74" i="48" s="1" a="1"/>
  <c r="C74" i="48" s="1"/>
  <c r="C76" i="48" s="1"/>
  <c r="C63" i="48"/>
  <c r="C73" i="48" s="1"/>
  <c r="C75" i="48" s="1"/>
  <c r="C62" i="48"/>
  <c r="G65" i="48"/>
  <c r="G64" i="48"/>
  <c r="G74" i="48" s="1" a="1"/>
  <c r="G74" i="48" s="1"/>
  <c r="G76" i="48" s="1"/>
  <c r="G63" i="48"/>
  <c r="G73" i="48" s="1"/>
  <c r="G75" i="48" s="1"/>
  <c r="G62" i="48"/>
  <c r="G18" i="34"/>
  <c r="G17" i="34"/>
  <c r="G16" i="34"/>
  <c r="G27" i="34" s="1" a="1"/>
  <c r="G27" i="34" s="1"/>
  <c r="G29" i="34" s="1"/>
  <c r="G15" i="34"/>
  <c r="G26" i="34" s="1"/>
  <c r="G28" i="34" s="1"/>
  <c r="K67" i="48"/>
  <c r="K66" i="48"/>
  <c r="K65" i="48"/>
  <c r="K64" i="48"/>
  <c r="K74" i="48" s="1" a="1"/>
  <c r="K74" i="48" s="1"/>
  <c r="K76" i="48" s="1"/>
  <c r="K63" i="48"/>
  <c r="K73" i="48" s="1"/>
  <c r="K75" i="48" s="1"/>
  <c r="K62" i="48"/>
  <c r="C90" i="48"/>
  <c r="C89" i="48"/>
  <c r="C88" i="48"/>
  <c r="C87" i="48"/>
  <c r="C97" i="48" s="1" a="1"/>
  <c r="C97" i="48" s="1"/>
  <c r="C99" i="48" s="1"/>
  <c r="C86" i="48"/>
  <c r="C96" i="48" s="1"/>
  <c r="C98" i="48" s="1"/>
  <c r="C85" i="48"/>
  <c r="K18" i="34"/>
  <c r="K17" i="34"/>
  <c r="K16" i="34"/>
  <c r="K27" i="34" s="1" a="1"/>
  <c r="K27" i="34" s="1"/>
  <c r="K29" i="34" s="1"/>
  <c r="K15" i="34"/>
  <c r="K26" i="34" s="1"/>
  <c r="K28" i="34" s="1"/>
  <c r="G88" i="48"/>
  <c r="G87" i="48"/>
  <c r="G97" i="48" s="1" a="1"/>
  <c r="G97" i="48" s="1"/>
  <c r="G99" i="48" s="1"/>
  <c r="G86" i="48"/>
  <c r="G96" i="48" s="1"/>
  <c r="G98" i="48" s="1"/>
  <c r="G85" i="48"/>
  <c r="K41" i="34"/>
  <c r="K40" i="34"/>
  <c r="K50" i="34" s="1" a="1"/>
  <c r="K50" i="34" s="1"/>
  <c r="K52" i="34" s="1"/>
  <c r="K39" i="34"/>
  <c r="K49" i="34" s="1"/>
  <c r="K51" i="34" s="1"/>
  <c r="K38" i="34"/>
  <c r="K89" i="48"/>
  <c r="K88" i="48"/>
  <c r="K87" i="48"/>
  <c r="K97" i="48" s="1" a="1"/>
  <c r="K97" i="48" s="1"/>
  <c r="K99" i="48" s="1"/>
  <c r="K86" i="48"/>
  <c r="K96" i="48" s="1"/>
  <c r="K98" i="48" s="1"/>
  <c r="K85" i="48"/>
  <c r="K90" i="48"/>
  <c r="G40" i="34"/>
  <c r="G50" i="34" s="1" a="1"/>
  <c r="G50" i="34" s="1"/>
  <c r="G52" i="34" s="1"/>
  <c r="G39" i="34"/>
  <c r="G49" i="34" s="1"/>
  <c r="G51" i="34" s="1"/>
  <c r="G38" i="34"/>
  <c r="G41" i="34"/>
  <c r="C108" i="48"/>
  <c r="C113" i="48"/>
  <c r="C112" i="48"/>
  <c r="C111" i="48"/>
  <c r="C110" i="48"/>
  <c r="C120" i="48" s="1" a="1"/>
  <c r="C120" i="48" s="1"/>
  <c r="C122" i="48" s="1"/>
  <c r="C109" i="48"/>
  <c r="C119" i="48" s="1"/>
  <c r="C121" i="48" s="1"/>
  <c r="G110" i="48"/>
  <c r="G120" i="48" s="1" a="1"/>
  <c r="G120" i="48" s="1"/>
  <c r="G122" i="48" s="1"/>
  <c r="G109" i="48"/>
  <c r="G119" i="48" s="1"/>
  <c r="G121" i="48" s="1"/>
  <c r="G108" i="48"/>
  <c r="G111" i="48"/>
  <c r="C41" i="34"/>
  <c r="C40" i="34"/>
  <c r="C50" i="34" s="1" a="1"/>
  <c r="C50" i="34" s="1"/>
  <c r="C52" i="34" s="1"/>
  <c r="C39" i="34"/>
  <c r="C49" i="34" s="1"/>
  <c r="C51" i="34" s="1"/>
  <c r="C38" i="34"/>
  <c r="K63" i="34"/>
  <c r="K73" i="34" s="1" a="1"/>
  <c r="K73" i="34" s="1"/>
  <c r="K75" i="34" s="1"/>
  <c r="K62" i="34"/>
  <c r="K72" i="34" s="1"/>
  <c r="K74" i="34" s="1"/>
  <c r="K61" i="34"/>
  <c r="K64" i="34"/>
  <c r="K113" i="48"/>
  <c r="K112" i="48"/>
  <c r="K111" i="48"/>
  <c r="K110" i="48"/>
  <c r="K120" i="48" s="1" a="1"/>
  <c r="K120" i="48" s="1"/>
  <c r="K122" i="48" s="1"/>
  <c r="K109" i="48"/>
  <c r="K119" i="48" s="1"/>
  <c r="K121" i="48" s="1"/>
  <c r="K108" i="48"/>
  <c r="G64" i="34"/>
  <c r="G63" i="34"/>
  <c r="G73" i="34" s="1" a="1"/>
  <c r="G73" i="34" s="1"/>
  <c r="G75" i="34" s="1"/>
  <c r="G62" i="34"/>
  <c r="G72" i="34" s="1"/>
  <c r="G74" i="34" s="1"/>
  <c r="G61" i="34"/>
  <c r="C64" i="34"/>
  <c r="C63" i="34"/>
  <c r="C73" i="34" s="1" a="1"/>
  <c r="C73" i="34" s="1"/>
  <c r="C75" i="34" s="1"/>
  <c r="C62" i="34"/>
  <c r="C72" i="34" s="1"/>
  <c r="C74" i="34" s="1"/>
  <c r="C61" i="34"/>
  <c r="V175" i="32"/>
  <c r="K87" i="34"/>
  <c r="K86" i="34"/>
  <c r="K96" i="34" s="1" a="1"/>
  <c r="K96" i="34" s="1"/>
  <c r="K98" i="34" s="1"/>
  <c r="K85" i="34"/>
  <c r="K95" i="34" s="1"/>
  <c r="K97" i="34" s="1"/>
  <c r="K84" i="34"/>
  <c r="G87" i="34"/>
  <c r="G86" i="34"/>
  <c r="G96" i="34" s="1" a="1"/>
  <c r="G96" i="34" s="1"/>
  <c r="G98" i="34" s="1"/>
  <c r="G85" i="34"/>
  <c r="G95" i="34" s="1"/>
  <c r="G97" i="34" s="1"/>
  <c r="G84" i="34"/>
  <c r="C87" i="34"/>
  <c r="C86" i="34"/>
  <c r="C96" i="34" s="1" a="1"/>
  <c r="C96" i="34" s="1"/>
  <c r="C98" i="34" s="1"/>
  <c r="C85" i="34"/>
  <c r="C95" i="34" s="1"/>
  <c r="C97" i="34" s="1"/>
  <c r="C84" i="34"/>
  <c r="G110" i="34"/>
  <c r="G109" i="34"/>
  <c r="G119" i="34" s="1" a="1"/>
  <c r="G119" i="34" s="1"/>
  <c r="G121" i="34" s="1"/>
  <c r="G108" i="34"/>
  <c r="G118" i="34" s="1"/>
  <c r="G120" i="34" s="1"/>
  <c r="G107" i="34"/>
  <c r="C21" i="48"/>
  <c r="C20" i="48"/>
  <c r="C19" i="48"/>
  <c r="C28" i="48" s="1" a="1"/>
  <c r="C28" i="48" s="1"/>
  <c r="C30" i="48" s="1"/>
  <c r="C18" i="48"/>
  <c r="C27" i="48" s="1"/>
  <c r="C29" i="48" s="1"/>
  <c r="C17" i="48"/>
  <c r="C16" i="48"/>
  <c r="C18" i="34"/>
  <c r="C17" i="34"/>
  <c r="C16" i="34"/>
  <c r="C27" i="34" s="1" a="1"/>
  <c r="C27" i="34" s="1"/>
  <c r="C29" i="34" s="1"/>
  <c r="C15" i="34"/>
  <c r="C26" i="34" s="1"/>
  <c r="C28" i="34" s="1"/>
  <c r="D372" i="55"/>
  <c r="H376" i="55"/>
  <c r="F141" i="50"/>
  <c r="H368" i="55"/>
  <c r="F126" i="54"/>
  <c r="C372" i="55"/>
  <c r="G370" i="55"/>
  <c r="F50" i="58"/>
  <c r="F61" i="58"/>
  <c r="F51" i="58"/>
  <c r="F55" i="58"/>
  <c r="F76" i="58"/>
  <c r="F87" i="58"/>
  <c r="F77" i="58"/>
  <c r="F81" i="58"/>
  <c r="D375" i="55" l="1"/>
  <c r="C375" i="55"/>
  <c r="C374" i="55"/>
  <c r="D377" i="55"/>
  <c r="D378" i="55"/>
  <c r="D374" i="55"/>
  <c r="G374" i="55" s="1"/>
  <c r="C377" i="55"/>
  <c r="C378" i="55"/>
  <c r="C379" i="55"/>
  <c r="D379" i="55"/>
  <c r="C373" i="55"/>
  <c r="D373" i="55" a="1"/>
  <c r="D373" i="55" s="1"/>
  <c r="G372" i="55"/>
  <c r="F126" i="33" s="1"/>
  <c r="G375" i="55"/>
  <c r="F228" i="34" s="1"/>
  <c r="G161" i="54"/>
  <c r="G151" i="54"/>
  <c r="H102" i="17" s="1"/>
  <c r="I102" i="17" s="1"/>
  <c r="Q144" i="54"/>
  <c r="R144" i="54" s="1"/>
  <c r="Q163" i="54"/>
  <c r="R163" i="54" s="1"/>
  <c r="G156" i="54"/>
  <c r="Q155" i="54"/>
  <c r="Q148" i="54"/>
  <c r="G144" i="54"/>
  <c r="G163" i="54"/>
  <c r="Q139" i="54"/>
  <c r="Q165" i="54"/>
  <c r="R165" i="54" s="1"/>
  <c r="Q160" i="54"/>
  <c r="R160" i="54" s="1"/>
  <c r="Q150" i="54"/>
  <c r="R150" i="54" s="1"/>
  <c r="G139" i="54"/>
  <c r="Q169" i="54"/>
  <c r="R169" i="54" s="1"/>
  <c r="G165" i="54"/>
  <c r="G160" i="54"/>
  <c r="H132" i="17" s="1"/>
  <c r="I132" i="17" s="1"/>
  <c r="G150" i="54"/>
  <c r="H95" i="17" s="1"/>
  <c r="Q147" i="54"/>
  <c r="Q143" i="54"/>
  <c r="G169" i="54"/>
  <c r="Q162" i="54"/>
  <c r="R162" i="54" s="1"/>
  <c r="Q141" i="54"/>
  <c r="G143" i="54"/>
  <c r="Q164" i="54"/>
  <c r="R164" i="54" s="1"/>
  <c r="G162" i="54"/>
  <c r="Q157" i="54"/>
  <c r="Q154" i="54"/>
  <c r="Q159" i="54"/>
  <c r="Q152" i="54"/>
  <c r="Q149" i="54"/>
  <c r="R149" i="54" s="1"/>
  <c r="Q146" i="54"/>
  <c r="Q168" i="54"/>
  <c r="G164" i="54"/>
  <c r="H162" i="17" s="1"/>
  <c r="Q140" i="54"/>
  <c r="R140" i="54" s="1"/>
  <c r="Q166" i="54"/>
  <c r="R166" i="54" s="1"/>
  <c r="G154" i="54"/>
  <c r="G149" i="54"/>
  <c r="G168" i="54"/>
  <c r="Q161" i="54"/>
  <c r="R161" i="54" s="1"/>
  <c r="G140" i="54"/>
  <c r="G166" i="54"/>
  <c r="H178" i="17" s="1"/>
  <c r="Q156" i="54"/>
  <c r="R156" i="54" s="1"/>
  <c r="G377" i="55"/>
  <c r="G159" i="50"/>
  <c r="G172" i="50"/>
  <c r="H184" i="17" s="1"/>
  <c r="G156" i="50"/>
  <c r="H156" i="50" s="1"/>
  <c r="G155" i="50"/>
  <c r="G162" i="50"/>
  <c r="G160" i="50"/>
  <c r="H370" i="55"/>
  <c r="F126" i="32"/>
  <c r="F88" i="58"/>
  <c r="F82" i="58"/>
  <c r="F78" i="58"/>
  <c r="F62" i="58"/>
  <c r="F56" i="58"/>
  <c r="F52" i="58"/>
  <c r="I162" i="17" l="1"/>
  <c r="D266" i="17" s="1"/>
  <c r="D244" i="17"/>
  <c r="D245" i="17"/>
  <c r="I178" i="17"/>
  <c r="D267" i="17" s="1"/>
  <c r="I95" i="17"/>
  <c r="D260" i="17" s="1"/>
  <c r="D238" i="17"/>
  <c r="K245" i="17"/>
  <c r="I184" i="17"/>
  <c r="K267" i="17" s="1"/>
  <c r="G378" i="55"/>
  <c r="H378" i="55" s="1"/>
  <c r="F89" i="58"/>
  <c r="F90" i="58" s="1"/>
  <c r="E196" i="55" s="1"/>
  <c r="G379" i="55"/>
  <c r="G373" i="55"/>
  <c r="F126" i="34" s="1"/>
  <c r="F63" i="58"/>
  <c r="F64" i="58" s="1"/>
  <c r="E185" i="55" s="1"/>
  <c r="H372" i="55"/>
  <c r="F83" i="58"/>
  <c r="F84" i="58" s="1"/>
  <c r="E195" i="55" s="1"/>
  <c r="F57" i="58"/>
  <c r="F58" i="58" s="1"/>
  <c r="E184" i="55" s="1"/>
  <c r="H375" i="55"/>
  <c r="W169" i="54"/>
  <c r="H169" i="54"/>
  <c r="X169" i="54" s="1"/>
  <c r="G145" i="33"/>
  <c r="G144" i="33"/>
  <c r="G141" i="33"/>
  <c r="H141" i="33" s="1"/>
  <c r="G140" i="33"/>
  <c r="G147" i="33"/>
  <c r="R147" i="54"/>
  <c r="X147" i="54" s="1"/>
  <c r="W147" i="54"/>
  <c r="W150" i="54"/>
  <c r="H150" i="54"/>
  <c r="X150" i="54" s="1"/>
  <c r="W160" i="54"/>
  <c r="H160" i="54"/>
  <c r="G158" i="54"/>
  <c r="W165" i="54"/>
  <c r="H165" i="54"/>
  <c r="X165" i="54" s="1"/>
  <c r="G167" i="54"/>
  <c r="W168" i="54"/>
  <c r="H168" i="54"/>
  <c r="Q142" i="54"/>
  <c r="R143" i="54"/>
  <c r="W139" i="54"/>
  <c r="H139" i="54"/>
  <c r="G138" i="54"/>
  <c r="G153" i="54"/>
  <c r="W154" i="54"/>
  <c r="H154" i="54"/>
  <c r="W164" i="54"/>
  <c r="H164" i="54"/>
  <c r="X164" i="54" s="1"/>
  <c r="R139" i="54"/>
  <c r="Q138" i="54"/>
  <c r="H163" i="54"/>
  <c r="X163" i="54" s="1"/>
  <c r="W163" i="54"/>
  <c r="W166" i="54"/>
  <c r="H166" i="54"/>
  <c r="X166" i="54" s="1"/>
  <c r="H144" i="54"/>
  <c r="X144" i="54" s="1"/>
  <c r="H64" i="17"/>
  <c r="W144" i="54"/>
  <c r="R148" i="54"/>
  <c r="X148" i="54" s="1"/>
  <c r="W148" i="54"/>
  <c r="W140" i="54"/>
  <c r="H140" i="54"/>
  <c r="X140" i="54" s="1"/>
  <c r="W155" i="54"/>
  <c r="R155" i="54"/>
  <c r="X155" i="54" s="1"/>
  <c r="H71" i="17"/>
  <c r="H160" i="50"/>
  <c r="H156" i="54"/>
  <c r="X156" i="54" s="1"/>
  <c r="W156" i="54"/>
  <c r="Q153" i="54"/>
  <c r="R154" i="54"/>
  <c r="W157" i="54"/>
  <c r="R157" i="54"/>
  <c r="X157" i="54" s="1"/>
  <c r="H88" i="17"/>
  <c r="H162" i="50"/>
  <c r="Q158" i="54"/>
  <c r="W159" i="54"/>
  <c r="R159" i="54"/>
  <c r="W162" i="54"/>
  <c r="H162" i="54"/>
  <c r="X162" i="54" s="1"/>
  <c r="W151" i="54"/>
  <c r="H151" i="54"/>
  <c r="X151" i="54" s="1"/>
  <c r="W152" i="54"/>
  <c r="R152" i="54"/>
  <c r="X152" i="54" s="1"/>
  <c r="F177" i="34"/>
  <c r="H374" i="55"/>
  <c r="H140" i="17"/>
  <c r="W161" i="54"/>
  <c r="H161" i="54"/>
  <c r="X161" i="54" s="1"/>
  <c r="W149" i="54"/>
  <c r="H149" i="54"/>
  <c r="X149" i="54" s="1"/>
  <c r="H81" i="17"/>
  <c r="Q167" i="54"/>
  <c r="R168" i="54"/>
  <c r="R167" i="54" s="1"/>
  <c r="S167" i="54" s="1"/>
  <c r="H172" i="50"/>
  <c r="H167" i="50" s="1"/>
  <c r="I167" i="50" s="1"/>
  <c r="G167" i="50"/>
  <c r="G142" i="54"/>
  <c r="W143" i="54"/>
  <c r="H143" i="54"/>
  <c r="H51" i="17"/>
  <c r="H155" i="50"/>
  <c r="H154" i="50" s="1"/>
  <c r="I154" i="50" s="1"/>
  <c r="G154" i="50"/>
  <c r="W141" i="54"/>
  <c r="R141" i="54"/>
  <c r="X141" i="54" s="1"/>
  <c r="W146" i="54"/>
  <c r="R146" i="54"/>
  <c r="X146" i="54" s="1"/>
  <c r="H159" i="50"/>
  <c r="G158" i="50"/>
  <c r="H58" i="17"/>
  <c r="F133" i="48"/>
  <c r="H377" i="55"/>
  <c r="H379" i="55"/>
  <c r="F224" i="48"/>
  <c r="G260" i="34"/>
  <c r="H260" i="34" s="1"/>
  <c r="G252" i="34"/>
  <c r="H252" i="34" s="1"/>
  <c r="G244" i="34"/>
  <c r="G259" i="34"/>
  <c r="G251" i="34"/>
  <c r="G258" i="34"/>
  <c r="H258" i="34" s="1"/>
  <c r="G264" i="34"/>
  <c r="H264" i="34" s="1"/>
  <c r="G257" i="34"/>
  <c r="H257" i="34" s="1"/>
  <c r="G241" i="34"/>
  <c r="H241" i="34" s="1"/>
  <c r="G263" i="34"/>
  <c r="G256" i="34"/>
  <c r="G249" i="34"/>
  <c r="G240" i="34"/>
  <c r="G255" i="34"/>
  <c r="H137" i="17" s="1"/>
  <c r="I137" i="17" s="1"/>
  <c r="G248" i="34"/>
  <c r="G247" i="34"/>
  <c r="G261" i="34"/>
  <c r="G245" i="34"/>
  <c r="G161" i="32"/>
  <c r="H142" i="17" s="1"/>
  <c r="Q163" i="32"/>
  <c r="R163" i="32" s="1"/>
  <c r="G151" i="32"/>
  <c r="H104" i="17" s="1"/>
  <c r="I104" i="17" s="1"/>
  <c r="G149" i="32"/>
  <c r="H83" i="17" s="1"/>
  <c r="Q146" i="32"/>
  <c r="Q143" i="32"/>
  <c r="G156" i="32"/>
  <c r="Q141" i="32"/>
  <c r="G163" i="32"/>
  <c r="Q165" i="32"/>
  <c r="R165" i="32" s="1"/>
  <c r="G143" i="32"/>
  <c r="H53" i="17" s="1"/>
  <c r="Q160" i="32"/>
  <c r="G165" i="32"/>
  <c r="Q169" i="32"/>
  <c r="R169" i="32" s="1"/>
  <c r="Q155" i="32"/>
  <c r="Q150" i="32"/>
  <c r="Q148" i="32"/>
  <c r="G160" i="32"/>
  <c r="H134" i="17" s="1"/>
  <c r="I134" i="17" s="1"/>
  <c r="Q140" i="32"/>
  <c r="R140" i="32" s="1"/>
  <c r="Q162" i="32"/>
  <c r="R162" i="32" s="1"/>
  <c r="G169" i="32"/>
  <c r="G150" i="32"/>
  <c r="H97" i="17" s="1"/>
  <c r="Q144" i="32"/>
  <c r="R144" i="32" s="1"/>
  <c r="G140" i="32"/>
  <c r="G162" i="32"/>
  <c r="Q164" i="32"/>
  <c r="Q157" i="32"/>
  <c r="Q154" i="32"/>
  <c r="Q159" i="32"/>
  <c r="Q152" i="32"/>
  <c r="Q147" i="32"/>
  <c r="G144" i="32"/>
  <c r="H66" i="17" s="1"/>
  <c r="G164" i="32"/>
  <c r="H164" i="17" s="1"/>
  <c r="Q168" i="32"/>
  <c r="Q166" i="32"/>
  <c r="G154" i="32"/>
  <c r="G159" i="32"/>
  <c r="Q139" i="32"/>
  <c r="Q161" i="32"/>
  <c r="R161" i="32" s="1"/>
  <c r="Q149" i="32"/>
  <c r="R149" i="32" s="1"/>
  <c r="G168" i="32"/>
  <c r="G166" i="32"/>
  <c r="H180" i="17" s="1"/>
  <c r="Q156" i="32"/>
  <c r="R156" i="32" s="1"/>
  <c r="G139" i="32"/>
  <c r="H259" i="34" l="1"/>
  <c r="H167" i="17"/>
  <c r="H261" i="34"/>
  <c r="H183" i="17"/>
  <c r="I183" i="17" s="1"/>
  <c r="J267" i="17" s="1"/>
  <c r="F179" i="48"/>
  <c r="H249" i="34"/>
  <c r="H107" i="17"/>
  <c r="I107" i="17" s="1"/>
  <c r="H248" i="34"/>
  <c r="H100" i="17"/>
  <c r="I164" i="17"/>
  <c r="F266" i="17" s="1"/>
  <c r="F244" i="17"/>
  <c r="R150" i="32"/>
  <c r="R166" i="32"/>
  <c r="I97" i="17"/>
  <c r="F260" i="17" s="1"/>
  <c r="F238" i="17"/>
  <c r="R160" i="32"/>
  <c r="I180" i="17"/>
  <c r="F267" i="17" s="1"/>
  <c r="F245" i="17"/>
  <c r="R164" i="32"/>
  <c r="E342" i="55"/>
  <c r="D369" i="55" s="1"/>
  <c r="H373" i="55"/>
  <c r="W167" i="54"/>
  <c r="E341" i="55"/>
  <c r="C369" i="55" s="1"/>
  <c r="G369" i="55" s="1"/>
  <c r="F175" i="58" s="1"/>
  <c r="G175" i="54"/>
  <c r="W138" i="54"/>
  <c r="G251" i="48"/>
  <c r="H251" i="48" s="1"/>
  <c r="G237" i="48"/>
  <c r="H237" i="48" s="1"/>
  <c r="G250" i="48"/>
  <c r="H250" i="48" s="1"/>
  <c r="G236" i="48"/>
  <c r="H236" i="48" s="1"/>
  <c r="G243" i="48"/>
  <c r="H243" i="48" s="1"/>
  <c r="G249" i="48"/>
  <c r="H249" i="48" s="1"/>
  <c r="G235" i="48"/>
  <c r="G242" i="48"/>
  <c r="G248" i="48"/>
  <c r="G255" i="48"/>
  <c r="H255" i="48" s="1"/>
  <c r="G241" i="48"/>
  <c r="H241" i="48" s="1"/>
  <c r="G254" i="48"/>
  <c r="G240" i="48"/>
  <c r="G239" i="48"/>
  <c r="G246" i="48"/>
  <c r="H246" i="48" s="1"/>
  <c r="G245" i="48"/>
  <c r="G252" i="48"/>
  <c r="D237" i="17"/>
  <c r="I81" i="17"/>
  <c r="D259" i="17" s="1"/>
  <c r="H138" i="54"/>
  <c r="X139" i="54"/>
  <c r="X138" i="54" s="1"/>
  <c r="I71" i="17"/>
  <c r="K257" i="17" s="1"/>
  <c r="K235" i="17"/>
  <c r="R142" i="54"/>
  <c r="S142" i="54" s="1"/>
  <c r="K234" i="17"/>
  <c r="I58" i="17"/>
  <c r="K256" i="17" s="1"/>
  <c r="H167" i="54"/>
  <c r="I167" i="54" s="1"/>
  <c r="X168" i="54"/>
  <c r="X167" i="54" s="1"/>
  <c r="Y167" i="54" s="1"/>
  <c r="I140" i="17"/>
  <c r="D264" i="17" s="1"/>
  <c r="D242" i="17"/>
  <c r="G200" i="34"/>
  <c r="G193" i="34"/>
  <c r="H193" i="34" s="1"/>
  <c r="G213" i="34"/>
  <c r="G192" i="34"/>
  <c r="G212" i="34"/>
  <c r="H212" i="34" s="1"/>
  <c r="G199" i="34"/>
  <c r="G211" i="34"/>
  <c r="G204" i="34"/>
  <c r="H204" i="34" s="1"/>
  <c r="G197" i="34"/>
  <c r="G210" i="34"/>
  <c r="H210" i="34" s="1"/>
  <c r="G203" i="34"/>
  <c r="G196" i="34"/>
  <c r="G216" i="34"/>
  <c r="H216" i="34" s="1"/>
  <c r="G209" i="34"/>
  <c r="H209" i="34" s="1"/>
  <c r="G215" i="34"/>
  <c r="G208" i="34"/>
  <c r="G207" i="34"/>
  <c r="G201" i="34"/>
  <c r="G194" i="34"/>
  <c r="H194" i="34" s="1"/>
  <c r="G206" i="34"/>
  <c r="H255" i="34"/>
  <c r="G253" i="34"/>
  <c r="G203" i="48"/>
  <c r="G210" i="48"/>
  <c r="H210" i="48" s="1"/>
  <c r="G196" i="48"/>
  <c r="H196" i="48" s="1"/>
  <c r="G209" i="48"/>
  <c r="G195" i="48"/>
  <c r="G194" i="48"/>
  <c r="G201" i="48"/>
  <c r="H201" i="48" s="1"/>
  <c r="G200" i="48"/>
  <c r="G207" i="48"/>
  <c r="G206" i="48"/>
  <c r="H206" i="48" s="1"/>
  <c r="G192" i="48"/>
  <c r="H192" i="48" s="1"/>
  <c r="G205" i="48"/>
  <c r="H205" i="48" s="1"/>
  <c r="G191" i="48"/>
  <c r="H191" i="48" s="1"/>
  <c r="G198" i="48"/>
  <c r="H198" i="48" s="1"/>
  <c r="G204" i="48"/>
  <c r="H204" i="48" s="1"/>
  <c r="G190" i="48"/>
  <c r="G197" i="48"/>
  <c r="D235" i="17"/>
  <c r="I64" i="17"/>
  <c r="D257" i="17" s="1"/>
  <c r="X160" i="54"/>
  <c r="H158" i="54"/>
  <c r="I158" i="54" s="1"/>
  <c r="H145" i="17"/>
  <c r="H256" i="34"/>
  <c r="G181" i="50"/>
  <c r="H263" i="34"/>
  <c r="H262" i="34" s="1"/>
  <c r="G262" i="34"/>
  <c r="G146" i="48"/>
  <c r="H146" i="48" s="1"/>
  <c r="G145" i="48"/>
  <c r="G152" i="48"/>
  <c r="G150" i="48"/>
  <c r="G149" i="48"/>
  <c r="G162" i="48"/>
  <c r="H185" i="17" s="1"/>
  <c r="R158" i="54"/>
  <c r="S158" i="54" s="1"/>
  <c r="X159" i="54"/>
  <c r="G160" i="34"/>
  <c r="G153" i="34"/>
  <c r="H153" i="34" s="1"/>
  <c r="G145" i="34"/>
  <c r="G159" i="34"/>
  <c r="H159" i="34" s="1"/>
  <c r="G152" i="34"/>
  <c r="G165" i="34"/>
  <c r="H165" i="34" s="1"/>
  <c r="G158" i="34"/>
  <c r="H158" i="34" s="1"/>
  <c r="G164" i="34"/>
  <c r="G157" i="34"/>
  <c r="G143" i="34"/>
  <c r="H143" i="34" s="1"/>
  <c r="G156" i="34"/>
  <c r="G150" i="34"/>
  <c r="G142" i="34"/>
  <c r="H142" i="34" s="1"/>
  <c r="G155" i="34"/>
  <c r="G149" i="34"/>
  <c r="G141" i="34"/>
  <c r="G162" i="34"/>
  <c r="G148" i="34"/>
  <c r="G161" i="34"/>
  <c r="H161" i="34" s="1"/>
  <c r="G146" i="34"/>
  <c r="W158" i="54"/>
  <c r="D234" i="17"/>
  <c r="I51" i="17"/>
  <c r="D256" i="17" s="1"/>
  <c r="Q175" i="54"/>
  <c r="H147" i="33"/>
  <c r="H84" i="17"/>
  <c r="R138" i="54"/>
  <c r="H140" i="33"/>
  <c r="H139" i="33" s="1"/>
  <c r="I139" i="33" s="1"/>
  <c r="G139" i="33"/>
  <c r="H70" i="17"/>
  <c r="H245" i="34"/>
  <c r="H158" i="50"/>
  <c r="I158" i="50" s="1"/>
  <c r="H87" i="17"/>
  <c r="H247" i="34"/>
  <c r="H240" i="34"/>
  <c r="H239" i="34" s="1"/>
  <c r="G239" i="34"/>
  <c r="W142" i="54"/>
  <c r="H144" i="33"/>
  <c r="H54" i="17"/>
  <c r="G143" i="33"/>
  <c r="H244" i="34"/>
  <c r="H57" i="17"/>
  <c r="G243" i="34"/>
  <c r="H153" i="54"/>
  <c r="I153" i="54" s="1"/>
  <c r="X154" i="54"/>
  <c r="X153" i="54" s="1"/>
  <c r="Y153" i="54" s="1"/>
  <c r="H67" i="17"/>
  <c r="H145" i="33"/>
  <c r="K237" i="17"/>
  <c r="I88" i="17"/>
  <c r="K259" i="17" s="1"/>
  <c r="R153" i="54"/>
  <c r="S153" i="54" s="1"/>
  <c r="W153" i="54"/>
  <c r="H142" i="54"/>
  <c r="I142" i="54" s="1"/>
  <c r="X143" i="54"/>
  <c r="X142" i="54" s="1"/>
  <c r="Y142" i="54" s="1"/>
  <c r="H251" i="34"/>
  <c r="H250" i="34" s="1"/>
  <c r="G250" i="34"/>
  <c r="W169" i="32"/>
  <c r="X169" i="32" s="1"/>
  <c r="H169" i="32"/>
  <c r="W160" i="32"/>
  <c r="X160" i="32" s="1"/>
  <c r="H160" i="32"/>
  <c r="W150" i="32"/>
  <c r="X150" i="32" s="1"/>
  <c r="H150" i="32"/>
  <c r="W155" i="32"/>
  <c r="X155" i="32" s="1"/>
  <c r="R155" i="32"/>
  <c r="H143" i="32"/>
  <c r="G142" i="32"/>
  <c r="W143" i="32"/>
  <c r="W152" i="32"/>
  <c r="X152" i="32" s="1"/>
  <c r="R152" i="32"/>
  <c r="W166" i="32"/>
  <c r="X166" i="32" s="1"/>
  <c r="H166" i="32"/>
  <c r="R146" i="32"/>
  <c r="W146" i="32"/>
  <c r="X146" i="32" s="1"/>
  <c r="H76" i="17"/>
  <c r="G138" i="32"/>
  <c r="W139" i="32"/>
  <c r="H139" i="32"/>
  <c r="G167" i="32"/>
  <c r="W168" i="32"/>
  <c r="H168" i="32"/>
  <c r="H163" i="32"/>
  <c r="W163" i="32"/>
  <c r="X163" i="32" s="1"/>
  <c r="W147" i="32"/>
  <c r="X147" i="32" s="1"/>
  <c r="R147" i="32"/>
  <c r="H77" i="17"/>
  <c r="I77" i="17" s="1"/>
  <c r="Q153" i="32"/>
  <c r="R154" i="32"/>
  <c r="H149" i="32"/>
  <c r="W149" i="32"/>
  <c r="X149" i="32" s="1"/>
  <c r="W148" i="32"/>
  <c r="X148" i="32" s="1"/>
  <c r="R148" i="32"/>
  <c r="H78" i="17"/>
  <c r="I78" i="17" s="1"/>
  <c r="Q138" i="32"/>
  <c r="R139" i="32"/>
  <c r="W164" i="32"/>
  <c r="X164" i="32" s="1"/>
  <c r="H164" i="32"/>
  <c r="W144" i="32"/>
  <c r="X144" i="32" s="1"/>
  <c r="H144" i="32"/>
  <c r="R143" i="32"/>
  <c r="Q142" i="32"/>
  <c r="W157" i="32"/>
  <c r="X157" i="32" s="1"/>
  <c r="R157" i="32"/>
  <c r="H151" i="32"/>
  <c r="W151" i="32"/>
  <c r="X151" i="32" s="1"/>
  <c r="G158" i="32"/>
  <c r="W159" i="32"/>
  <c r="H159" i="32"/>
  <c r="W165" i="32"/>
  <c r="X165" i="32" s="1"/>
  <c r="H165" i="32"/>
  <c r="G153" i="32"/>
  <c r="W154" i="32"/>
  <c r="H154" i="32"/>
  <c r="Q167" i="32"/>
  <c r="R168" i="32"/>
  <c r="R167" i="32" s="1"/>
  <c r="S167" i="32" s="1"/>
  <c r="R141" i="32"/>
  <c r="W141" i="32"/>
  <c r="X141" i="32" s="1"/>
  <c r="W140" i="32"/>
  <c r="X140" i="32" s="1"/>
  <c r="H140" i="32"/>
  <c r="H156" i="32"/>
  <c r="W156" i="32"/>
  <c r="X156" i="32" s="1"/>
  <c r="Q158" i="32"/>
  <c r="R159" i="32"/>
  <c r="W162" i="32"/>
  <c r="X162" i="32" s="1"/>
  <c r="H162" i="32"/>
  <c r="W161" i="32"/>
  <c r="X161" i="32" s="1"/>
  <c r="H161" i="32"/>
  <c r="R158" i="32" l="1"/>
  <c r="S158" i="32" s="1"/>
  <c r="H252" i="48"/>
  <c r="H187" i="17"/>
  <c r="I187" i="17" s="1"/>
  <c r="H160" i="34"/>
  <c r="H165" i="17"/>
  <c r="H207" i="48"/>
  <c r="H186" i="17"/>
  <c r="H211" i="34"/>
  <c r="H166" i="17"/>
  <c r="I185" i="17"/>
  <c r="L267" i="17" s="1"/>
  <c r="L245" i="17"/>
  <c r="H213" i="34"/>
  <c r="H182" i="17"/>
  <c r="H162" i="34"/>
  <c r="H181" i="17"/>
  <c r="H200" i="34"/>
  <c r="H99" i="17"/>
  <c r="H149" i="34"/>
  <c r="H98" i="17"/>
  <c r="I100" i="17"/>
  <c r="J260" i="17" s="1"/>
  <c r="J238" i="17"/>
  <c r="H150" i="34"/>
  <c r="H105" i="17"/>
  <c r="I105" i="17" s="1"/>
  <c r="H201" i="34"/>
  <c r="H106" i="17"/>
  <c r="I106" i="17" s="1"/>
  <c r="H207" i="34"/>
  <c r="H136" i="17"/>
  <c r="I136" i="17" s="1"/>
  <c r="H156" i="34"/>
  <c r="H135" i="17"/>
  <c r="I135" i="17" s="1"/>
  <c r="J244" i="17"/>
  <c r="J245" i="17"/>
  <c r="I167" i="17"/>
  <c r="J266" i="17" s="1"/>
  <c r="G210" i="58"/>
  <c r="H163" i="17" s="1"/>
  <c r="G200" i="58"/>
  <c r="H200" i="58" s="1"/>
  <c r="Q198" i="58"/>
  <c r="H108" i="17" s="1"/>
  <c r="I108" i="17" s="1"/>
  <c r="Q188" i="58"/>
  <c r="R188" i="58" s="1"/>
  <c r="G215" i="58"/>
  <c r="H215" i="58" s="1"/>
  <c r="Q195" i="58"/>
  <c r="H80" i="17" s="1"/>
  <c r="Q214" i="58"/>
  <c r="R214" i="58" s="1"/>
  <c r="Q212" i="58"/>
  <c r="G192" i="58"/>
  <c r="H192" i="58" s="1"/>
  <c r="Q207" i="58"/>
  <c r="H139" i="17" s="1"/>
  <c r="G211" i="58"/>
  <c r="H211" i="58" s="1"/>
  <c r="G188" i="58"/>
  <c r="G214" i="58"/>
  <c r="H214" i="58" s="1"/>
  <c r="Q202" i="58"/>
  <c r="R202" i="58" s="1"/>
  <c r="Q196" i="58"/>
  <c r="Q192" i="58"/>
  <c r="G202" i="58"/>
  <c r="Q190" i="58"/>
  <c r="R190" i="58" s="1"/>
  <c r="X190" i="58" s="1"/>
  <c r="Q193" i="58"/>
  <c r="Q211" i="58"/>
  <c r="R211" i="58" s="1"/>
  <c r="G212" i="58"/>
  <c r="Q210" i="58"/>
  <c r="G197" i="58"/>
  <c r="G209" i="58"/>
  <c r="W209" i="58" s="1"/>
  <c r="G208" i="58"/>
  <c r="W208" i="58" s="1"/>
  <c r="Q206" i="58"/>
  <c r="G207" i="58"/>
  <c r="H141" i="17" s="1"/>
  <c r="G193" i="58"/>
  <c r="H193" i="58" s="1"/>
  <c r="G195" i="58"/>
  <c r="G206" i="58"/>
  <c r="Q201" i="58"/>
  <c r="W201" i="58" s="1"/>
  <c r="Q200" i="58"/>
  <c r="Q189" i="58"/>
  <c r="R189" i="58" s="1"/>
  <c r="G189" i="58"/>
  <c r="H189" i="58" s="1"/>
  <c r="G196" i="58"/>
  <c r="H96" i="17" s="1"/>
  <c r="Q203" i="58"/>
  <c r="Q205" i="58"/>
  <c r="W205" i="58" s="1"/>
  <c r="Q215" i="58"/>
  <c r="R215" i="58" s="1"/>
  <c r="H369" i="55"/>
  <c r="H380" i="55" s="1"/>
  <c r="G166" i="33"/>
  <c r="W175" i="54"/>
  <c r="H181" i="50"/>
  <c r="I181" i="50" s="1"/>
  <c r="H167" i="32"/>
  <c r="I167" i="32" s="1"/>
  <c r="H243" i="34"/>
  <c r="J262" i="34"/>
  <c r="I262" i="34"/>
  <c r="J250" i="34"/>
  <c r="I250" i="34"/>
  <c r="J239" i="34"/>
  <c r="I239" i="34"/>
  <c r="H138" i="32"/>
  <c r="I138" i="32" s="1"/>
  <c r="R153" i="32"/>
  <c r="S153" i="32" s="1"/>
  <c r="X158" i="54"/>
  <c r="Y158" i="54" s="1"/>
  <c r="H144" i="17"/>
  <c r="H208" i="34"/>
  <c r="H215" i="34"/>
  <c r="H214" i="34" s="1"/>
  <c r="G214" i="34"/>
  <c r="G189" i="48"/>
  <c r="H190" i="48"/>
  <c r="H189" i="48" s="1"/>
  <c r="I189" i="48" s="1"/>
  <c r="Y138" i="54"/>
  <c r="I138" i="54"/>
  <c r="H175" i="54"/>
  <c r="I175" i="54" s="1"/>
  <c r="H56" i="17"/>
  <c r="H196" i="34"/>
  <c r="G195" i="34"/>
  <c r="S138" i="54"/>
  <c r="R175" i="54"/>
  <c r="S175" i="54" s="1"/>
  <c r="H203" i="34"/>
  <c r="H202" i="34" s="1"/>
  <c r="G202" i="34"/>
  <c r="G244" i="48"/>
  <c r="H245" i="48"/>
  <c r="H244" i="48" s="1"/>
  <c r="I244" i="48" s="1"/>
  <c r="G157" i="48"/>
  <c r="H162" i="48"/>
  <c r="H157" i="48" s="1"/>
  <c r="I157" i="48" s="1"/>
  <c r="H239" i="48"/>
  <c r="H61" i="17"/>
  <c r="G238" i="48"/>
  <c r="H200" i="48"/>
  <c r="H199" i="48" s="1"/>
  <c r="I199" i="48" s="1"/>
  <c r="G199" i="48"/>
  <c r="H199" i="34"/>
  <c r="H86" i="17"/>
  <c r="H240" i="48"/>
  <c r="H74" i="17"/>
  <c r="D270" i="17"/>
  <c r="H254" i="48"/>
  <c r="H253" i="48" s="1"/>
  <c r="I253" i="48" s="1"/>
  <c r="G253" i="48"/>
  <c r="H192" i="34"/>
  <c r="H191" i="34" s="1"/>
  <c r="G191" i="34"/>
  <c r="H89" i="17"/>
  <c r="H152" i="48"/>
  <c r="H85" i="17"/>
  <c r="H148" i="34"/>
  <c r="H145" i="48"/>
  <c r="H144" i="48" s="1"/>
  <c r="I144" i="48" s="1"/>
  <c r="G144" i="48"/>
  <c r="H73" i="17"/>
  <c r="H195" i="48"/>
  <c r="H90" i="17"/>
  <c r="H197" i="48"/>
  <c r="H248" i="48"/>
  <c r="H247" i="48" s="1"/>
  <c r="I247" i="48" s="1"/>
  <c r="G247" i="48"/>
  <c r="H91" i="17"/>
  <c r="H242" i="48"/>
  <c r="H235" i="48"/>
  <c r="H234" i="48" s="1"/>
  <c r="I234" i="48" s="1"/>
  <c r="G234" i="48"/>
  <c r="H145" i="34"/>
  <c r="H55" i="17"/>
  <c r="G144" i="34"/>
  <c r="I67" i="17"/>
  <c r="G257" i="17" s="1"/>
  <c r="G235" i="17"/>
  <c r="H68" i="17"/>
  <c r="H146" i="34"/>
  <c r="I54" i="17"/>
  <c r="G256" i="17" s="1"/>
  <c r="G234" i="17"/>
  <c r="H155" i="34"/>
  <c r="G154" i="34"/>
  <c r="G270" i="34"/>
  <c r="G202" i="48"/>
  <c r="H203" i="48"/>
  <c r="H202" i="48" s="1"/>
  <c r="I202" i="48" s="1"/>
  <c r="I70" i="17"/>
  <c r="J257" i="17" s="1"/>
  <c r="J235" i="17"/>
  <c r="H152" i="34"/>
  <c r="H151" i="34" s="1"/>
  <c r="G151" i="34"/>
  <c r="H69" i="17"/>
  <c r="H197" i="34"/>
  <c r="H149" i="48"/>
  <c r="H59" i="17"/>
  <c r="G148" i="48"/>
  <c r="I57" i="17"/>
  <c r="J256" i="17" s="1"/>
  <c r="J234" i="17"/>
  <c r="H194" i="48"/>
  <c r="G193" i="48"/>
  <c r="H60" i="17"/>
  <c r="H143" i="33"/>
  <c r="I143" i="33" s="1"/>
  <c r="H253" i="34"/>
  <c r="J237" i="17"/>
  <c r="I87" i="17"/>
  <c r="J259" i="17" s="1"/>
  <c r="I145" i="17"/>
  <c r="J264" i="17" s="1"/>
  <c r="J242" i="17"/>
  <c r="G205" i="34"/>
  <c r="H206" i="34"/>
  <c r="K270" i="17"/>
  <c r="G237" i="17"/>
  <c r="I84" i="17"/>
  <c r="G259" i="17" s="1"/>
  <c r="D248" i="17"/>
  <c r="H72" i="17"/>
  <c r="H150" i="48"/>
  <c r="H141" i="34"/>
  <c r="H140" i="34" s="1"/>
  <c r="G140" i="34"/>
  <c r="H143" i="17"/>
  <c r="H157" i="34"/>
  <c r="K248" i="17"/>
  <c r="H209" i="48"/>
  <c r="H208" i="48" s="1"/>
  <c r="I208" i="48" s="1"/>
  <c r="G208" i="48"/>
  <c r="H164" i="34"/>
  <c r="H163" i="34" s="1"/>
  <c r="G163" i="34"/>
  <c r="G175" i="32"/>
  <c r="W142" i="32"/>
  <c r="X143" i="32"/>
  <c r="X142" i="32" s="1"/>
  <c r="F234" i="17"/>
  <c r="I53" i="17"/>
  <c r="F256" i="17" s="1"/>
  <c r="W138" i="32"/>
  <c r="X139" i="32"/>
  <c r="X138" i="32" s="1"/>
  <c r="I76" i="17"/>
  <c r="I75" i="17" s="1"/>
  <c r="C258" i="17" s="1"/>
  <c r="O258" i="17" s="1"/>
  <c r="H75" i="17"/>
  <c r="C236" i="17" s="1"/>
  <c r="O236" i="17" s="1"/>
  <c r="H158" i="32"/>
  <c r="I158" i="32" s="1"/>
  <c r="H142" i="32"/>
  <c r="I142" i="32" s="1"/>
  <c r="H153" i="32"/>
  <c r="I153" i="32" s="1"/>
  <c r="X159" i="32"/>
  <c r="X158" i="32" s="1"/>
  <c r="W158" i="32"/>
  <c r="R138" i="32"/>
  <c r="Q175" i="32"/>
  <c r="F235" i="17"/>
  <c r="I66" i="17"/>
  <c r="F257" i="17" s="1"/>
  <c r="X154" i="32"/>
  <c r="X153" i="32" s="1"/>
  <c r="W153" i="32"/>
  <c r="I142" i="17"/>
  <c r="F264" i="17" s="1"/>
  <c r="F242" i="17"/>
  <c r="I83" i="17"/>
  <c r="F259" i="17" s="1"/>
  <c r="F237" i="17"/>
  <c r="R142" i="32"/>
  <c r="S142" i="32" s="1"/>
  <c r="W167" i="32"/>
  <c r="X168" i="32"/>
  <c r="X167" i="32" s="1"/>
  <c r="R205" i="58"/>
  <c r="H196" i="58"/>
  <c r="W203" i="58"/>
  <c r="R203" i="58"/>
  <c r="X203" i="58" s="1"/>
  <c r="G199" i="58" l="1"/>
  <c r="W200" i="58"/>
  <c r="H210" i="58"/>
  <c r="H65" i="17"/>
  <c r="R200" i="58"/>
  <c r="R198" i="58"/>
  <c r="X198" i="58" s="1"/>
  <c r="H208" i="58"/>
  <c r="X208" i="58" s="1"/>
  <c r="W193" i="58"/>
  <c r="W198" i="58"/>
  <c r="H207" i="58"/>
  <c r="R212" i="58"/>
  <c r="H177" i="17"/>
  <c r="H206" i="58"/>
  <c r="H133" i="17"/>
  <c r="I133" i="17" s="1"/>
  <c r="R206" i="58"/>
  <c r="H131" i="17"/>
  <c r="I131" i="17" s="1"/>
  <c r="H238" i="17"/>
  <c r="I98" i="17"/>
  <c r="H260" i="17" s="1"/>
  <c r="I163" i="17"/>
  <c r="E266" i="17" s="1"/>
  <c r="E244" i="17"/>
  <c r="I99" i="17"/>
  <c r="I260" i="17" s="1"/>
  <c r="I238" i="17"/>
  <c r="W197" i="58"/>
  <c r="H103" i="17"/>
  <c r="I103" i="17" s="1"/>
  <c r="R210" i="58"/>
  <c r="H161" i="17"/>
  <c r="H245" i="17"/>
  <c r="I181" i="17"/>
  <c r="H267" i="17" s="1"/>
  <c r="H212" i="58"/>
  <c r="H179" i="17"/>
  <c r="I244" i="17"/>
  <c r="I182" i="17"/>
  <c r="I267" i="17" s="1"/>
  <c r="I166" i="17"/>
  <c r="I266" i="17" s="1"/>
  <c r="I245" i="17"/>
  <c r="R196" i="58"/>
  <c r="H94" i="17"/>
  <c r="I186" i="17"/>
  <c r="M267" i="17" s="1"/>
  <c r="M245" i="17"/>
  <c r="W188" i="58"/>
  <c r="H244" i="17"/>
  <c r="I165" i="17"/>
  <c r="H266" i="17" s="1"/>
  <c r="I96" i="17"/>
  <c r="R201" i="58"/>
  <c r="X201" i="58" s="1"/>
  <c r="W195" i="58"/>
  <c r="W196" i="58"/>
  <c r="X196" i="58"/>
  <c r="X212" i="58"/>
  <c r="H82" i="17"/>
  <c r="I82" i="17" s="1"/>
  <c r="E259" i="17" s="1"/>
  <c r="H195" i="58"/>
  <c r="W207" i="58"/>
  <c r="R195" i="58"/>
  <c r="Q213" i="58"/>
  <c r="W206" i="58"/>
  <c r="R207" i="58"/>
  <c r="Q191" i="58"/>
  <c r="H63" i="17"/>
  <c r="I63" i="17" s="1"/>
  <c r="R193" i="58"/>
  <c r="X193" i="58" s="1"/>
  <c r="H188" i="58"/>
  <c r="H187" i="58" s="1"/>
  <c r="G187" i="58"/>
  <c r="H197" i="58"/>
  <c r="X197" i="58" s="1"/>
  <c r="Q204" i="58"/>
  <c r="W211" i="58"/>
  <c r="H209" i="58"/>
  <c r="X209" i="58" s="1"/>
  <c r="W212" i="58"/>
  <c r="W214" i="58"/>
  <c r="G213" i="58"/>
  <c r="H202" i="58"/>
  <c r="X202" i="58" s="1"/>
  <c r="X215" i="58"/>
  <c r="W215" i="58"/>
  <c r="Q199" i="58"/>
  <c r="W210" i="58"/>
  <c r="W190" i="58"/>
  <c r="H50" i="17"/>
  <c r="I50" i="17" s="1"/>
  <c r="R192" i="58"/>
  <c r="X192" i="58" s="1"/>
  <c r="W202" i="58"/>
  <c r="W199" i="58" s="1"/>
  <c r="R213" i="58"/>
  <c r="S213" i="58" s="1"/>
  <c r="X211" i="58"/>
  <c r="I376" i="55"/>
  <c r="G204" i="58"/>
  <c r="Q187" i="58"/>
  <c r="G191" i="58"/>
  <c r="X189" i="58"/>
  <c r="H52" i="17"/>
  <c r="E234" i="17" s="1"/>
  <c r="W192" i="58"/>
  <c r="W189" i="58"/>
  <c r="G270" i="17"/>
  <c r="G273" i="17" s="1"/>
  <c r="G248" i="17"/>
  <c r="H270" i="34"/>
  <c r="J253" i="34"/>
  <c r="I253" i="34"/>
  <c r="X175" i="54"/>
  <c r="Y175" i="54" s="1"/>
  <c r="J140" i="34"/>
  <c r="I140" i="34"/>
  <c r="J151" i="34"/>
  <c r="I151" i="34"/>
  <c r="J163" i="34"/>
  <c r="I163" i="34"/>
  <c r="J243" i="34"/>
  <c r="I243" i="34"/>
  <c r="H193" i="48"/>
  <c r="I193" i="48" s="1"/>
  <c r="H238" i="48"/>
  <c r="I238" i="48" s="1"/>
  <c r="J191" i="34"/>
  <c r="I191" i="34"/>
  <c r="J202" i="34"/>
  <c r="I202" i="34"/>
  <c r="J214" i="34"/>
  <c r="I214" i="34"/>
  <c r="H205" i="34"/>
  <c r="I90" i="17"/>
  <c r="M259" i="17" s="1"/>
  <c r="M237" i="17"/>
  <c r="N234" i="17"/>
  <c r="I61" i="17"/>
  <c r="N256" i="17" s="1"/>
  <c r="G171" i="48"/>
  <c r="I73" i="17"/>
  <c r="M257" i="17" s="1"/>
  <c r="M235" i="17"/>
  <c r="H154" i="34"/>
  <c r="H237" i="17"/>
  <c r="I85" i="17"/>
  <c r="H259" i="17" s="1"/>
  <c r="I89" i="17"/>
  <c r="L259" i="17" s="1"/>
  <c r="L237" i="17"/>
  <c r="J248" i="17"/>
  <c r="H195" i="34"/>
  <c r="G222" i="34"/>
  <c r="I56" i="17"/>
  <c r="I256" i="17" s="1"/>
  <c r="I234" i="17"/>
  <c r="I68" i="17"/>
  <c r="H257" i="17" s="1"/>
  <c r="H235" i="17"/>
  <c r="H144" i="34"/>
  <c r="M234" i="17"/>
  <c r="I60" i="17"/>
  <c r="M256" i="17" s="1"/>
  <c r="L234" i="17"/>
  <c r="I59" i="17"/>
  <c r="L256" i="17" s="1"/>
  <c r="J270" i="17"/>
  <c r="H148" i="48"/>
  <c r="I148" i="48" s="1"/>
  <c r="D272" i="17"/>
  <c r="D273" i="17"/>
  <c r="N235" i="17"/>
  <c r="I74" i="17"/>
  <c r="N257" i="17" s="1"/>
  <c r="G171" i="34"/>
  <c r="G216" i="48"/>
  <c r="I55" i="17"/>
  <c r="H256" i="17" s="1"/>
  <c r="H234" i="17"/>
  <c r="I237" i="17"/>
  <c r="I86" i="17"/>
  <c r="I259" i="17" s="1"/>
  <c r="H166" i="33"/>
  <c r="I69" i="17"/>
  <c r="I257" i="17" s="1"/>
  <c r="I235" i="17"/>
  <c r="I91" i="17"/>
  <c r="N259" i="17" s="1"/>
  <c r="N237" i="17"/>
  <c r="K272" i="17"/>
  <c r="K273" i="17"/>
  <c r="G261" i="48"/>
  <c r="I72" i="17"/>
  <c r="L257" i="17" s="1"/>
  <c r="L235" i="17"/>
  <c r="I143" i="17"/>
  <c r="H264" i="17" s="1"/>
  <c r="H242" i="17"/>
  <c r="I144" i="17"/>
  <c r="I264" i="17" s="1"/>
  <c r="I242" i="17"/>
  <c r="S138" i="32"/>
  <c r="R175" i="32"/>
  <c r="S175" i="32" s="1"/>
  <c r="Q258" i="17"/>
  <c r="R258" i="17"/>
  <c r="F248" i="17"/>
  <c r="F270" i="17"/>
  <c r="F273" i="17" s="1"/>
  <c r="W175" i="32"/>
  <c r="H175" i="32"/>
  <c r="I175" i="32" s="1"/>
  <c r="X175" i="32"/>
  <c r="I370" i="55" s="1"/>
  <c r="E235" i="17"/>
  <c r="I65" i="17"/>
  <c r="E257" i="17" s="1"/>
  <c r="X200" i="58"/>
  <c r="I139" i="17"/>
  <c r="R187" i="58"/>
  <c r="I80" i="17"/>
  <c r="C237" i="17"/>
  <c r="X205" i="58"/>
  <c r="H213" i="58"/>
  <c r="I213" i="58" s="1"/>
  <c r="X214" i="58"/>
  <c r="I141" i="17"/>
  <c r="X206" i="58" l="1"/>
  <c r="X207" i="58"/>
  <c r="H191" i="58"/>
  <c r="I191" i="58" s="1"/>
  <c r="X210" i="58"/>
  <c r="E260" i="17"/>
  <c r="E264" i="17"/>
  <c r="E242" i="17"/>
  <c r="W191" i="58"/>
  <c r="H79" i="17"/>
  <c r="C242" i="17"/>
  <c r="E245" i="17"/>
  <c r="I179" i="17"/>
  <c r="E267" i="17" s="1"/>
  <c r="I161" i="17"/>
  <c r="H160" i="17"/>
  <c r="C244" i="17"/>
  <c r="O244" i="17" s="1"/>
  <c r="R199" i="58"/>
  <c r="S199" i="58" s="1"/>
  <c r="E238" i="17"/>
  <c r="E237" i="17"/>
  <c r="H130" i="17"/>
  <c r="R204" i="58"/>
  <c r="S204" i="58" s="1"/>
  <c r="I94" i="17"/>
  <c r="H92" i="17"/>
  <c r="C238" i="17"/>
  <c r="O238" i="17" s="1"/>
  <c r="C245" i="17"/>
  <c r="O245" i="17" s="1"/>
  <c r="H176" i="17"/>
  <c r="I177" i="17"/>
  <c r="H204" i="58"/>
  <c r="I204" i="58" s="1"/>
  <c r="X195" i="58"/>
  <c r="X191" i="58" s="1"/>
  <c r="X188" i="58"/>
  <c r="X187" i="58" s="1"/>
  <c r="W213" i="58"/>
  <c r="W204" i="58"/>
  <c r="W187" i="58"/>
  <c r="I52" i="17"/>
  <c r="E256" i="17" s="1"/>
  <c r="H62" i="17"/>
  <c r="C235" i="17"/>
  <c r="O235" i="17" s="1"/>
  <c r="X199" i="58"/>
  <c r="H199" i="58"/>
  <c r="I199" i="58" s="1"/>
  <c r="G221" i="58"/>
  <c r="C234" i="17"/>
  <c r="O234" i="17" s="1"/>
  <c r="Q221" i="58"/>
  <c r="X213" i="58"/>
  <c r="R191" i="58"/>
  <c r="S191" i="58" s="1"/>
  <c r="H49" i="17"/>
  <c r="G272" i="17"/>
  <c r="I368" i="55"/>
  <c r="H216" i="48"/>
  <c r="I216" i="48" s="1"/>
  <c r="H261" i="48"/>
  <c r="I261" i="48" s="1"/>
  <c r="J144" i="34"/>
  <c r="I144" i="34"/>
  <c r="J154" i="34"/>
  <c r="I154" i="34"/>
  <c r="J270" i="34"/>
  <c r="I270" i="34"/>
  <c r="I375" i="55"/>
  <c r="M270" i="17"/>
  <c r="M272" i="17" s="1"/>
  <c r="M248" i="17"/>
  <c r="H171" i="34"/>
  <c r="J195" i="34"/>
  <c r="I195" i="34"/>
  <c r="J205" i="34"/>
  <c r="I205" i="34"/>
  <c r="I270" i="17"/>
  <c r="J272" i="17"/>
  <c r="J273" i="17"/>
  <c r="L270" i="17"/>
  <c r="L248" i="17"/>
  <c r="H248" i="17"/>
  <c r="H171" i="48"/>
  <c r="I171" i="48" s="1"/>
  <c r="I166" i="33"/>
  <c r="I372" i="55"/>
  <c r="H222" i="34"/>
  <c r="H270" i="17"/>
  <c r="N270" i="17"/>
  <c r="N248" i="17"/>
  <c r="I248" i="17"/>
  <c r="S187" i="58"/>
  <c r="C256" i="17"/>
  <c r="X204" i="58"/>
  <c r="I62" i="17"/>
  <c r="C257" i="17"/>
  <c r="O257" i="17" s="1"/>
  <c r="I187" i="58"/>
  <c r="C264" i="17"/>
  <c r="O264" i="17" s="1"/>
  <c r="I130" i="17"/>
  <c r="I79" i="17"/>
  <c r="C259" i="17"/>
  <c r="O259" i="17" s="1"/>
  <c r="O242" i="17" l="1"/>
  <c r="E248" i="17"/>
  <c r="W221" i="58"/>
  <c r="O237" i="17"/>
  <c r="E270" i="17"/>
  <c r="C267" i="17"/>
  <c r="O267" i="17" s="1"/>
  <c r="I176" i="17"/>
  <c r="C260" i="17"/>
  <c r="O260" i="17" s="1"/>
  <c r="I92" i="17"/>
  <c r="H128" i="17"/>
  <c r="C266" i="17"/>
  <c r="O266" i="17" s="1"/>
  <c r="I160" i="17"/>
  <c r="I128" i="17" s="1"/>
  <c r="H221" i="58"/>
  <c r="I221" i="58" s="1"/>
  <c r="I49" i="17"/>
  <c r="I48" i="17" s="1"/>
  <c r="H48" i="17"/>
  <c r="H206" i="17" s="1"/>
  <c r="R221" i="58"/>
  <c r="S221" i="58" s="1"/>
  <c r="C248" i="17"/>
  <c r="I378" i="55"/>
  <c r="I379" i="55"/>
  <c r="X221" i="58"/>
  <c r="M273" i="17"/>
  <c r="J171" i="34"/>
  <c r="I171" i="34"/>
  <c r="I373" i="55"/>
  <c r="J222" i="34"/>
  <c r="I222" i="34"/>
  <c r="N272" i="17"/>
  <c r="N273" i="17"/>
  <c r="I374" i="55"/>
  <c r="H272" i="17"/>
  <c r="H273" i="17"/>
  <c r="L272" i="17"/>
  <c r="L273" i="17"/>
  <c r="I377" i="55"/>
  <c r="I272" i="17"/>
  <c r="I273" i="17"/>
  <c r="R259" i="17"/>
  <c r="Q259" i="17"/>
  <c r="R257" i="17"/>
  <c r="Q257" i="17"/>
  <c r="E273" i="17"/>
  <c r="R264" i="17"/>
  <c r="Q264" i="17"/>
  <c r="O248" i="17"/>
  <c r="O256" i="17"/>
  <c r="C270" i="17"/>
  <c r="I206" i="17" l="1"/>
  <c r="I207" i="17" s="1"/>
  <c r="R260" i="17"/>
  <c r="Q260" i="17"/>
  <c r="R266" i="17"/>
  <c r="Q266" i="17"/>
  <c r="Q267" i="17"/>
  <c r="R267" i="17"/>
  <c r="I380" i="55"/>
  <c r="Q256" i="17"/>
  <c r="R256" i="17"/>
  <c r="O270" i="17"/>
  <c r="C271" i="17" s="1"/>
  <c r="C272" i="17"/>
  <c r="O272" i="17" s="1"/>
  <c r="C273" i="17"/>
  <c r="O273" i="17" s="1"/>
  <c r="R270" i="17" l="1"/>
  <c r="Q270" i="17"/>
  <c r="P258" i="17"/>
  <c r="O271" i="17"/>
  <c r="N271" i="17"/>
  <c r="M271" i="17"/>
  <c r="L271" i="17"/>
  <c r="K271" i="17"/>
  <c r="J271" i="17"/>
  <c r="I271" i="17"/>
  <c r="H271" i="17"/>
  <c r="G271" i="17"/>
  <c r="F271" i="17"/>
  <c r="D271" i="17"/>
  <c r="P265" i="17"/>
  <c r="P255" i="17"/>
  <c r="P268" i="17"/>
  <c r="P261" i="17"/>
  <c r="P267" i="17"/>
  <c r="P269" i="17"/>
  <c r="P260" i="17"/>
  <c r="P254" i="17"/>
  <c r="P262" i="17"/>
  <c r="P266" i="17"/>
  <c r="P253" i="17"/>
  <c r="P263" i="17"/>
  <c r="E271" i="17"/>
  <c r="P257" i="17"/>
  <c r="P259" i="17"/>
  <c r="P264" i="17"/>
  <c r="P256" i="17"/>
  <c r="P27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Mima Suhadolc</author>
  </authors>
  <commentList>
    <comment ref="E384" authorId="0" shapeId="0" xr:uid="{2A8FCD35-69FC-42E4-B640-7371DEB65965}">
      <text>
        <r>
          <rPr>
            <b/>
            <sz val="9"/>
            <color indexed="81"/>
            <rFont val="Tahoma"/>
            <family val="2"/>
          </rPr>
          <t>Mima Suhadolc:</t>
        </r>
        <r>
          <rPr>
            <sz val="9"/>
            <color indexed="81"/>
            <rFont val="Tahoma"/>
            <family val="2"/>
          </rPr>
          <t xml:space="preserve">
Če dogovor o povečanju potrebnega števila NU ni bil dosežen, se upošteva 18 % povečanje števila NU glede na vsaj povprečno zahtevnost.
Če gre za prenovo notranje opreme lahko znaša povečanje do 50 %.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<sst xmlns="http://schemas.openxmlformats.org/spreadsheetml/2006/main" count="5005" uniqueCount="1194">
  <si>
    <t>SKUPAJ</t>
  </si>
  <si>
    <t>SKUPAJ PROJEKT</t>
  </si>
  <si>
    <t>NOTRANJA OPREMA</t>
  </si>
  <si>
    <t>1.</t>
  </si>
  <si>
    <t>2.</t>
  </si>
  <si>
    <t>3.</t>
  </si>
  <si>
    <t>6.</t>
  </si>
  <si>
    <t>8.</t>
  </si>
  <si>
    <t>9.</t>
  </si>
  <si>
    <t>10.</t>
  </si>
  <si>
    <t>11.</t>
  </si>
  <si>
    <t>12.</t>
  </si>
  <si>
    <t>13.</t>
  </si>
  <si>
    <t>14.</t>
  </si>
  <si>
    <t>15.</t>
  </si>
  <si>
    <t>16.</t>
  </si>
  <si>
    <t>17.</t>
  </si>
  <si>
    <t>18.</t>
  </si>
  <si>
    <t>19.</t>
  </si>
  <si>
    <t>20.</t>
  </si>
  <si>
    <t>21.</t>
  </si>
  <si>
    <t>22.</t>
  </si>
  <si>
    <t>23.</t>
  </si>
  <si>
    <t>Letni fond delovnih dni</t>
  </si>
  <si>
    <t>Število dela prostih dni (prazniki)</t>
  </si>
  <si>
    <t>% projekta</t>
  </si>
  <si>
    <t>STOLPEC</t>
  </si>
  <si>
    <t>VRSTICA</t>
  </si>
  <si>
    <t>PRIMERJALNA VRSTICA</t>
  </si>
  <si>
    <t>0</t>
  </si>
  <si>
    <t>POBUDA</t>
  </si>
  <si>
    <t>0.1</t>
  </si>
  <si>
    <t>0.2</t>
  </si>
  <si>
    <t>1</t>
  </si>
  <si>
    <t>ZAGON</t>
  </si>
  <si>
    <t>1.1</t>
  </si>
  <si>
    <t>1.2</t>
  </si>
  <si>
    <t>1.3</t>
  </si>
  <si>
    <t>PROJEKTIRANJE</t>
  </si>
  <si>
    <t>3</t>
  </si>
  <si>
    <t>3.1</t>
  </si>
  <si>
    <t>3.2</t>
  </si>
  <si>
    <t>4.1</t>
  </si>
  <si>
    <t>4.2</t>
  </si>
  <si>
    <t>4.3</t>
  </si>
  <si>
    <t>4.4</t>
  </si>
  <si>
    <t>4.5</t>
  </si>
  <si>
    <t>UPORABA</t>
  </si>
  <si>
    <t>5.1</t>
  </si>
  <si>
    <t>5.2</t>
  </si>
  <si>
    <t>KONEC ŽIVLJENJSKEGA CIKLA</t>
  </si>
  <si>
    <t>2.1</t>
  </si>
  <si>
    <t>2.2</t>
  </si>
  <si>
    <t>2.3</t>
  </si>
  <si>
    <t>6.1</t>
  </si>
  <si>
    <t>6.2</t>
  </si>
  <si>
    <t>6.3</t>
  </si>
  <si>
    <t>ŠTEVILO NU</t>
  </si>
  <si>
    <t>NAROČNIK</t>
  </si>
  <si>
    <t>PONUDNIK</t>
  </si>
  <si>
    <t>GRADNJA</t>
  </si>
  <si>
    <t>DATUM</t>
  </si>
  <si>
    <t>GRADBENO OBRTNIŠKA DELA (GO)</t>
  </si>
  <si>
    <t>STROJNE INŠTALACIJE (SI)</t>
  </si>
  <si>
    <t>ELEKTRIČNE INŠTALACIJE (EI)</t>
  </si>
  <si>
    <t xml:space="preserve">TRŽNA ANALIZA                            </t>
  </si>
  <si>
    <t>OCENA GOSPODARNOSTI</t>
  </si>
  <si>
    <t>ZAGON PROJEKTA</t>
  </si>
  <si>
    <t>ŠTUDIJA IZVEDLJIVOSTI</t>
  </si>
  <si>
    <t>ZAŠČITA PRED HRUPOM</t>
  </si>
  <si>
    <t>VREDNOST V EUR</t>
  </si>
  <si>
    <t>OBRAČUNSKI STROŠKI V EUR</t>
  </si>
  <si>
    <t>CENOVNI RAZRED I</t>
  </si>
  <si>
    <t>CENOVNI RAZRED II</t>
  </si>
  <si>
    <t>CENOVNI RAZRED III</t>
  </si>
  <si>
    <t>CENOVNI RAZRED IV</t>
  </si>
  <si>
    <t>CENOVNI RAZRED V</t>
  </si>
  <si>
    <t>zelo nizke zahteve</t>
  </si>
  <si>
    <t>nizke zahteve</t>
  </si>
  <si>
    <t>povprečne zahteve</t>
  </si>
  <si>
    <t>visoke zahteve</t>
  </si>
  <si>
    <t>zelo visoke zahteve</t>
  </si>
  <si>
    <t>1 do 6 točk</t>
  </si>
  <si>
    <t>1 do 9 točk</t>
  </si>
  <si>
    <t>Cenovni razred I</t>
  </si>
  <si>
    <t>Cenovni razred II</t>
  </si>
  <si>
    <t>Cenovni razred III</t>
  </si>
  <si>
    <t>Cenovni razred IV</t>
  </si>
  <si>
    <t>Cenovni razred V</t>
  </si>
  <si>
    <t>EUR</t>
  </si>
  <si>
    <t>PRIMERJALNO ŠTEVILO UR</t>
  </si>
  <si>
    <t>BRUTO POVRŠINA</t>
  </si>
  <si>
    <t>SKUPAJ STAVBA</t>
  </si>
  <si>
    <t>SKUPAJ BRUTO POVRŠINA</t>
  </si>
  <si>
    <t>SNOVANJE</t>
  </si>
  <si>
    <t>2.4</t>
  </si>
  <si>
    <t>2.5</t>
  </si>
  <si>
    <t>PRIPRAVA GRADIV ZA NAROČILO</t>
  </si>
  <si>
    <t>POVPREČNA VREDNOST GOI EUR/m2 BEP</t>
  </si>
  <si>
    <t>SKUPAJ NETO POVRŠINA</t>
  </si>
  <si>
    <t>POVPREČNA VREDNOST NOTRANJA OPREMA EUR/m2 NEP</t>
  </si>
  <si>
    <t>število funkcionalnih področij</t>
  </si>
  <si>
    <t>zahteve glede oblikovanje svetlobe</t>
  </si>
  <si>
    <t>zahteve glede razporeditve in razmerja prostorov</t>
  </si>
  <si>
    <t>zahteve glede inštalacij</t>
  </si>
  <si>
    <t>zahteve glede barv in materialov</t>
  </si>
  <si>
    <t>konstruktivno oblikovanje detajlov</t>
  </si>
  <si>
    <t>zahteve za vključitev v okolje</t>
  </si>
  <si>
    <t>zahtevnost inštalacij</t>
  </si>
  <si>
    <t>4.</t>
  </si>
  <si>
    <t>5.</t>
  </si>
  <si>
    <t>SKUPAJ MAKSIMALNO 42</t>
  </si>
  <si>
    <t>oblikovne zahteve</t>
  </si>
  <si>
    <t>komunalna ureditev</t>
  </si>
  <si>
    <t>1 do 8 točk</t>
  </si>
  <si>
    <t>SKUPAJ MAKSIMALNO 36</t>
  </si>
  <si>
    <t>IZBRANI CENOVNI RAZRED</t>
  </si>
  <si>
    <t>PRIMERJALNI STOLPEC</t>
  </si>
  <si>
    <t>MINIMALNO ŠTEVILO UR</t>
  </si>
  <si>
    <t>INTERPOLACIJA ŠTEVILA UR ZA NIŽJO VREDNOST</t>
  </si>
  <si>
    <t>INTERPOLACIJA ŠTEVILA UR ZA VIŠJO VREDNOST</t>
  </si>
  <si>
    <t>NAROČANJE</t>
  </si>
  <si>
    <t>PORAZDELITEV UR ZA NAČRTE ELEKTROTEHNIKE</t>
  </si>
  <si>
    <t>PORAZDELITEV UR ZA NAČRTE STROJNIŠTVA</t>
  </si>
  <si>
    <t>I.</t>
  </si>
  <si>
    <t>Stroški</t>
  </si>
  <si>
    <t>A.</t>
  </si>
  <si>
    <t>mesec</t>
  </si>
  <si>
    <t>leto</t>
  </si>
  <si>
    <t>ura</t>
  </si>
  <si>
    <t>faktor bruto/neto</t>
  </si>
  <si>
    <t>skupaj</t>
  </si>
  <si>
    <t>B.</t>
  </si>
  <si>
    <t>Drugi stroški</t>
  </si>
  <si>
    <t>pisarniški in drobni material</t>
  </si>
  <si>
    <t>telefon, internet</t>
  </si>
  <si>
    <t>reprezentanca</t>
  </si>
  <si>
    <t>amortizacija osnovnih sredsev</t>
  </si>
  <si>
    <t>7.</t>
  </si>
  <si>
    <t>amortizacija programske opreme</t>
  </si>
  <si>
    <t>potni stroški, dnevnice</t>
  </si>
  <si>
    <t>prevozna sredstva (leasing, vzdrževanje)</t>
  </si>
  <si>
    <t>literatura, revije, časopisi</t>
  </si>
  <si>
    <t>sodne takse</t>
  </si>
  <si>
    <t>zavarovanja</t>
  </si>
  <si>
    <t>finančni stroški (banke, posojila, )</t>
  </si>
  <si>
    <t>davki</t>
  </si>
  <si>
    <t>računovodstvo</t>
  </si>
  <si>
    <t>odvetniške in notarske stroitve</t>
  </si>
  <si>
    <t xml:space="preserve">druga svetovanja v zvezi z vodenjem firme </t>
  </si>
  <si>
    <t>članarine</t>
  </si>
  <si>
    <t>natečaji (materialni stroški, delo ziunanjih sodelavcev, nabave gradiva, ..)</t>
  </si>
  <si>
    <t>promocija (objave, sodelovanje na predstavitvah)</t>
  </si>
  <si>
    <t>donacije</t>
  </si>
  <si>
    <t>štipendije</t>
  </si>
  <si>
    <t>kazni, odškodnine (rizični fond)</t>
  </si>
  <si>
    <t>skupaj biro</t>
  </si>
  <si>
    <t>C.</t>
  </si>
  <si>
    <t>SKUPAJ A.+B.+C.</t>
  </si>
  <si>
    <t>II.</t>
  </si>
  <si>
    <t>Proizvodne ure</t>
  </si>
  <si>
    <t xml:space="preserve">proizvodne ure </t>
  </si>
  <si>
    <t>Cena povprečne proizvodne ure (NU)</t>
  </si>
  <si>
    <t>Razmerja</t>
  </si>
  <si>
    <t>faktor NU/bto ura</t>
  </si>
  <si>
    <t>prostori, 15 m2/delavec (najemnina, tekoči stroški in vzdrževanje, nadomestilo za uporabo stavbnega zemljišča)</t>
  </si>
  <si>
    <t>pošta, kurirji, DHL, …</t>
  </si>
  <si>
    <t>Pričakovani dobiček (pred obdavčitvijo, 10 % stroškov</t>
  </si>
  <si>
    <t>faktor NU/nto ura</t>
  </si>
  <si>
    <t>delež</t>
  </si>
  <si>
    <t>prehrana (ocena)</t>
  </si>
  <si>
    <t>prevoz na delo (ocena)</t>
  </si>
  <si>
    <t>regres</t>
  </si>
  <si>
    <t>Podatki</t>
  </si>
  <si>
    <t>število zaposlenih</t>
  </si>
  <si>
    <t>od tega proizvodnih delavcev</t>
  </si>
  <si>
    <t>Stroški dela posameznega delavca</t>
  </si>
  <si>
    <t>skupaj za vse delavce</t>
  </si>
  <si>
    <t>dni</t>
  </si>
  <si>
    <t>ur</t>
  </si>
  <si>
    <t>Letni dopust</t>
  </si>
  <si>
    <t>Bolniška odsotnost</t>
  </si>
  <si>
    <t>Izobraževanje</t>
  </si>
  <si>
    <t>bto plača</t>
  </si>
  <si>
    <t>neto plača</t>
  </si>
  <si>
    <t>zahteve glede varovanja, ohranjanja in razvoja narave</t>
  </si>
  <si>
    <t>VRSTA UREDITVE</t>
  </si>
  <si>
    <t>POVRŠINA</t>
  </si>
  <si>
    <t>SKUPAJ POVRŠINA</t>
  </si>
  <si>
    <t>POVPREČNA VREDNOST GOI EUR/m2</t>
  </si>
  <si>
    <t>do 10 točk</t>
  </si>
  <si>
    <t>11 do 18 točk</t>
  </si>
  <si>
    <t>19 do 26 točk</t>
  </si>
  <si>
    <t>27 do 34 točk</t>
  </si>
  <si>
    <t>35 do 42 točk</t>
  </si>
  <si>
    <t>do 8 točk</t>
  </si>
  <si>
    <t>9 do 15 točk</t>
  </si>
  <si>
    <t>16 do 22 točk</t>
  </si>
  <si>
    <t>23 do 29 točk</t>
  </si>
  <si>
    <t>30 do 36 točk</t>
  </si>
  <si>
    <t>SKUPAJ OSNOVNE STORITVE</t>
  </si>
  <si>
    <t>GRADBENA POGODBA</t>
  </si>
  <si>
    <t>PRIPRAVA GRADNJE</t>
  </si>
  <si>
    <t>SPUŠČANJE V OBRATOVANJE</t>
  </si>
  <si>
    <t>OBRATOVANJE</t>
  </si>
  <si>
    <t>VZDRŽEVANJE</t>
  </si>
  <si>
    <t>PRESOJA</t>
  </si>
  <si>
    <t>PRENOVA</t>
  </si>
  <si>
    <t>RAZGRADNJA</t>
  </si>
  <si>
    <t>DDV 22%</t>
  </si>
  <si>
    <t>NAVODILA</t>
  </si>
  <si>
    <r>
      <t>m</t>
    </r>
    <r>
      <rPr>
        <vertAlign val="superscript"/>
        <sz val="10"/>
        <rFont val="Inter Light"/>
        <family val="2"/>
        <charset val="238"/>
      </rPr>
      <t>2</t>
    </r>
  </si>
  <si>
    <r>
      <t>EUR/m</t>
    </r>
    <r>
      <rPr>
        <vertAlign val="superscript"/>
        <sz val="10"/>
        <rFont val="Inter Light"/>
        <family val="2"/>
        <charset val="238"/>
      </rPr>
      <t>2</t>
    </r>
  </si>
  <si>
    <t>POSEBNE STORITVE</t>
  </si>
  <si>
    <t>Vpiši vrednost</t>
  </si>
  <si>
    <t>IZRAČUNANI CENOVNI RAZRED</t>
  </si>
  <si>
    <t>PORAZDELITEV UR ZA NAČRTOVANJE STAVB</t>
  </si>
  <si>
    <t>ODPRTI PROSTOR</t>
  </si>
  <si>
    <t>TIPOLOGIJA NOTRANJE OPREME</t>
  </si>
  <si>
    <t>SKUPAJ NOTRANJA OPREMA</t>
  </si>
  <si>
    <t>OSNOVNI PODATKI</t>
  </si>
  <si>
    <t>SKUPAJ ODPRTI PROSTOR</t>
  </si>
  <si>
    <t>I</t>
  </si>
  <si>
    <t>II</t>
  </si>
  <si>
    <t>III</t>
  </si>
  <si>
    <t>IV</t>
  </si>
  <si>
    <t>V</t>
  </si>
  <si>
    <t>x</t>
  </si>
  <si>
    <t>preprosti rovi in predori</t>
  </si>
  <si>
    <t>obalni zidovi in stene</t>
  </si>
  <si>
    <t>preproste zapornice za ladje in čolne</t>
  </si>
  <si>
    <t>enostavne naprave za predelavo gradbenih odpadkov</t>
  </si>
  <si>
    <t>zahtevni nasipi in jezovi</t>
  </si>
  <si>
    <t>fiksne zapornice</t>
  </si>
  <si>
    <t>preproste premične zapornice</t>
  </si>
  <si>
    <t>zahtevni obalni zidovi in stene, utrditev brežin na vodnih poteh</t>
  </si>
  <si>
    <t>ladijske zapornice za nizko višino dviga</t>
  </si>
  <si>
    <t>ladjedelnice, preprosti suhi doki</t>
  </si>
  <si>
    <t>ladijski kanali z bitvami, obalnimi zidovi, s preprostimi pogoji</t>
  </si>
  <si>
    <t>začasna skladišča, nepokriti zbirni centri in prekladalne postaje za odpadke, odpadno embalažo in kosovne odpadke s preprostimi dodatnimi napravami</t>
  </si>
  <si>
    <t>kompostirnice rastlinskih odpadkov brez posebnih naprav</t>
  </si>
  <si>
    <t>odlagališča gradbenih odpadkov</t>
  </si>
  <si>
    <t xml:space="preserve">enopoljni mostovi </t>
  </si>
  <si>
    <t>premične zapornice</t>
  </si>
  <si>
    <t>hidroelektrarne</t>
  </si>
  <si>
    <t>ladijski kanali z bitvami, obalnimi zidovi, v zahtevnih razmerah, s prehodi</t>
  </si>
  <si>
    <t>ladijske zapornice za veliko višino dviga</t>
  </si>
  <si>
    <t>zahtevni suhi doki</t>
  </si>
  <si>
    <t>kompostirnice</t>
  </si>
  <si>
    <t>sanacija starih odlagališč odpadkov in kontaminiranih zemljišč</t>
  </si>
  <si>
    <t>enostavni večpoljni in ločni mostovi</t>
  </si>
  <si>
    <t>zahtevni dimniki</t>
  </si>
  <si>
    <t>zahtevne vetrnice</t>
  </si>
  <si>
    <t xml:space="preserve">sidrani masivni podporni in oporni zidovi na zahtevnem terenu </t>
  </si>
  <si>
    <t>zahtevne samostojne podzemne garaže, zahtevne kaverne in komore, zahtevni predori</t>
  </si>
  <si>
    <t>zahtevne čistilne naprave</t>
  </si>
  <si>
    <t>zahtevni plavajoči pomoli, premični nakladalni mostovi</t>
  </si>
  <si>
    <t>mostovi za komunalne vode</t>
  </si>
  <si>
    <t>posebej zahtevni dimniki</t>
  </si>
  <si>
    <t xml:space="preserve">sidrani masivni podporni in oporni zidovi na izjemno zahtevnem terenu </t>
  </si>
  <si>
    <t>privezi za čolne z bitvami, sidrišči, valobrani in bojami na stoječih vodah</t>
  </si>
  <si>
    <t>protihrupne ograje, z izjemo protihrupnih ograj kot krajinskega oblikovanja,</t>
  </si>
  <si>
    <t>nesidrani enostavni masivni podporni in oporni zidovi z majhnimi višinskimi razlikami brez prometne obremenitve kot sredstvo za preoblikovanje terena in za konstruktivno zaščito pobočij</t>
  </si>
  <si>
    <t>posamezna vodna telesa z enakomernim padcem in enakomerno spremenljivim prečnim prerezom</t>
  </si>
  <si>
    <t>posamezna vodna telesa z enakomernim padcem in prečnim prerezom, z izjemo posameznih vodnih teles s pretežno ekološkimi in krajinsko oblikovalskimi elementi</t>
  </si>
  <si>
    <t>Nasipi in jezovi</t>
  </si>
  <si>
    <t>rovi in prepusti</t>
  </si>
  <si>
    <t>preproste ojačitve brežin</t>
  </si>
  <si>
    <t>začasna skladišča, nepokriti zbirni centri in prekladalne postaje za odpadke, odpadno embalažo in kosovne odpadke brez dodatnih naprav</t>
  </si>
  <si>
    <t>odlagališča gradbenih odpadkov brez posebnih naprav</t>
  </si>
  <si>
    <t>enostavni sistemi za zaščito pred hrupom</t>
  </si>
  <si>
    <t>jambori in stolpi brez nadgradenj</t>
  </si>
  <si>
    <t>nesidrani enostavni masivni podporni in oporni zidovi s prometnimi obremenitvami na nezahtevnem terenu</t>
  </si>
  <si>
    <t>posamezna vodna telesa z neenakomernim padcem in neenakomerno spremenljivim prečnim prerezom</t>
  </si>
  <si>
    <t>zadrževalniki in nasipi z višino do 5,0 m nad terenom ali do 100.000 m3 prostornine</t>
  </si>
  <si>
    <t>enostavne fiksne zapornice</t>
  </si>
  <si>
    <t>majhne hidroelektrarne</t>
  </si>
  <si>
    <t>začasna skladišča, nepokriti zbirni centri in prekladalne postaje za odpadke, odpadno embalažo in kosovne odpadke z zahtevnimi dodatnimi napravami</t>
  </si>
  <si>
    <t>naprave za predelavo odpadkov</t>
  </si>
  <si>
    <t>naprave za predelavo gradbenih odpadkov</t>
  </si>
  <si>
    <t>kompostirnice organiskih odpadkov, kompostirnice rastlinskih odpadkov</t>
  </si>
  <si>
    <t>odlagališča nenevarnih odpadkov in monodeponije</t>
  </si>
  <si>
    <t>sistemi za zaščito pred hrupom</t>
  </si>
  <si>
    <t>ravni enopoljni mostovi preproste zasnove</t>
  </si>
  <si>
    <t>dimniki</t>
  </si>
  <si>
    <t>enostavni dimniki</t>
  </si>
  <si>
    <t>čistilne naprave s skupno aerobno stabilizacijo, črpališča in dvižne naprave</t>
  </si>
  <si>
    <t>čistilne naprave, zahtevnejša črpališča in dvižne naprave</t>
  </si>
  <si>
    <t>posamezna vodna telesa z neenakomernim padcem in številnimi spremembami  prečnega prerez, vodni sistemi s številnimi spremembami prereza, zlasti zahtevno načrtovanje vodotokov z visokimi tehničnimi zahtevami in izravnalnimi ukrepi</t>
  </si>
  <si>
    <t xml:space="preserve">zadrževalniki in nasipi s prostornino od 100.000 m³ do 5.000.000 m³ </t>
  </si>
  <si>
    <t>izjemno zahtevni nasipi in jezovi</t>
  </si>
  <si>
    <t>preproste pregrade in zapore kanalov</t>
  </si>
  <si>
    <t>pregrade in zapore kanalov</t>
  </si>
  <si>
    <t>protipoplavni jezovi in stene</t>
  </si>
  <si>
    <t>protipoplavni jezovi in stene v težkih pogojih</t>
  </si>
  <si>
    <t>odlagališča nenevarnih odpadkov in mono odlagališča s težkimi tehničnimi zahtevami</t>
  </si>
  <si>
    <t>sistemi za kondicioniranje nevarnih odpadkov</t>
  </si>
  <si>
    <t>odlagališča nevarnih odpadkov</t>
  </si>
  <si>
    <t>sistemi za podzemna odlagališča</t>
  </si>
  <si>
    <t>odlagališča zabojnikov</t>
  </si>
  <si>
    <t>tesnjenje starih nanosov in onesnaženih mest s visokimi tehničnimi zahtevami</t>
  </si>
  <si>
    <t>tesnjenje starih nanosov in onesnaženih mest</t>
  </si>
  <si>
    <t>sistemi za zaščito pred hrupom v zahtevem urbanem okolju</t>
  </si>
  <si>
    <t>postaje podzemne železnice</t>
  </si>
  <si>
    <t xml:space="preserve">sidrani masivni podporni in oporni zidovi ali nesidrani masivni podporni in oporni zidovi na zahtevnem terenu </t>
  </si>
  <si>
    <t>zahtevne hidroelektrarne, na primer črpalne ali kavernske elektrarne</t>
  </si>
  <si>
    <t>poplavni kesoni, zahtevni jezovi, valobrani</t>
  </si>
  <si>
    <t>privezi za čolne z bitvami, sidrišči, valobrani in bojami na tekočnih vodah, enostavni nakladalni mostovi za ladje, z enostavnimi obalnimi zidovi in pomoli</t>
  </si>
  <si>
    <t>nakladalni mostovi za ladje, pristanišča z bitvami, sidrišči, valobrani in bojami z  obalnimi zidovi in pomoli z velikimi obremenitvami</t>
  </si>
  <si>
    <t>pristanišča, nakladalni mostovi za ladje v primeru plime ali poplave, pristanišča v primeru plime in poplave, zahtevne obalne stene in pomoli</t>
  </si>
  <si>
    <t>dvigala za ladje</t>
  </si>
  <si>
    <t>plavajoči doki</t>
  </si>
  <si>
    <t>sežigalnice, pirolizne naprave</t>
  </si>
  <si>
    <t>zahtevni eno- in večpoljni mostovi in ločni mostovi</t>
  </si>
  <si>
    <t>zahtevne vzdolžno prednapete jeklene konstrukcije</t>
  </si>
  <si>
    <t>zahtevne postaje podzemne železnice</t>
  </si>
  <si>
    <t>posebej zahtevne postaje  in prestopne postaje podzemne železnice</t>
  </si>
  <si>
    <t>zbiralniki deževnice</t>
  </si>
  <si>
    <t>male komunalne čistilne naprave, enostavna črpališča in dvižne naprave</t>
  </si>
  <si>
    <t>zahtevni rovi in prepusti</t>
  </si>
  <si>
    <t>posebej zahtevni rovi in prepusti</t>
  </si>
  <si>
    <t>večstopenjske naprave za predelavo odpadkov</t>
  </si>
  <si>
    <t>enostavne, enostopenjske naprave za predelavo odpadkov</t>
  </si>
  <si>
    <t>zahtevne naprave za čiščenje odpadne vode</t>
  </si>
  <si>
    <t>naprave za čiščenje odpadne vode</t>
  </si>
  <si>
    <t>predori in tuneli</t>
  </si>
  <si>
    <t>zahtevni predori in tuneli</t>
  </si>
  <si>
    <t>zelo zahtevni predori in tuneli</t>
  </si>
  <si>
    <t>izjemno zahtevni mostovi</t>
  </si>
  <si>
    <t xml:space="preserve">samostojne podzemne garaže, enostavne kaverne in komore, enostavne predori </t>
  </si>
  <si>
    <t>izjemno zahtevne kaverne in komore</t>
  </si>
  <si>
    <t>Stanovanjske stavbe, domovi, šole, upravne stavbe ali banke s povprečno tehnično opremo</t>
  </si>
  <si>
    <t>Domovi, šole, upravne stavbe z nadpovprečno tehnično opremo</t>
  </si>
  <si>
    <t>stanovanjske stavbe z zamaknjenimi tlorisi</t>
  </si>
  <si>
    <t>stanovanjske stavbe, izpostavljene zunanjemu hrupu</t>
  </si>
  <si>
    <t>hoteli, kadar se ne uvrščajo v III. razred</t>
  </si>
  <si>
    <t>univerze in visoke šole</t>
  </si>
  <si>
    <t>bolnišnice, kadar se ne uvrščajo v III. razred</t>
  </si>
  <si>
    <t>stavbe za oddih, zdravljenje in rekreacijo</t>
  </si>
  <si>
    <t>Dvorane za družabne prireditve, kadar se ne uvrščajo v III. razred</t>
  </si>
  <si>
    <t>delavnice, ki potrebujejo zvočno zaščitene prostore</t>
  </si>
  <si>
    <t>hoteli z obsežno gastronomsko dejavnostjo</t>
  </si>
  <si>
    <t>stavbe za poslovno ali stanovanjsko rabo</t>
  </si>
  <si>
    <t>bolnišnice na posebej neugodnih lokacijah ali z neugodno razporeditvijo oskrbovalnih naprav</t>
  </si>
  <si>
    <t>Koncertne dvorane, gledališča, operne hiše, konferenčne in kongresne dvorane stavbe</t>
  </si>
  <si>
    <t>snemalni studii, akustični merilni laboratoriji</t>
  </si>
  <si>
    <t>Prostori (dvorane) za počitek, igralnice, foyerji</t>
  </si>
  <si>
    <t>Pisarne odprtega tipa</t>
  </si>
  <si>
    <t>Učilnice, predavalnice in sejne sobe</t>
  </si>
  <si>
    <t>– do 500 m³</t>
  </si>
  <si>
    <t>– 500 do 1 500 m³</t>
  </si>
  <si>
    <t>– več kot 1 500 m³</t>
  </si>
  <si>
    <t>Kinematografi</t>
  </si>
  <si>
    <t>– do 1 000 m³</t>
  </si>
  <si>
    <t>– 1 000 do 3 000 m³</t>
  </si>
  <si>
    <t>– več kot 3 000 m³</t>
  </si>
  <si>
    <t>Cerkve</t>
  </si>
  <si>
    <t>Športne dvorane, telovadnice</t>
  </si>
  <si>
    <t>– brez možnosti pregrajevanje, do 1 000 m³</t>
  </si>
  <si>
    <t>– z možnostjo pregrajevanja, do 3 000 m³</t>
  </si>
  <si>
    <t>Večnamenske dovrane</t>
  </si>
  <si>
    <t>– do 3 000 m³</t>
  </si>
  <si>
    <t>Koncertne dvorane, gledališča, operne hiše</t>
  </si>
  <si>
    <t>prostori s spremenljivimi akustičnimi lastnostmi</t>
  </si>
  <si>
    <t>TEHNOLOGIJA</t>
  </si>
  <si>
    <t>TEHNOLOGIJA (TH)</t>
  </si>
  <si>
    <t>TEHNIČNA OPREMA</t>
  </si>
  <si>
    <t>STAVBE</t>
  </si>
  <si>
    <t>OBJEKTI PROMETNE INFRASTRUKTURE</t>
  </si>
  <si>
    <t>GRADBENE KONSTRUKCIJE</t>
  </si>
  <si>
    <t>ELEKTRIČNE INSTALACIJE</t>
  </si>
  <si>
    <t>STROJNE INSTALACIJE</t>
  </si>
  <si>
    <t>UČINKOVITA RABA ENERGIJE</t>
  </si>
  <si>
    <t>PROSTORSKA AKUSTIKA</t>
  </si>
  <si>
    <t>POŽARNA VARNOST</t>
  </si>
  <si>
    <t>oblikovna zahtevnost</t>
  </si>
  <si>
    <t>konstrukcijska zahtevnost</t>
  </si>
  <si>
    <t>zahtevnost zaključnih del</t>
  </si>
  <si>
    <t>Predavalnice, kongresni centri</t>
  </si>
  <si>
    <t>Laboratoriji ali inštituti</t>
  </si>
  <si>
    <t>Stavbe kazenskega sistema</t>
  </si>
  <si>
    <t>Ustanove za varstvo odraslih, dnevni centri</t>
  </si>
  <si>
    <t>Domovi za ostarele ali posteljni domovi z medicinsko-tehničnimi pripomočki ali brez njih,</t>
  </si>
  <si>
    <t>Reševalne postaje, ambulante</t>
  </si>
  <si>
    <t>Prostori za terapijo ali rehabilitacijo, zgradbe za rekreacijo, zdravljenje ali okrevanje</t>
  </si>
  <si>
    <t>Pomožne bolnišnice</t>
  </si>
  <si>
    <t>Bolnišnice I ali II stopnje oskrbe, bolnišnice posebnega namena</t>
  </si>
  <si>
    <t>Bolnišnice III. Stopnje oskrbe, univerzitetne bolnišnice</t>
  </si>
  <si>
    <t>Enostavna prodajna skladišča, stojnice, kioski</t>
  </si>
  <si>
    <t>Javne kuhinje, z jedilnicami ali brez njih</t>
  </si>
  <si>
    <t>Preproste tribune</t>
  </si>
  <si>
    <t>Čolnarne</t>
  </si>
  <si>
    <t>Telovadnice ali športne dvorane</t>
  </si>
  <si>
    <t>Gospodarske zgradbe, hlevi</t>
  </si>
  <si>
    <t>Rastlinjaki za proizvodnjo</t>
  </si>
  <si>
    <t>Enostavne zaprte enonadstropne dvorane, delavnice</t>
  </si>
  <si>
    <t>posebne zgradbe za skladiščenje, na primer hladilnice</t>
  </si>
  <si>
    <t>Odprti prehodi, nadkritja, na primer vremenska zavetišča, nadstrešnice</t>
  </si>
  <si>
    <t>Enostavne garažne zgradbe</t>
  </si>
  <si>
    <t>Parkirne stavbe, garaže, podzemne garaže, vsaka z integriranimi drugimi vrstami uporabe</t>
  </si>
  <si>
    <t>Potniški centri ali postaje različnih javnih prevozov</t>
  </si>
  <si>
    <t>letališča</t>
  </si>
  <si>
    <t>energetske centrale, zgradbe elektrarn, velike elektrarne</t>
  </si>
  <si>
    <t>Paviljoni za kulturne namene</t>
  </si>
  <si>
    <t>Večnamenske dvorane za verske ali kulturne namene</t>
  </si>
  <si>
    <t>Muzeji</t>
  </si>
  <si>
    <t>Stavbe za radio ali televizijo</t>
  </si>
  <si>
    <t>SEZNAMI STANDARDNIH PRIMEROV</t>
  </si>
  <si>
    <t>Najenostavnejša notranja oprema za začasno uporabo z najpreprostejšo serijsko opremo ali brez nje</t>
  </si>
  <si>
    <t>Notranja oprema z nizkimi zahtevami glede načrtovanja, z uporabo serijsko izdelanega pohištva in opreme preproste kakovosti, brez tehnične opreme</t>
  </si>
  <si>
    <t>Notranja oprema s povprečnimi zahtevami glede načrtovanja, pretežno z uporabo serijsko izdelanega pohištva in opreme ali s povprečno tehnično opremo</t>
  </si>
  <si>
    <t>Notranja oprema z visokimi zahtevami glede načrtovanja, z uporabo serijsko izdelanega pohištva in pohištva visoke kakovosti ali visokokakovostne tehnične opreme</t>
  </si>
  <si>
    <t>Notranjost z zelo visokimi zahtevami glede načrtovanja, z uporabo kompleksnega pohištva in opreme ali obsežne tehnične opreme</t>
  </si>
  <si>
    <t>Najenostavnejše sobe brez pohištva ali za začasno uporabo</t>
  </si>
  <si>
    <t>Najenostavnejši prostori brez pohištva ali za začasno uporabo</t>
  </si>
  <si>
    <t>Preprosti stanovanjski prostori z nizkimi zahtevami glede oblikovanja ali opreme</t>
  </si>
  <si>
    <t>Stanovanjski prostori s povprečnimi zahtevami, serijsko opremljene kuhinje</t>
  </si>
  <si>
    <t>Stanovanjski prostori v skupnih nastanitvah ali domovih</t>
  </si>
  <si>
    <t>Stanovanjski prostori z visokimi zahtevami, kuhinje in kopalnice po meri</t>
  </si>
  <si>
    <t>Predelava podstrešja, zimski vrtovi</t>
  </si>
  <si>
    <t>preproste odprte dvorane</t>
  </si>
  <si>
    <t>shrambe ali pomožni prostori s preprostim pohištvom ali opremo</t>
  </si>
  <si>
    <t>Skupinski prostori, na primer v jaslih, vrtcih, mladinskih centrih, mladinskih domovih, mladinskih hostlih</t>
  </si>
  <si>
    <t>učilnice, predavalnice, seminarske sobe, manjše knjižnice, menze</t>
  </si>
  <si>
    <t>Avditoriji, izobraževalni centri, knjižnice, laboratoriji, učne kuhinje z jedilnicami oziroma saloni ali brez, specializirane učilnice s tehnično opremo</t>
  </si>
  <si>
    <t>kongresni, konferenčni in seminarski prostori, sejne sobe s pohištvom in opremo po meri ter obsežno tehnično opremo</t>
  </si>
  <si>
    <t>Znanstvenoraziskovalni prostori z visokimi zahtevami in tehnično opremo</t>
  </si>
  <si>
    <t>območja notranjih komunikacij</t>
  </si>
  <si>
    <t>Kopirnice, prostori za čistila ali drugi pomožni prostori brez konstrukcijskih elementov</t>
  </si>
  <si>
    <t>pisarne, administrativni prostori in lounge s povprečnimi zahtevami, stopnišča, čakalnice, čajne kuhinje</t>
  </si>
  <si>
    <t>Sanitarni prostori, utility, pomožni prostori, tehnični prostori</t>
  </si>
  <si>
    <t>Vhodne avle, sejne ali konferenčne sobe, menze, družabni prostori</t>
  </si>
  <si>
    <t>prostori za stranke, razstavni in predstavitveni prostori</t>
  </si>
  <si>
    <t>Prostori za sestanke in konference, sodne dvorane, vodstveni prostori z opremo po meri ali sofisticirano tehnično opremo</t>
  </si>
  <si>
    <t>Poslovne, sejne ali konferenčne sobe v prefinjenem dizajnu s pohištvom in opremo po meri, dodelano opremo ali zelo visokimi tehničnimi zahtevami</t>
  </si>
  <si>
    <t>Odprte igralnice ali avle</t>
  </si>
  <si>
    <t>Preprosti prostori za počitek ali pomožni prostori</t>
  </si>
  <si>
    <t>posvetovalne, negovalne, bolniške, bivalne ali družabne sobe s povprečnimi potrebami brez medicinsko tehnične opreme</t>
  </si>
  <si>
    <t>ambulante in prostori za oskrbo z opremo ali medicinsko tehnološko opremo v zdravstvenih, terapevtskih, rehabilitacijskih ali negovalnih ustanovah in ambulantah ordinacijah</t>
  </si>
  <si>
    <t>Operacijske dvorane, porodne sobe, rentgenske sobe</t>
  </si>
  <si>
    <t>Prodajne stojnice za začasno uporabo</t>
  </si>
  <si>
    <t>Kioski, prodajna skladišča, pomožni prostori s preprosto opremo in opremo</t>
  </si>
  <si>
    <t>Povprečne trgovine ali restavracije, nakupovalne površine, restavracije s hitro hrano</t>
  </si>
  <si>
    <t>Specializirane trgovine, butiki, razstavni saloni, kinodvorane, velike kuhinje</t>
  </si>
  <si>
    <t>Razstavna stojala, če se uporabljajo sistemske ali modularne komponente</t>
  </si>
  <si>
    <t>Posamezne razstavne stojnice</t>
  </si>
  <si>
    <t>sobe za goste, visokokakovostni sanitarni prostori, na primer v restavracijah, barih, vinskih barih, kavarnah, klubskih sobah</t>
  </si>
  <si>
    <t>gostinski ali sanitarni prostori, na primer v penzionih ali hotelih s povprečnimi zahtevami ali napravami ali opremo</t>
  </si>
  <si>
    <t>Prostori za goste, recepcije ali zabaviščni prostori v hotelih z individualno zasnovo ali opremo ali z vrhunsko opremo ali tehnično opremo</t>
  </si>
  <si>
    <t>Pomožni ali servisni prostori v športnih objektih ali bazenih</t>
  </si>
  <si>
    <t>Bazeni, fitnes, wellness ali savna, veliki športni objekti</t>
  </si>
  <si>
    <t>Športne, večnamenske ali mestne dvorane, telovadnice, plesne šole</t>
  </si>
  <si>
    <t>Preproste dvorane ali delavnice brez posebne opreme, paviljoni</t>
  </si>
  <si>
    <t>Kmetijski gospodarski prostori</t>
  </si>
  <si>
    <t>Trgovski prostori, delavnice s tehnično ali mehansko opremo</t>
  </si>
  <si>
    <t>Celotne delavnice ali industrijski objekti</t>
  </si>
  <si>
    <t>Prostori v podzemnih garažah, podhodih</t>
  </si>
  <si>
    <t>Gostinska ali poslovna območja na letališčih, železniških postajah</t>
  </si>
  <si>
    <t>Kulturni ali sakralnI objekti, verski prostori</t>
  </si>
  <si>
    <t>Individualno oblikovane razstavne, muzejske ali gledališke površine</t>
  </si>
  <si>
    <t>Koncertne ali gledališke dvorane, studijske sobe za radio, televizijo ali gledališče</t>
  </si>
  <si>
    <t>Preprosta zunanja ureditev</t>
  </si>
  <si>
    <t>Terase in strešni vrtovi</t>
  </si>
  <si>
    <t>Otroška igrišča</t>
  </si>
  <si>
    <t>Gledališča na prostem</t>
  </si>
  <si>
    <t>Pokopališča, spomeniki, spominska obeležja, z visokimi ali zelo visokimi zahtevami</t>
  </si>
  <si>
    <t>namakanje in odvodnjavanje brez cevnih sistemov, obsežna zemeljska dela z različnimi nivoji ali materiali</t>
  </si>
  <si>
    <r>
      <t>zadrževalniki in nasipi s prostornino nad 5.000.000 m</t>
    </r>
    <r>
      <rPr>
        <vertAlign val="superscript"/>
        <sz val="10"/>
        <color rgb="FF000000"/>
        <rFont val="Inter"/>
        <family val="2"/>
      </rPr>
      <t>3</t>
    </r>
  </si>
  <si>
    <t>enostavni jambori in stolpi brez nadgradenj</t>
  </si>
  <si>
    <t>jambori in stolpi z nadgradnjami</t>
  </si>
  <si>
    <t>jambori in stolpi z nadgradnjami in etažami z uporabnimi površinami</t>
  </si>
  <si>
    <t>jambori in stolpi z nadgradnjami in etažami z uporabnimi površinami v javni rabi</t>
  </si>
  <si>
    <t>INŽENIRSKI OBJEKTI (IZBOR)</t>
  </si>
  <si>
    <t>cenovni razred je enak kot za stavbe</t>
  </si>
  <si>
    <t>Poraba časa - odprti prostor</t>
  </si>
  <si>
    <t>PORAZDELITEV UR  - UČINKOVITA RABA ENERGIJE</t>
  </si>
  <si>
    <t>PORAZDELITEV UR  - ZAŠČITA PRED HRUPOM</t>
  </si>
  <si>
    <t>IZRAČUN IZHODIŠČNIH VREDNOSTI OSNOVNIH STORITEV</t>
  </si>
  <si>
    <t>PORAZDELITEV UR  - PROSTORSKA AKUSTIKA</t>
  </si>
  <si>
    <t>3 do 33 %</t>
  </si>
  <si>
    <t>2 do 8 %</t>
  </si>
  <si>
    <t>% z dodatki</t>
  </si>
  <si>
    <t>AB KONSTRUKCIJA BREZ OPAŽNIH NAČRTOV ALI ENOSTAVNA LESENA KONSTRUKCIJA</t>
  </si>
  <si>
    <t>BREZ NAČRTA UTOROV IN PREBOJEV V NAČRTIH INŠTALACIJ</t>
  </si>
  <si>
    <t>BREZ PREVERJANJA MONTAŽNIH IN DELAVNIŠKIH NAČRTOV V TEHNIČNIH NAČRTIH</t>
  </si>
  <si>
    <t>PRIBITEK ZA PRENOVO</t>
  </si>
  <si>
    <t>specifični tehnični pogoji</t>
  </si>
  <si>
    <t>geološke geotehnične danosti gradbenega zemljišča,</t>
  </si>
  <si>
    <t>tehnična oprema in opremljenost,</t>
  </si>
  <si>
    <t>Vključevanje v okolje ali v območje objekta,</t>
  </si>
  <si>
    <t>število funkcionalnih področij ali konstrukcijske in tehnične zahteve,</t>
  </si>
  <si>
    <t>1 do 5 točk</t>
  </si>
  <si>
    <t>1 do 10 točk</t>
  </si>
  <si>
    <t>1 do 15 točk</t>
  </si>
  <si>
    <t>SKUPAJ MAKSIMALNO 40</t>
  </si>
  <si>
    <t>11 do 17 točk</t>
  </si>
  <si>
    <t>18 do 25 točk</t>
  </si>
  <si>
    <t>26 do 33 točk</t>
  </si>
  <si>
    <t>34 do 40 točk</t>
  </si>
  <si>
    <t>vključevanje v okolje ali v območje objekta,</t>
  </si>
  <si>
    <t>SKUPAJ NU ZA FAZO</t>
  </si>
  <si>
    <t>SKUPAJ EUR ZA FAZO</t>
  </si>
  <si>
    <t>GRADBENI NADZOR</t>
  </si>
  <si>
    <t>Ceste izven naselij</t>
  </si>
  <si>
    <t>– brez posebnih horizontalnih elementov osi ali na zmerno neravnem terenu</t>
  </si>
  <si>
    <t>– s posebnimi horizontalnimi elementi osi ali na neravnem terenu</t>
  </si>
  <si>
    <t>– z večjim številom posebnih horizontalnih elementov osi ali na močno neravnem terenu</t>
  </si>
  <si>
    <t>– v hribovitem terenu</t>
  </si>
  <si>
    <t>Ceste in trgi v naselju</t>
  </si>
  <si>
    <t>– Stanovanjske in zbirne ulice</t>
  </si>
  <si>
    <t>– druge mestne ulice z običajnimi prometnimi zahtevami ali normalnimi urbanističnimi razmerami (povprečno število povezav z okolico)</t>
  </si>
  <si>
    <t>– druge mestne ulice z visokimi prometnimi zahtevami ali težkimi urbanističnimi razmerami (veliko število povezav z okoljem)</t>
  </si>
  <si>
    <t>Poti</t>
  </si>
  <si>
    <t>– na ravnem terenu z enostavnimi pogoji za odvodnjavanje</t>
  </si>
  <si>
    <t>– na neravnem terenu z enostavnimi pogoji za gradnjo in odvodnjavanje</t>
  </si>
  <si>
    <t>– na neravnem terenu s težkimi pogoji za gradnjo in odvodnjavanje</t>
  </si>
  <si>
    <t>Parkirišča, prometne površine</t>
  </si>
  <si>
    <t>– preproste prometne površine, parkirišča izven urbanih območij</t>
  </si>
  <si>
    <t>– notranja parkirišča</t>
  </si>
  <si>
    <t xml:space="preserve">– območja umirjenega prometa z običajnimi urbanističnimi zahtevami </t>
  </si>
  <si>
    <r>
      <t> </t>
    </r>
    <r>
      <rPr>
        <sz val="10"/>
        <color rgb="FF221F1F"/>
        <rFont val="Inter"/>
        <family val="2"/>
      </rPr>
      <t>x</t>
    </r>
  </si>
  <si>
    <t>– območja umirjenega prometa z visokimi urbanističnimi zahtevami</t>
  </si>
  <si>
    <t>– prometne površine za pretovarjanje cesta/cesta</t>
  </si>
  <si>
    <t>– prometne površine za pretovarjanje kombinirani promet</t>
  </si>
  <si>
    <t>Bencinske črpalke, počivališča</t>
  </si>
  <si>
    <t>– z običajnimi prometnimi zahtevami</t>
  </si>
  <si>
    <t>– z visokimi prometnimi zahtevami</t>
  </si>
  <si>
    <t>Vozlišča</t>
  </si>
  <si>
    <t>– enostavna nivojska</t>
  </si>
  <si>
    <t>– zahtevna nivojska</t>
  </si>
  <si>
    <t>– zelo zahtevna nivojska</t>
  </si>
  <si>
    <t>– enostavna izven nivojska</t>
  </si>
  <si>
    <t>– zahtevna izven nivojska</t>
  </si>
  <si>
    <t>– zelo zahtevna izven nivojska</t>
  </si>
  <si>
    <t>Železniški tiri na odprtih progah</t>
  </si>
  <si>
    <t>– brez kretnic in križišč</t>
  </si>
  <si>
    <t>Tirni in peronski sistemi železniških postaj</t>
  </si>
  <si>
    <t>- z enostavno tirno shemo</t>
  </si>
  <si>
    <t>– z zahtevno tirno shemo</t>
  </si>
  <si>
    <t>– z zelo zahtevno tirno shemo</t>
  </si>
  <si>
    <t>– enostavne prometne površine pristajališč, letališča za jadralna letala</t>
  </si>
  <si>
    <t>– zahtevne prometne površine pristajališč, enostavne prometne površine letališč</t>
  </si>
  <si>
    <r>
      <t>x</t>
    </r>
    <r>
      <rPr>
        <sz val="7.5"/>
        <color theme="1"/>
        <rFont val="Inter"/>
        <family val="2"/>
      </rPr>
      <t> </t>
    </r>
  </si>
  <si>
    <t>– zahtevne prometne površine letališč</t>
  </si>
  <si>
    <t>bajerji z nasipi višine do 3,0 m nad terenom, brez razbremenilnikov visoke vode in regulacijskih odtočnih objektov</t>
  </si>
  <si>
    <t>bajerji z nasipi višine več kot 3 m nad terenom brez razbremenilnikov visokih vod, ribniki z nasipi višine do 3 m nad terenom z razbremenilnikom visokih vod</t>
  </si>
  <si>
    <t>Nosilne konstrukcije z zelo majhno statično zahtevnostjo, predvsem enostavne statično določene ravninske konstrukcije iz lesa, jekla, kamna ali nearmiranega betona, za mirujoče obtežbe, brez ugotavljanja horizontalne togosti</t>
  </si>
  <si>
    <t>Oporni zidovi</t>
  </si>
  <si>
    <t>Temeljenje</t>
  </si>
  <si>
    <t>enostavno ploskovno temeljenje (temeljne plošče)</t>
  </si>
  <si>
    <t xml:space="preserve">povprečno zahtevno ploskovno temeljenje, povprečno zahtevno ravninsko in prostorsko temeljenje </t>
  </si>
  <si>
    <t>zahtevno ploskovno temeljenje, zahtevno ravninsko in prostorsko temeljenje, pilotna in druga posebna temeljenja</t>
  </si>
  <si>
    <t>zidane gradnje z nosilnimi stenami do temeljev, brez ugotavljanja horizontalne togosti,</t>
  </si>
  <si>
    <t>konstrukcije, pri katerih je treba trdnostne lastnosti zidanih delov določiti s preizkusom (inženirska opečna gradnja)</t>
  </si>
  <si>
    <t>nosilne zidane konstrukcije z upoštevanjem nosilnih oziroma ojačenih sten,</t>
  </si>
  <si>
    <t>Oboki</t>
  </si>
  <si>
    <t>enostavni oboki</t>
  </si>
  <si>
    <t>zahtevni oboki in sistemi obokov</t>
  </si>
  <si>
    <t>Stropne konstrukcije</t>
  </si>
  <si>
    <t>enostavne stropne konstrukcije s pretežno mirujočo površinsko obtežbo</t>
  </si>
  <si>
    <t>povprečno zahtevne stropne konstrukcije</t>
  </si>
  <si>
    <t>enopoljne poševne plošče</t>
  </si>
  <si>
    <t>poševni ali ukrivljeni nosilci</t>
  </si>
  <si>
    <t>poševni ukrivljeni nosilci</t>
  </si>
  <si>
    <t>povprečno zahtevne brane in ortotropne plošče,</t>
  </si>
  <si>
    <t>zahtevne brane in ortotropne plošče,</t>
  </si>
  <si>
    <t>enostavne poliedrične konstrukcije brez prednapetja</t>
  </si>
  <si>
    <t>enostavne sovprežne konstrukcije stavb brez upoštevanja vpliva raztezkov in skrčkov</t>
  </si>
  <si>
    <t>povprečno zahtevne sovprežne konstrukcije</t>
  </si>
  <si>
    <t>prednapete sovprežne konstrukcije</t>
  </si>
  <si>
    <t>Utrejene skeletne konstrukcije</t>
  </si>
  <si>
    <t>zahtevni okvirji, skeleti in stolpi, pri katerih se morata stabilnost in trdnost preverjati po posebnih računskih metodah</t>
  </si>
  <si>
    <t>enostavne okvirne konstrukcije, brez prednapetih konstrukcij in brez preverjanja stabilnosti,</t>
  </si>
  <si>
    <t>povprečno zahtevne okvirne konstrukcije</t>
  </si>
  <si>
    <t>Okvirne in skeletne konstrukcije</t>
  </si>
  <si>
    <t>zahtevne okvirne konstrukcije s prednapetimi konstrukcijskimi elementi in s preverjanjem stabilnosti</t>
  </si>
  <si>
    <t>povprečno zahtevne ploskovne konstrukcije (plošče, stene)</t>
  </si>
  <si>
    <t>zahtevne ploskovne konstrukcije (plošče, stene, poliedrične konstrukcije, lupine)</t>
  </si>
  <si>
    <t>povprečno zahtevne prostorske konstrukcije</t>
  </si>
  <si>
    <t>zahtevne prostorske konstrukcije</t>
  </si>
  <si>
    <t>konstrukcije, prednapete s kabli</t>
  </si>
  <si>
    <t>enostavne konstrukcije, prednapete s kabli</t>
  </si>
  <si>
    <t>Dinamično obremenjene konstrukcije</t>
  </si>
  <si>
    <t>konstrukcije z enostavno dinamično obremenitvijo</t>
  </si>
  <si>
    <t>konstrukcije s povprečno do zelo zahtevno dinamično obremenitvijo</t>
  </si>
  <si>
    <t>povprečno do zelo zahtevne konstrukcije, prednapete s kabli</t>
  </si>
  <si>
    <t>Posebne računske metode</t>
  </si>
  <si>
    <t>zahtevne nosilne konstrukcije, pri katerih se za dimenzioniranje prerezov upošteva teorija II. reda</t>
  </si>
  <si>
    <t>zelo zahtevne nosilne konstrukcije, pri katerih se za dimenzioniranje prerezov upošteva teorija II. reda</t>
  </si>
  <si>
    <t>zahtevne inovativne nosilne konstrukcije</t>
  </si>
  <si>
    <t>nosilne konstrukcije, pri katerih je stabilnost mogoče dokazati le z modelnimi preizkusi ali z računom po metodi končnih elementov</t>
  </si>
  <si>
    <t>nosilne konstrukcije, pri katerih je treba pri dimenzioniranju prerezov upoštevati odpornost veznih elementov</t>
  </si>
  <si>
    <t>Prednapete betonske konstrukcije</t>
  </si>
  <si>
    <t>enostavne statično določene betonske prednapete konstrukcije</t>
  </si>
  <si>
    <t>povprečno zahtevne betonske prednapete konstrukcije</t>
  </si>
  <si>
    <t>zahtevne do zelo zahtevne betonske prednapete konstrukcije</t>
  </si>
  <si>
    <t>enostavni gradbeni odri in drugi enostavni odri za inženirske objekte</t>
  </si>
  <si>
    <t>zahtevni gradbeni odri in drugi zahtevni odri za inženirske objekte</t>
  </si>
  <si>
    <t>zelo zahtevni gradbeni odri in drugi zelo zahtevni odri za inženirske objekte, npr. visoki nosilni odri ali odri z velikim razponom</t>
  </si>
  <si>
    <t>Gradbeni odri</t>
  </si>
  <si>
    <t>Zelo zahtevne nosilne konstrukcije, predvsem statično in konstrukcijsko neobičajno zahtevne nosilne konstrukcije</t>
  </si>
  <si>
    <t>Nosilne konstrukcije z nadpovprečno zahtevnostjo, predvsem statično in konstrukcijsko zahtevne nosilne konstrukcije običajne izvedbe in nosilne konstrukcije, pri katerih je pri preverjanju stabilnosti in trdnosti treba upoštevati težko določljive vplive</t>
  </si>
  <si>
    <t>Nosilne konstrukcije s povprečno zahtevnostjo, predvsem zahtevne, statično določene in nedoločene ravninske konstrukcije običajne izvedbe, brez prednapetih in sovprežnih konstrukcij in brez preverjanja stabilnosti</t>
  </si>
  <si>
    <t>Nosilne konstrukcije z majhno statično zahtevnostjo, predvsem statično določene ravninske konstrukcije običajne izvedbe, brez prednapetih in sovprežnih konstrukcij, za pretežno mirujočo obremenitev</t>
  </si>
  <si>
    <t>VREDNOST V EUR S PRIBITKI</t>
  </si>
  <si>
    <t>Krajinske ureditve vodotokov, brežin in plazišč</t>
  </si>
  <si>
    <t>Počivališča, parkirišča, avtobusna in železniška postajališča in peroni z opremo, obračališča in druge utrjene površine, gozdne ceste, pešpoti, kolesarske poti in jahalne steze</t>
  </si>
  <si>
    <t>Območja urbanih vrtov (mestni vrtički, skupnostni vrtovi ipd.)</t>
  </si>
  <si>
    <t>Skakalnice</t>
  </si>
  <si>
    <t>Športna igrišča in rekreacijska območja</t>
  </si>
  <si>
    <t>Športni objekti v odprti krajini, poligoni, tekmovalne steze, vzletišča, jahališča, površine za avtomobilske, motoristične, kolesarske in konjske dirke s pomožnimi objekti</t>
  </si>
  <si>
    <t>Razgledne ploščadi in opazovalnice</t>
  </si>
  <si>
    <t>Živalski in botanični vrtovi, arboretumi</t>
  </si>
  <si>
    <t>Objekti za zaščito pred hrupom in vetrom (protihrupne in protivetrne ograje ali drugi objekti)</t>
  </si>
  <si>
    <t>Urbana oprema (grajena igrala, vodometi in vodnjaki), objekti za oglaševanje in informacijski panoji</t>
  </si>
  <si>
    <t>Zunanje vrtne razstave in dvoranske vrtne predstavitve</t>
  </si>
  <si>
    <t>Nepokrita prezentirana arheološka najdišča in ruševine</t>
  </si>
  <si>
    <t>Zunanje ureditve v povezavi z zgodovinskimi stavbami ali drugimi objekti, zgodovinski parki in vrtovi, vrtni spomeniki</t>
  </si>
  <si>
    <t>Zunanje ureditve glede na tipologijo stavbe, s povprečnimi topografskimi pogoji ali povprečno opremo (npr. ob večstanovanjskih ali javnih stavbah)</t>
  </si>
  <si>
    <t>Zunanje ureditve glede na tipologijo stavbe, s težkimi ali posebej težkimi topografskimi razmerami ali visokimi ali zelo visokimi zahtevami glede opreme (npr. soseske, zunanji prostor šol in vrtcev, domov za starejše, zunanji prostor reprezentančnih stavb ipd.)</t>
  </si>
  <si>
    <t>Marine s pripadajočimi pristaniškimi napravami (športna pristanišča in marine, tudi rečna pristanišča, oprema za plaže, pomoli in pontoni)</t>
  </si>
  <si>
    <t>Urejena naravna kopališča, smučišča na vodi, vlečnice za smučanje na vodi, kajakaške proge</t>
  </si>
  <si>
    <t>Vodne in obvodne ureditve s pretežno ekološkimi in krajinskimi elementi, ribniki brez jezov, drenažni jarki in drugi objekti za osuševanje zemljišč,</t>
  </si>
  <si>
    <t>Reliefno preoblikovanje terena  (nasipi, izkopi in odkopi)</t>
  </si>
  <si>
    <t>CENOVNI RAZREDI - STAVBE</t>
  </si>
  <si>
    <t>CENOVNI RAZREDI - NOTRANJA OPREMA</t>
  </si>
  <si>
    <t>CENOVNI RAZREDI - ODPRTI PROSTOR</t>
  </si>
  <si>
    <t>MERILA ZA OCENJEVANJE INŽENIRSKIH OBJEKTOV</t>
  </si>
  <si>
    <t>CENOVNI RAZREDI - INŽENIRSKI OBJEKTI</t>
  </si>
  <si>
    <t>CENOVNI RAZREDI - OBJEKTI PROMETNE INFRASTRUKTURE</t>
  </si>
  <si>
    <t>MERILA ZA OCENJEVANJE OBJEKTI PROMETNE INFRASTRUKTURE</t>
  </si>
  <si>
    <t>MERILA ZA OCENJEVANJE - STAVBE</t>
  </si>
  <si>
    <t>MERILA ZA OCENJEVANJE - NOTRANJA OPREMA</t>
  </si>
  <si>
    <t>MERILA ZA OCENJEVANJE - ODPRTI PROSTOR</t>
  </si>
  <si>
    <t>posamične prezračevalne naprave</t>
  </si>
  <si>
    <t>Strojne inštalacije</t>
  </si>
  <si>
    <t>inštalacije za plin, vodovod in kanalizacijo s kratkim in enostavnim razvodom</t>
  </si>
  <si>
    <t>inštalacije za plin, vodovod in kanalizacijo z obsežnim razvejanim razvodom, sistemom za kroženje sanitarne vode, dvižnimi vodi in napravami za zviševanje tlaka</t>
  </si>
  <si>
    <t>sistemi za čiščenje, razstrupljanje ali nevtralizacijo odpadne vode, sistemi za biološko, kemično ali fizikalno obdelavo vode, sistemi s posebnimi higienskimi zahtevami ali nove tehnologije (npr. za bolnišnice, domove za ostarele in podobnoi)</t>
  </si>
  <si>
    <t>naprave za tlačno regulacijo plina, večstopenjski ločevalniki lahkih tekočin</t>
  </si>
  <si>
    <t>površinsko ogrevanje</t>
  </si>
  <si>
    <t>hišne toplotne postaje</t>
  </si>
  <si>
    <t>razvejana omrežja</t>
  </si>
  <si>
    <t>ogrevalni sistemi v stavbah, eno- ali dvovalentni sistemi (na primer solarni sistemi za ogrevanje sanitarne vode, sistemi s toplotno črpalko)</t>
  </si>
  <si>
    <t>multivalentni sistemi</t>
  </si>
  <si>
    <t>sistemi s sočasno proizvodnjo toplote in električne energije, parno ogrevanje, sistemi s toplo vodo, sevalno stropno ogrevanje (npr. športne ali industrijske hale)</t>
  </si>
  <si>
    <t xml:space="preserve">posamične naprave za ogrevanje, etažno ogrevanje </t>
  </si>
  <si>
    <t>termodinamični prezračevalni sistemi (na primer ogrevanje), nadtlačno prezračevanje</t>
  </si>
  <si>
    <t>prezračevalni sistemi z vsaj dvema termodinamičnima sistemoma (npr. ogrevanje ali hlajenje), delni klimatski sistemi, klimatski sistemi</t>
  </si>
  <si>
    <t>sistemi s posebnimi zahtevami glede kakovosti zraka (npr. operacijske dvorane)</t>
  </si>
  <si>
    <t>hišne postaje za daljinsko hlajenje, centralno hlajenje</t>
  </si>
  <si>
    <t>hladilne naprave, hladilni sistemi brez procesnega hlajenja</t>
  </si>
  <si>
    <t>Električne inštalacije</t>
  </si>
  <si>
    <t>ozemljitev</t>
  </si>
  <si>
    <t>nizkonapetostni sistemi z do dvema merilnima mestoma, vključno z osvetlitvijo ali varnostno razsvetljavo s posameznimi baterijami</t>
  </si>
  <si>
    <t>kompaktne transformatorske postaje, lastni sistemi za proizvodnjo električne energije (npr. centralni akumulatorji ali sistemi za neprekinjeno napajanje, fotovoltaični sistemi)</t>
  </si>
  <si>
    <t>sistemi centralne varnostne razsvetljave</t>
  </si>
  <si>
    <t>Nizkonapetostne napeljave, vključno z vodili</t>
  </si>
  <si>
    <t>sistemi za zaščito pred strelo ali ozemljitev, razen če je navedeno v I ali III razredu</t>
  </si>
  <si>
    <t>zunanja razsvetljava</t>
  </si>
  <si>
    <t>Visokonapetostni ali srednjenapetostni sistemi, transformatorske postaje, notranji napajalni sistemi s posebnimi zahtevami (npr. zasilni generatorji električne energije, kombinirane toplarne in elektrarne, dinamično neprekinjeno napajanje)</t>
  </si>
  <si>
    <t>nizkonapetostni sistemi z do tremi distribucijskimi nivoji (merilnimi mesti), vključno z osvetlitvijo</t>
  </si>
  <si>
    <t>nizkonapetostni sistemi z najmanj štirimi distribucijskimi nivoji (merilnimi mesti) ali več kot 1000 A nazivnega toka</t>
  </si>
  <si>
    <t>sistemi razsvetljave s posebnimi zahtevami načrtovanja (npr. simulacije svetlobe za muzeje ali druge posebne prostore)</t>
  </si>
  <si>
    <t>sistemi za zaščito pred strelo s posebnimi zahtevami (npr. bolnišnice, stolpnice, podatkovni centri)</t>
  </si>
  <si>
    <t>Preproste telekomunikacijske inštalacije s posameznimi terminali</t>
  </si>
  <si>
    <t>Telekomunikacijski ali informacijski sistemi, ki niso navedeni v I. ali III. razredu</t>
  </si>
  <si>
    <t>Telekomunikacijski ali informacijski tehnološki sistemi s posebnimi zahtevami (npr. konferenčni ali tolmaški sistemi, sistemi za obveščanje javnosti za posebne prostore, sistemi za spremljanje nepremičnin, aktivne omrežne komponente, oddaljena prenosna omrežja, sistemi za daljinsko upravljanje, sistemi za vodenje parkiranja)</t>
  </si>
  <si>
    <t>Transportni sistemi</t>
  </si>
  <si>
    <t>Posamezna standardna dvigala, manjša tovorna dvigala, dvižne ploščadi</t>
  </si>
  <si>
    <t>Dvigala ki niso navedena v I. ali III. razredu, tekoče stopnice ali trakovi, žerjavi, nakladalni mostovi, neprekinjeni transportni sistemi</t>
  </si>
  <si>
    <t>Dvigala s posebnimi zahtevami, fasadna dvigala, transportni sistemi z več kot dvema oddajnima ali sprejemnima točkama</t>
  </si>
  <si>
    <t>Posebne naprave in sistemi</t>
  </si>
  <si>
    <t>enostavna kuhinjska oprema, na primer čajne kuhinje</t>
  </si>
  <si>
    <t>kuhinjska oprema, npr. srednje velike kuhinje, pogrevalne kuhinje, naprave za pripravo hrane ali pijače,</t>
  </si>
  <si>
    <t>serviranje ali skladiščenje hrane (brez kuhinje), vključno s pripadajočimi hladilnimi sistemi</t>
  </si>
  <si>
    <t>zahtevna kuhinjska tehnologija, na primer velike kuhinje, oprema za proizvodne kuhinje, vključno s strežbo ali skladiščenjem in pripadajočimi hladilnimi sistemi, komercialno hlajenje za velike kuhinje, velike hladilnice ali hladilne omare</t>
  </si>
  <si>
    <t>naprave za pranje ali čiščenje, na primer za skupne pralnice</t>
  </si>
  <si>
    <t>naprave za pranje ali čiščenje, na primer oprema za javne pralnice</t>
  </si>
  <si>
    <t>pralni ali čistilni sistemi za velika pralna in čistilna podjetja</t>
  </si>
  <si>
    <t>medicinska ali laboratorijska oprema, na primer za posamično splošno medicinsko prakso</t>
  </si>
  <si>
    <t>medicinska ali laboratorijska oprema, na primer za skupinske prakse v splošni medicini ali posamezne prakse v specialistični medicini, sanatoriji, oskrbovalni centri, bolnišnični oddelki, laboratorijski prostori za šole</t>
  </si>
  <si>
    <t>medicinska ali laboratorijska oprema, na primer za klinike, inštitute z učnimi ali raziskovalnimi nalogami, laboratorije, proizvodne obrate</t>
  </si>
  <si>
    <t>posamični gasilni aparati, na primer ročni gasilni aparati</t>
  </si>
  <si>
    <t>ročno upravljani sistemi za gašenje požara</t>
  </si>
  <si>
    <t>avtomatični sistemi za gašenje požara</t>
  </si>
  <si>
    <t>sistemi za odstranjevanje, npr. odpadkov ali perila,</t>
  </si>
  <si>
    <t>sistemi za odstranjevanje, na primer centralni sistemi za odstranjevanje perila ali odpadkov, centralni sistemi za sesanje</t>
  </si>
  <si>
    <t>odrska tehnika za majhne ali srednje velike odre</t>
  </si>
  <si>
    <t>odrska tehnika za velike odre</t>
  </si>
  <si>
    <t>Sistemi za oskrbo s tekočinami in plini, na primer za proizvodnjo, shranjevanje, predelavo ali distribucijo medicinskih ali tehničnih plinov, tekočin ali vakuuma</t>
  </si>
  <si>
    <t>bazenski sistemi na primer sistemi za obdelavo vode, sistemi za ustvarjanje valov, premično dno bazena</t>
  </si>
  <si>
    <t>Sistemi za ogrevanje in hlajenje tehnoloških procesov, sistemi za tehnološki zrak, na primer vakuumski sistemi, testne postaje, vetrovniki, industrijski sesalni sistemi</t>
  </si>
  <si>
    <t>Tehnologija za bencinske črpalke in pralnice vozil</t>
  </si>
  <si>
    <t>skladiščni sistemi, na primer naprave za shranjevanje in dviganje (s pripadajočimi regalnimi sistemi), avtomatski sistemi za prevoz blaga</t>
  </si>
  <si>
    <t>Sistemi za odtaljevanje ali zaščita proti zmrzali</t>
  </si>
  <si>
    <t>Stacionarni sistemi za odtaljevanje za velike sisteme, npr. za letališča</t>
  </si>
  <si>
    <t>Tehnološki sistemi</t>
  </si>
  <si>
    <t>enostavni tehnološki sistemi za obdelavo vode (na primer prezračevanje, odstranjevanje železa, odstranjevanje mangana, kemično razkisanje, fizično razkisanje)</t>
  </si>
  <si>
    <t>tehnološki sistemi za obdelavo vode (na primer membranska filtracija, flokulacijska filtracija, ozoniranje, odstranjevanje arzena, dealuminizacija, denitrifikacija)</t>
  </si>
  <si>
    <t>enostavni tehnološki sistemi za čiščenje odpadne vode (na primer aerobna stabilizacija)</t>
  </si>
  <si>
    <t>tehnološki sistemi za čiščenje odpadne vode (npr. za večstopenjske čistilne naprave)</t>
  </si>
  <si>
    <t>enostavni sistemi za obdelavo blata (npr. sistemi za usedanje blata z mehanskimi napravami)</t>
  </si>
  <si>
    <t>sistemi za večstopenjske ali kombinirane procese obdelave blata</t>
  </si>
  <si>
    <t>enostavni tehnični sistemi za odvajanje odplak</t>
  </si>
  <si>
    <t>tehnični sistemi za odvajanje odplak</t>
  </si>
  <si>
    <t>enostavni tehnični sistemi za črpanje, dovajanje in skladiščenje vode</t>
  </si>
  <si>
    <t>tehnični sistemi za črpanje, dovajanje in skladiščenje vode</t>
  </si>
  <si>
    <t>enostavni sistemi za čiščenje deževnice</t>
  </si>
  <si>
    <t>enostavni sistemi za sisteme za dekontaminacijo podtalnice</t>
  </si>
  <si>
    <t>kompleksni tehnični sistemi za sisteme za dekontaminacijo podtalnice</t>
  </si>
  <si>
    <t>enostavni tehnični sistemi za dovajanje in odstranjevanje plinov
(npr. sistem odorizacije)</t>
  </si>
  <si>
    <t>enostavni tehnični sistemi za oskrbo in odstranjevanje trdnih snovi</t>
  </si>
  <si>
    <t>tehnični sistemi za oskrbo in odstranjevanje trdnih snovi</t>
  </si>
  <si>
    <t>enostavni tehnični sistemi za odstranjevanje odpadkov (npr. za kompostarne, sistemi za kondicioniranje nevarnih odpadkov, odlagališča gospodinjskih odpadkov ali mono odlagališča nevarnih odpadkov, sistemi za podzemna odlagališča, sistemi za obdelavo onesnaženih tal)</t>
  </si>
  <si>
    <t>tehnološki sistemi za odstranjevanje odpadkov (npr. za sežigalnice, pirolizne sisteme, večnamenske sisteme za obdelavo materialov, ki jih je mogoče reciklirati)</t>
  </si>
  <si>
    <t>Avtomatizacija stavb</t>
  </si>
  <si>
    <t>sistemi avtomatizacije stavb, nevtralni do proizvajalca, ali sistemi za avtomatizacijo s sistemsko integracijo med sistemskimi skupinami</t>
  </si>
  <si>
    <t>TIPOLOGIJA</t>
  </si>
  <si>
    <t>Večstanovanjske stavbe ali skupine stanovanjskih stavb v strnjeni pozidavi, nižji standard</t>
  </si>
  <si>
    <t>Večstanovanjske stavbe ali skupine stanovanjskih stavb v strnjeni pozidavi, srednji standard</t>
  </si>
  <si>
    <t>Večstanovanjske stavbe ali skupine stanovanjskih stavb v strnjeni pozidavi, višji standard</t>
  </si>
  <si>
    <t>Podkletene eno in dvostanovanjske stavbe, srednji standard</t>
  </si>
  <si>
    <t>Podkletene eno in dvostanovanjske stavbe, višji standard</t>
  </si>
  <si>
    <t>Nepodkletene eno in dvostanovanjske stavbe, nižji standard</t>
  </si>
  <si>
    <t>Nepodkletene eno in dvostanovanjske stavbe, srednji standard</t>
  </si>
  <si>
    <t>Nepodkletene eno in dvostanovanjske stavbe, višji standard</t>
  </si>
  <si>
    <t>Oskrbovana stanovanja, srednji standard</t>
  </si>
  <si>
    <t>Oskrbovana stanovanja, višji standard</t>
  </si>
  <si>
    <t>Študentski domovi, skupna nastanitev</t>
  </si>
  <si>
    <t>Šole s povprečnimi načrtovalskimi potrebami - poklicne šole</t>
  </si>
  <si>
    <t>Šole s povprečnimi načrtovalskimi potrebami - osnovne in srednje šole</t>
  </si>
  <si>
    <t>MINIMALNO ŠTEVILO NU</t>
  </si>
  <si>
    <t>MAKSIMALNO ŠTEVILO NU</t>
  </si>
  <si>
    <t xml:space="preserve">Vrednosti v ležeči pisavi so informativne narave. </t>
  </si>
  <si>
    <t>OPOMBE</t>
  </si>
  <si>
    <t>Podkletene eno in dvostanovanjske stavbe, nižji standard</t>
  </si>
  <si>
    <t>IDEJNO PROJEKTIRANJE</t>
  </si>
  <si>
    <t>PROJEKTIRANJE ZA IZVEDBO</t>
  </si>
  <si>
    <t>% stroškov gradnje</t>
  </si>
  <si>
    <t>OSNOVNE STORITVE</t>
  </si>
  <si>
    <t>PROJEKTANT</t>
  </si>
  <si>
    <t>UPORABI SREDNJO VREDNOST ŠTEVILA NU</t>
  </si>
  <si>
    <t>Vrtci - nepodkleteni</t>
  </si>
  <si>
    <t>Vrtci - podkleteni</t>
  </si>
  <si>
    <t>Večnamenske dvorane</t>
  </si>
  <si>
    <t>Veliki športni objekti</t>
  </si>
  <si>
    <t>Notranji bazeni</t>
  </si>
  <si>
    <t>Industrijske stavbe - masivna gradnja</t>
  </si>
  <si>
    <t>Industrijske stavbe - skeletna gradnja</t>
  </si>
  <si>
    <t>delavnice, obrtne stavbe</t>
  </si>
  <si>
    <t>Stavbe za gostinstvo, menze ali kantine</t>
  </si>
  <si>
    <t>Diskonti</t>
  </si>
  <si>
    <t>Trgovski centri, nakupovalni centri, pokrite tržnice, sejemske dvorane</t>
  </si>
  <si>
    <t>Občinska središča, skupnosti, stavbe za kulturo</t>
  </si>
  <si>
    <t xml:space="preserve">Ureditve ob avtocestah in cestah, zasaditve protivetrnih pasov, zelene ločevalne poteze </t>
  </si>
  <si>
    <t>Zasaditve na prostem z zahtevami glede ohranjanja  narave (izravnalni ukrepi, nadomestni habitati)</t>
  </si>
  <si>
    <t xml:space="preserve">Zunanja ureditev in zasaditev odlagališč odpadkov, zbirnih centrov in smetišč </t>
  </si>
  <si>
    <t xml:space="preserve">Odprti prostori na območjih enostavne pozidave v manjših podeželskih  naseljih in ob posameznih objektih </t>
  </si>
  <si>
    <t>Parki, javni vrtovi in druge urejene zelene površine</t>
  </si>
  <si>
    <t>Trgi (ki so ali niso sestavni deli javne ceste) in območja za pešce</t>
  </si>
  <si>
    <t>Ozelenjena parkirišča in poti brez posebne opreme, zelenice</t>
  </si>
  <si>
    <t>Mestne ulice, avenije in drevoredi v varovalnem pasu cest ter drugi drevoredi, ozelenjene poti in druge povezave z urbano opremo</t>
  </si>
  <si>
    <t>Zabaviščni in tematski parki (npr. vodni, adrenalinski, plezalni parki in podobni objekti na prostem)</t>
  </si>
  <si>
    <t>Ureditve vodotokov in nabrežij vodnih teles v naseljih</t>
  </si>
  <si>
    <t xml:space="preserve">Izobraževalna območja, naravoslovne in druge učne poti </t>
  </si>
  <si>
    <t>Vrtovi in vrtna dvorišča z reprezentativno funkcijo ali visokimi zahtevami</t>
  </si>
  <si>
    <t xml:space="preserve">Smučišča in sankališča s tehnično opremo ali brez </t>
  </si>
  <si>
    <t>Kombinirana igrišča (z raznovrstnim programom), športna igrišča, teniška igrišča in igrišča z umetno podlago</t>
  </si>
  <si>
    <t>Ureditve zahtevnega terena z opornimi zidovi ali drugimi oporami v naseljih</t>
  </si>
  <si>
    <t>Mestni trgi in območja za pešce z visokimi ali zelo visokimi zahtevami glede opreme (mestna jedra, tržnice ipd.)</t>
  </si>
  <si>
    <t>Utrjene brežine (armirane brežine, podporni zidovi, suhozidi, gabioni, skalne ali kamnite zložbe ipd.)</t>
  </si>
  <si>
    <t>Enostavne in improvizirane stavbe za začasno uporabo</t>
  </si>
  <si>
    <t>Penzioni, gostišča</t>
  </si>
  <si>
    <t>Hoteli, moteli</t>
  </si>
  <si>
    <t>Mladinska prenočišča, planinske koče in zavetišča, počitniški domovi</t>
  </si>
  <si>
    <t>8. Infrastruktura</t>
  </si>
  <si>
    <t>1. Stanovanjske stavbe</t>
  </si>
  <si>
    <t>2. Izobraževanje, znanstvena in raziskovalna dejavnost</t>
  </si>
  <si>
    <t>3. Pisarniški in upravni prostori</t>
  </si>
  <si>
    <t>4. Zdravstveni prostori in prostori za oskrbo</t>
  </si>
  <si>
    <t>5. Trgovina in gostinstvo</t>
  </si>
  <si>
    <t>6. Šport in prosti čas</t>
  </si>
  <si>
    <t>2. Izobraževalne, znanstvene in raziskovalne stavbe</t>
  </si>
  <si>
    <t>5. Trgovske in gostinske stavbe</t>
  </si>
  <si>
    <t>3. Poslovne in upravne stavbe</t>
  </si>
  <si>
    <t>8. Stavbe za infrastrukturo</t>
  </si>
  <si>
    <t>7. Gospodarske, industrijske in kmetijske stavbe</t>
  </si>
  <si>
    <t>6. Stavbe za šport in rekreacijo</t>
  </si>
  <si>
    <t>9. Stavbe za kulturo in obredne stavbe</t>
  </si>
  <si>
    <t>1. Stanovanjski prostori</t>
  </si>
  <si>
    <t>9. Kultura, prostori za obrede</t>
  </si>
  <si>
    <t>1. V odprti krajini</t>
  </si>
  <si>
    <t>2. V mestih in naseljih</t>
  </si>
  <si>
    <t>3. Ozelenitev stavb</t>
  </si>
  <si>
    <t>4. Igrišča in športni objekti</t>
  </si>
  <si>
    <t>5. Posebni objekti</t>
  </si>
  <si>
    <t>6. Drugi objekti na prostem</t>
  </si>
  <si>
    <t>1. Objekti in naprave za oskrbo z vodo</t>
  </si>
  <si>
    <t>2. Objekti in naprave za odstranjevanje in čiščenje odpadnih vod z izjemo drenažnih sistemov, ki so namenjeni prometnim površinam in odvodnjavanju (odprti prostor)</t>
  </si>
  <si>
    <t>3. Objekti in naprave za hidrotehniko razen ureditev vodotokov in nabrežij ter vodnih in obvodnih ureditev (odprti prostor)</t>
  </si>
  <si>
    <t>4. Objekti in naprave za oskrbo in odstranjevanje</t>
  </si>
  <si>
    <t>5. Objekti in naprave za odstranjevanje odpadkov</t>
  </si>
  <si>
    <t>6. Inženirski objekti za promet</t>
  </si>
  <si>
    <t>7. Drugi inženirski objekti</t>
  </si>
  <si>
    <t>cisterne</t>
  </si>
  <si>
    <t>1. Ceste</t>
  </si>
  <si>
    <t>2. Železnice</t>
  </si>
  <si>
    <t>3. Letališča</t>
  </si>
  <si>
    <t>Zasaditve v odprti krajini, drevoredi, nasadi</t>
  </si>
  <si>
    <t>Območja varstva narave  z različnimi zahtevami glede zagotavljanja ekoloških funkcij (npr. mreženja biotopov)</t>
  </si>
  <si>
    <t>Pripadajoče površine ob stavbah ter drugih objektih in napravah, vrtovi in ureditve z nizkimi ali povprečnimi zahtevami</t>
  </si>
  <si>
    <t>Vertikalna in horizontalna ozelenitev ovoja stavb z visokimi ali zelo visokimi zahtevami (zelene strehe in zelene stene)</t>
  </si>
  <si>
    <t>Ozelenitev v notranjih prostorih z visokimi ali zelo visokimi zahtevami</t>
  </si>
  <si>
    <t>Notranja dvorišča, atriji z visokimi ali zelo visokimi zahtevami</t>
  </si>
  <si>
    <t>Igrišča za igre z žogo, nogometna igrišča in podobno, z nizkimi ali povprečnimi zahtevami</t>
  </si>
  <si>
    <t>Športni objekti za atletiko, atletske steze s pripadajočimi ureditvami in športni stadioni</t>
  </si>
  <si>
    <t>Igrišča za golf, konjeniški centri</t>
  </si>
  <si>
    <t>Šolska dvorišča in igrišča z igrali in vadbenimi napravami</t>
  </si>
  <si>
    <t xml:space="preserve">Šotorišča, kamp oziroma območja za kampiranje ali za avtodome s povprečnimi ali visokimi zahtevami </t>
  </si>
  <si>
    <t>Zunanji bazeni z visokimi zahtevami; bazenska kopališča</t>
  </si>
  <si>
    <t>Enostavne stavbe za začasno uporabo (bungalovi, stavbe v kampih, hišice na drevesih ali na vodi, glamping hišice ipd.)</t>
  </si>
  <si>
    <t>7. Gospodarstvo, industrija, kmetijstvo, promet</t>
  </si>
  <si>
    <t>Šole z nadpovprečnimi načrtovalskimi potrebami - izobraževalni centri, visoke šole, univerze, akademije</t>
  </si>
  <si>
    <t>Pisarniške in upravne stavbe, nižji standard</t>
  </si>
  <si>
    <t>Pisarniške in upravne stavbe, srednji standard</t>
  </si>
  <si>
    <t>Pisarniške in upravne stavbe, višji standard</t>
  </si>
  <si>
    <t>Parlament, sodna stavba</t>
  </si>
  <si>
    <t>Hranilniške in bančne poslovalnice</t>
  </si>
  <si>
    <t>Knjigarne, arhivi</t>
  </si>
  <si>
    <t>4. Zdravstvo in varstvo</t>
  </si>
  <si>
    <t>Gasilske in policijske postaje</t>
  </si>
  <si>
    <t>Pokopališke stavbe</t>
  </si>
  <si>
    <t>Obredne stavbe, cerkve</t>
  </si>
  <si>
    <t>Galerije, kinodvorane</t>
  </si>
  <si>
    <t xml:space="preserve">Gledališča, operne in koncertne hiše </t>
  </si>
  <si>
    <t>Vrednotenje storitev na področju arhitekturnega 
in krajinskoarhitekturnega projektiranja</t>
  </si>
  <si>
    <t>OPREDELITEV</t>
  </si>
  <si>
    <t>PRIPRAVA GRADIV ZA NAROČILO GRADNJE</t>
  </si>
  <si>
    <t>NAROČILO TEHNOLOŠKE OPREME</t>
  </si>
  <si>
    <t>DOVOLJENJE ZA UPORABO</t>
  </si>
  <si>
    <t>IZDELAVA DOKUMENTACIJE ZA DOVOLJEVANJE</t>
  </si>
  <si>
    <t>VKLJUČI V IZRAČUN</t>
  </si>
  <si>
    <t>BTO VREDNOST NU V EUR</t>
  </si>
  <si>
    <t>PROJEKTNA DOKUMENTACIJA ZA PROJEKTNE POGOJE</t>
  </si>
  <si>
    <t>PROJEKTNA DOKUMENTACIJA ZA PRIDOBIVANJE GRADBENEGA DOVOLJENJA</t>
  </si>
  <si>
    <t>OCENJENA VREDNOST EUR/m2 NTP</t>
  </si>
  <si>
    <t>Enostavne kmetijske zgradbe, na primer poljski skednji</t>
  </si>
  <si>
    <t>Mladinski centri, centri za prosti čas</t>
  </si>
  <si>
    <t>Kmetijska in obrtna gospodarska poslopja</t>
  </si>
  <si>
    <t>INFORMATIVNA MINIMALNA VREDNOST</t>
  </si>
  <si>
    <t>INFORMATIVNA MAKSIMALNA VREDNOST</t>
  </si>
  <si>
    <t>INFORMATIVNA MINIMALNA VREDNOST EUR/m2 BTP</t>
  </si>
  <si>
    <t>INFORMATIVNA MASKIMALNA VREDNOST EUR/m2 BTP</t>
  </si>
  <si>
    <t>INFORMATIVNA MINIMALNA VREDNOST EUR/m2 NTP</t>
  </si>
  <si>
    <t>INFORMATIVNA MAKSIMALNAVREDNOST EUR/m2 NTP</t>
  </si>
  <si>
    <t>INFORMATIVNA MINIMALNA VREDNOST EUR/m2</t>
  </si>
  <si>
    <t>INFORMATIVNA MAKSIMALNA VREDNOST EUR/m2</t>
  </si>
  <si>
    <t>IZVAJANJE GRADNJE</t>
  </si>
  <si>
    <t>PREDAJA OBJEKTA</t>
  </si>
  <si>
    <t>Odstopanja od minimalnega števila NU ne zagotavljajo kakovostne izvedbe storitev.</t>
  </si>
  <si>
    <t>SI 
(D.100-D.300)</t>
  </si>
  <si>
    <t>EI 
(D.400-D.500)</t>
  </si>
  <si>
    <t>TH (D.600-D.900)</t>
  </si>
  <si>
    <t>GO 
(C.100 - C.900)</t>
  </si>
  <si>
    <t>INDEKS</t>
  </si>
  <si>
    <t>Zdravstvo - večnamenske dvorane</t>
  </si>
  <si>
    <t>Izobraževanje - večnamenske dvorane</t>
  </si>
  <si>
    <t>IZHODIŠČNO ŠTEVILO NU</t>
  </si>
  <si>
    <t>VREDNOST NU</t>
  </si>
  <si>
    <r>
      <t>NU/m</t>
    </r>
    <r>
      <rPr>
        <vertAlign val="superscript"/>
        <sz val="10"/>
        <rFont val="Inter"/>
        <family val="2"/>
      </rPr>
      <t>2</t>
    </r>
  </si>
  <si>
    <r>
      <t>NU/m</t>
    </r>
    <r>
      <rPr>
        <vertAlign val="superscript"/>
        <sz val="8"/>
        <rFont val="Inter Light"/>
        <family val="2"/>
        <charset val="238"/>
      </rPr>
      <t>2</t>
    </r>
  </si>
  <si>
    <t>NU</t>
  </si>
  <si>
    <t>ALI VPIŠI ŠTEVILO NU</t>
  </si>
  <si>
    <t>IDEJNA ZASNOVA (IDZ)</t>
  </si>
  <si>
    <t>IDEJNI PROJEKT (IDP)</t>
  </si>
  <si>
    <t>PROJEKT IZVEDENIH DEL (PID)</t>
  </si>
  <si>
    <t>Cenovni razred V+</t>
  </si>
  <si>
    <t>INDEKS TIPOLOGIJE</t>
  </si>
  <si>
    <t>MINIMALNO ŠTEVILO NU/m2</t>
  </si>
  <si>
    <t>MAKSIMALNO ŠTEVILO NU/m2</t>
  </si>
  <si>
    <t>STAVBA 1 / DEL 1</t>
  </si>
  <si>
    <t>STAVBA 2 / DEL 2</t>
  </si>
  <si>
    <t>STAVBA 3 / DEL 3</t>
  </si>
  <si>
    <t>STAVBA 4 / DEL 4</t>
  </si>
  <si>
    <t>STAVBA 5 / DEL 5</t>
  </si>
  <si>
    <t>INFORMATIVNA VREDNOST STROŠKOV GRADNJE EUR/m2 BTP</t>
  </si>
  <si>
    <t>OCENA STROŠKOV GRADNJE</t>
  </si>
  <si>
    <t>INFORMATIVNA OCENA STROŠKOV GRADNJE</t>
  </si>
  <si>
    <r>
      <t>EUR/m</t>
    </r>
    <r>
      <rPr>
        <i/>
        <vertAlign val="superscript"/>
        <sz val="8"/>
        <rFont val="Inter Light"/>
        <family val="2"/>
        <charset val="238"/>
      </rPr>
      <t>2</t>
    </r>
  </si>
  <si>
    <t>SKUPNO MINIMALNO ŠTEVILO NU</t>
  </si>
  <si>
    <t>SKUPNO MAKSIMALNO ŠTEVILO NU</t>
  </si>
  <si>
    <r>
      <t>m</t>
    </r>
    <r>
      <rPr>
        <vertAlign val="superscript"/>
        <sz val="10"/>
        <rFont val="Inter Light"/>
        <family val="2"/>
      </rPr>
      <t>2</t>
    </r>
  </si>
  <si>
    <t>SKUPNA OCENA STROŠKOV GRADNJE</t>
  </si>
  <si>
    <r>
      <t>EUR/m</t>
    </r>
    <r>
      <rPr>
        <i/>
        <vertAlign val="superscript"/>
        <sz val="8"/>
        <rFont val="Inter Light"/>
        <family val="2"/>
      </rPr>
      <t>2</t>
    </r>
  </si>
  <si>
    <t>IZHODIŠČNA VREDNOST V EUR</t>
  </si>
  <si>
    <t>CENOVNI RAZRED - ARHITEKTURA</t>
  </si>
  <si>
    <t>CENOVNI RAZRED - GRADBENE KONSTRUKCIJE</t>
  </si>
  <si>
    <t>CENOVNI RAZRED - ELEKTRIČNE INSTALACIJE</t>
  </si>
  <si>
    <t>CENOVNI RAZRED - STROJNE INSTALACIJE</t>
  </si>
  <si>
    <t>CENOVNI RAZRED - TEHNOLOGIJA</t>
  </si>
  <si>
    <t>CENOVNI RAZRED - POŽARNA VARNOST</t>
  </si>
  <si>
    <t>CENOVNI RAZRED - UČINKOVITA RABA ENERGIJE</t>
  </si>
  <si>
    <t>CENOVNI RAZRED - ZAŠČITA PRED HRUPOM</t>
  </si>
  <si>
    <t>CENOVNI RAZRED - PROSTORSKA AKUSTIKA</t>
  </si>
  <si>
    <t>IZHODIŠČNO ŠTEVILO NU ZA VSE FAZE</t>
  </si>
  <si>
    <t>© 2023 ZAPS, vse pravice pridržane</t>
  </si>
  <si>
    <t>% stroškov gradnje stavbe</t>
  </si>
  <si>
    <t>% s pribitki</t>
  </si>
  <si>
    <t>% stroškov električnih inštalacij</t>
  </si>
  <si>
    <t>INDEKS SI</t>
  </si>
  <si>
    <t>INDEKS EI</t>
  </si>
  <si>
    <t>INDEKS TH</t>
  </si>
  <si>
    <t>Cenovni razred VI</t>
  </si>
  <si>
    <t>IZRAČUN ŠTEVILA NU ZA POŽARNO VARNOST</t>
  </si>
  <si>
    <t>INDEKS GO</t>
  </si>
  <si>
    <t>INDEKS TIPOLOGIJA</t>
  </si>
  <si>
    <t>PROJEKTIRANJE OBJEKTOV</t>
  </si>
  <si>
    <t>PODPORNO / TEHNIČNO PROJEKTIRANJE</t>
  </si>
  <si>
    <t>PRIBITKI IN ODBITKI</t>
  </si>
  <si>
    <t>OBJEKT 1 / DEL 1</t>
  </si>
  <si>
    <t>OBJEKT 2 / DEL 2</t>
  </si>
  <si>
    <t>OBJEKT 3 / DEL 3</t>
  </si>
  <si>
    <t>OBJEKT 4 / DEL 4</t>
  </si>
  <si>
    <t>OBJEKT 5 / DEL 5</t>
  </si>
  <si>
    <t>CENOVNI RAZRED</t>
  </si>
  <si>
    <t>INFORMATIVNA VREDNOST STROŠKOV GRADNJE EUR/m2</t>
  </si>
  <si>
    <t>IZBRANA VREDNOST STROKOV GRADNJE EUR/m2</t>
  </si>
  <si>
    <t>IZRAČUN ŠTEVILA NU ZA NAČRTOVANJE ODPRTEGA PROSTORA</t>
  </si>
  <si>
    <t>STAVBA</t>
  </si>
  <si>
    <t>ARHIGRAM 6</t>
  </si>
  <si>
    <t>PORAZDELITEV NU ZA NAČRTOVANJE ODPRTEGA PROSTORA</t>
  </si>
  <si>
    <t>% stroškov gradnje odprtega prostora</t>
  </si>
  <si>
    <t>Poraba časa - stavbe</t>
  </si>
  <si>
    <t>IZRAČUN ŠTEVILA NU ZA NAČRTOVANJE GRADBENIH KONSTRUKCIJ</t>
  </si>
  <si>
    <t>% stroškov tehnologije</t>
  </si>
  <si>
    <t>IZRAČUN ŠTEVILA NU ZA ELEKTRIČNE INŠTALACIJE</t>
  </si>
  <si>
    <t>IZRAČUN ŠTEVILA NU ZA STROJNE INŠTALACIJE</t>
  </si>
  <si>
    <t>IZRAČUN ŠTEVILA NU ZA TEHNOLOGIJO</t>
  </si>
  <si>
    <t>PORAZDELITEV NU ZA STORITVE NA PODROČJU POŽARNE VARNOSTI</t>
  </si>
  <si>
    <t>IZRAČUN ŠTEVILA NU</t>
  </si>
  <si>
    <t>VRSTA IZRAČUNA</t>
  </si>
  <si>
    <t>CELOTNA BTP</t>
  </si>
  <si>
    <t>BRUTO POVRŠINA DELA</t>
  </si>
  <si>
    <t>BRUTO POVRŠINA ZA IZRAČUN</t>
  </si>
  <si>
    <t>INDEKS GK</t>
  </si>
  <si>
    <r>
      <t>NU/m</t>
    </r>
    <r>
      <rPr>
        <vertAlign val="superscript"/>
        <sz val="8"/>
        <rFont val="Inter"/>
        <family val="2"/>
      </rPr>
      <t>2</t>
    </r>
  </si>
  <si>
    <t>MED SEBOJ POVEZANE UREDITVE (PRI IZRAČUNU POTREBNIH NU SE UPOŠTEVA SEŠTEVEK POVRŠIN)</t>
  </si>
  <si>
    <t>POSAMEZNE UREDITVE (PRI IZRAČUNU POTREBNIH NU SE VSAK DEL IZRAČUNAVA POPOLNOMA LOČENO)</t>
  </si>
  <si>
    <t>ENA STAVBA Z RAZLIČNIMI DELI (PRI IZRAČUNU POTREBNIH NU SE UPOŠTEVA SEŠTEVEK POVRŠIN VSEH DELOV)</t>
  </si>
  <si>
    <t>pri URE enačba odstopa od HOAI ker s polinomsko enačbo ne gre</t>
  </si>
  <si>
    <t>enačba kopirana iz URE, obračunski stroški so za celoto</t>
  </si>
  <si>
    <t>VODENJE PROJEKTIRANJA</t>
  </si>
  <si>
    <t>POSKUSNO OBRATOVANJE</t>
  </si>
  <si>
    <t>PROJEKTANTSKI PREDRAČUN</t>
  </si>
  <si>
    <t>% projekta VP + ARH</t>
  </si>
  <si>
    <t>% s pribitki 
VP + ARH</t>
  </si>
  <si>
    <t>PROJEKT ZA IZVEDBO (PZI)</t>
  </si>
  <si>
    <t>VODENJE IN KOORDINACIJA</t>
  </si>
  <si>
    <t>ELEKTRIČNE INŠTALACIJE</t>
  </si>
  <si>
    <t>STROJNE INŠTALACIJE</t>
  </si>
  <si>
    <t>ŠTEVILO NU JE ZAJETO V ŠTEVILU NU ZA PROJEKTIRANJE OBJEKTOV IN SE POSEBEJ PRIKAZUJE V ZAVIHKU ARHIGRAM 6</t>
  </si>
  <si>
    <t>IZVLEČEK NU PO POSAMEZNIH PODROČJIH</t>
  </si>
  <si>
    <t>IZVLEČEK VREDNOSTI PO POSAMEZNIH PODROČJIH</t>
  </si>
  <si>
    <t>SKUPAJ EUR ZA PODROČJE</t>
  </si>
  <si>
    <t>% vrednosti vseh storitev</t>
  </si>
  <si>
    <t xml:space="preserve">Cenovni razdredi za posamezna področja za vsak posamezen objekt ali del objekta se razberejo iz ustreznih tabel. Če določanje po seznamu ni mogoče oziroma kadar gre za posebne primere, se razred določi s točkovanjem glede na posamezna merila za ocenjevanje, ki kot rezultat določijo cenovni razred. </t>
  </si>
  <si>
    <t>ROKI IN POGOJI ZA IZVEDBO DEL</t>
  </si>
  <si>
    <t>STRUKTURA CENE</t>
  </si>
  <si>
    <t>CENA 
BREZ DDV</t>
  </si>
  <si>
    <t>POGOJ ZA PLAČILO</t>
  </si>
  <si>
    <t>CENA Z DDV</t>
  </si>
  <si>
    <t>xx</t>
  </si>
  <si>
    <t>delovnih dni</t>
  </si>
  <si>
    <t>PROJEKTNA DOKUMENTACIJA IDZ</t>
  </si>
  <si>
    <t>PROJEKTNA DOKUMENTACIJA IDP</t>
  </si>
  <si>
    <t>delovnih dni po prejemu vseh projektnih in drugih pogojev</t>
  </si>
  <si>
    <t>PRIPRAVA DOKUMENTACIJE ZA PRIDOBIVANJE DOVOLJENJ</t>
  </si>
  <si>
    <t xml:space="preserve">delovnih dni po pisni potrditvi predane IDZ s strani naročnika </t>
  </si>
  <si>
    <t>PROJEKTNA DOKUMENTACIJA ZA PRIDOBIVANJE MNENJ IN GRADBENEGA DOVOLJENJA (DGD)</t>
  </si>
  <si>
    <t>delovnih dni po pridobitvi vseh mnenj in soglasij</t>
  </si>
  <si>
    <t>- ločena PZI projektna dokumentacija za odstranitev objekta</t>
  </si>
  <si>
    <t>delovnih dni …</t>
  </si>
  <si>
    <t>- ločena PZI dokumentacija za pripravljalna dela</t>
  </si>
  <si>
    <t>- ločena PZI dokumentacija za načrt notranje opreme</t>
  </si>
  <si>
    <t>delovnih dni po pisni potrditvi projekta PZI s strani naročnika</t>
  </si>
  <si>
    <t>- ločen popis GO del za odstranitev objekta</t>
  </si>
  <si>
    <t>- ločen popis GO del za pripravljalna dela</t>
  </si>
  <si>
    <t>- ločen popis del za načrt notranje opreme</t>
  </si>
  <si>
    <t>NAROČANJE GRADNJE</t>
  </si>
  <si>
    <t>delovnih dni po prejemu vprašanj</t>
  </si>
  <si>
    <t>delovnih dni po sklenitvi gradbene pogodbe, prejemu zakoličbenega zapisnika in pridobitvi vseh potrebnih dokumentov in podatkov s strani naročnika (potrdilo o plačanem komunalnem prispevku, soglasja za priključitev, načrt organizacije gradbišča, …)</t>
  </si>
  <si>
    <t>PRIKAZ IZVEDENIH DEL (PID)</t>
  </si>
  <si>
    <t>delovnih dni od podpisa pogodbe</t>
  </si>
  <si>
    <t>delovnih dni od podpisa pogodbe / od plačila / zaključka predhodne faze</t>
  </si>
  <si>
    <t>delovnih dni od podpisa pogodbe / od plačila / zaključka predhodne faze / od prejema potrjene projektne naloge</t>
  </si>
  <si>
    <t>PROJEKTNA DOKUMENTACIJA ZA IZVEDBO (PZI)</t>
  </si>
  <si>
    <t>delovnih dni po pridobitvi (pravnomočnega) gradbenega dovoljenja</t>
  </si>
  <si>
    <t>PROJEKTNA DOKUMENTACIJA ZA RAZPIS (PZR)</t>
  </si>
  <si>
    <t>Sodelovanje pri uvedbi v delo in zakoličenju se izvaja skladno s terminskim načrtom graditve.</t>
  </si>
  <si>
    <t>delovnih dni po prejemu vseh potrjenih dopolnitev in sprememb iz gradbenega dnevnika v DWG formatu.</t>
  </si>
  <si>
    <t>Se izvaja v časovni odvisnosti od dejanj pristojnih organov.</t>
  </si>
  <si>
    <t>delovnih dni po izdanem pisnem naročilu za posamezno storitev s strani naročnika.</t>
  </si>
  <si>
    <t>Pisno / ustno poročilo naročniku o storitvah te podfaze po ST ZAPS 01 / Plačilo za to fazo se opravi po zaključku faze 0.2.</t>
  </si>
  <si>
    <t>Pisno / ustno poročilo naročniku o storitvah te podfaze po ST ZAPS 01</t>
  </si>
  <si>
    <t>Pisno / ustno poročilo naročniku o storitvah te podfaze po ST ZAPS 01 / Plačilo za to fazo se opravi po zaključku faze 1.3.</t>
  </si>
  <si>
    <t>Pisno / ustno poročilo naročniku – zazidalna /prostorska preveritev / in potrditev gradiv s strani naročnika / Plačilo za to fazo se opravi po zaključku faze 1.3.</t>
  </si>
  <si>
    <t>S strani naročnika potrjena projektna naloga.</t>
  </si>
  <si>
    <t>PROJEKTNA DOKUMENTACIJA ZA PROJEKTNE POGOJE (DPP)</t>
  </si>
  <si>
    <t>Predaja IDZ in potrditev s strani naročnika.</t>
  </si>
  <si>
    <t>Predaja IDP in potrditev s strani naročnika.</t>
  </si>
  <si>
    <t>Predaja DPP in potrditev s strani naročnika.</t>
  </si>
  <si>
    <t>Predaja DGD in potrditev s strani naročnika.</t>
  </si>
  <si>
    <t>Predaja PZI in potrditev s strani naročnika.</t>
  </si>
  <si>
    <t>Predaja gradiv in potrditev s strani naročnika.</t>
  </si>
  <si>
    <t>Predaja PZR in potrditev s strani naročnika.</t>
  </si>
  <si>
    <t>Poročilo o opravljenih aktivnostih.</t>
  </si>
  <si>
    <t>Mesečno, skupaj s poročilom o opravljenih aktivnostih.</t>
  </si>
  <si>
    <t>Predaja PID in potrditev s strani naročnika.</t>
  </si>
  <si>
    <t>Predaja gradiv in potrditev s strani naročnika. / Poročilo o opravljenih aktivnostih.</t>
  </si>
  <si>
    <t>Predaja DPP in potrditev s strani naročnika. / Potrdilo o pošiljanju DPP relevantnim mnenjedajalcem.</t>
  </si>
  <si>
    <t>RAZPISNA DOKUMENTACIJA</t>
  </si>
  <si>
    <t>IZVEDBA RAZPISA</t>
  </si>
  <si>
    <t>Potrdilo o oddani vlogi.</t>
  </si>
  <si>
    <t>ZASTOPANJE INVESTITORJA V UPRAVNIH POSTOPKIH: POPOLNA VLOGA ZA PRIJAVO GRADNJE</t>
  </si>
  <si>
    <t>ZASTOPANJE INVESTITORJA V UPRAVNIH POSTOPKIH: POPOLNA ZAHTEVA ZA PRIDOBITEV UPORABNEGA DOVOLJENJA</t>
  </si>
  <si>
    <t>Pravnomočno uporabno dovoljenje.</t>
  </si>
  <si>
    <t xml:space="preserve">Projektantski nadzor v času poskusnega obratovanja se v dogovorjenem obsegu izvaja ves čas poskusnega obratovanja. </t>
  </si>
  <si>
    <t xml:space="preserve">Projektantski nadzor v času predaje objekta se v dogovorjenem obsegu izvaja ves čas predaje objekta, do pridobitve uporabnega dovoljenja oz. primopredaje naročniku. </t>
  </si>
  <si>
    <t>delovnih dni od podpisa pogodbe. (Opomba: podfaza izvaja skupaj s podfazo 1.1. Zagon projekta.)</t>
  </si>
  <si>
    <t>delovnih dni od podpisa pogodbe. (Opomba: podfaza se izvaja skupaj s podfazo 1.2. Študija izvedljivosti.)</t>
  </si>
  <si>
    <t>Predaja gradiv in potrditev s strani naročnika. / Kot za osnovne storitve v tej podfazi. / Mesečno na podlagi poročila o opravljenih aktivnostih / izstavljenega računa (na primer za skupni podatkovni strežnik).</t>
  </si>
  <si>
    <t>ZASTOPANJE INVESTITORJA V UPRAVNIH POSTOPKIH</t>
  </si>
  <si>
    <t>OBRAČUNSKI STROŠKI</t>
  </si>
  <si>
    <t>IZBRANA VREDNOST EUR/m2 NTP</t>
  </si>
  <si>
    <t>NETO TLORISNA POVRŠINA (NTP)</t>
  </si>
  <si>
    <t>NETO POVRŠINA DELA</t>
  </si>
  <si>
    <t>CENOVNI RAZRED - NOTRANJA OPREMA</t>
  </si>
  <si>
    <t>OBRAČUNSKI STROŠKI - SPODNJA VREDNOST</t>
  </si>
  <si>
    <t>OBRAČUNSKI STROŠKI - ZGORNJA VREDNOST</t>
  </si>
  <si>
    <t>ŠTEVILO UR - SPODNJA VREDNOST</t>
  </si>
  <si>
    <t>ŠTEVILO UR - ZGORNJA VREDNOST</t>
  </si>
  <si>
    <t>IZRAČUN MINIMALNEGA ŠTEVILA UR</t>
  </si>
  <si>
    <t>IZRAČUN MAKSIMALNEGA ŠTEVILA UR</t>
  </si>
  <si>
    <t>OBRAČUNSKI STROŠKI ZA IZRAČUN</t>
  </si>
  <si>
    <t>SKUPNA NETO POVRŠINA</t>
  </si>
  <si>
    <t>MINIMALNO ŠTEVILO UR ZA DEL</t>
  </si>
  <si>
    <t>MAKSIMALNO ŠTEVILO UR ZA DEL</t>
  </si>
  <si>
    <r>
      <t>EUR/m</t>
    </r>
    <r>
      <rPr>
        <vertAlign val="superscript"/>
        <sz val="8"/>
        <rFont val="Inter Light"/>
        <family val="2"/>
      </rPr>
      <t>2</t>
    </r>
  </si>
  <si>
    <t>ARHITEKTURA - NOTRANJA OPREMA</t>
  </si>
  <si>
    <t>ARHITEKTURA - STAVBE</t>
  </si>
  <si>
    <t>ŠTEVILO NU VP + ARH</t>
  </si>
  <si>
    <t>VREDNOST V EUR VP + ARH</t>
  </si>
  <si>
    <t>% stroškov gradnje notranja oprema</t>
  </si>
  <si>
    <r>
      <t>m</t>
    </r>
    <r>
      <rPr>
        <vertAlign val="superscript"/>
        <sz val="10"/>
        <rFont val="Inter SemiBold"/>
        <family val="2"/>
      </rPr>
      <t>2</t>
    </r>
  </si>
  <si>
    <r>
      <t>EUR/m</t>
    </r>
    <r>
      <rPr>
        <vertAlign val="superscript"/>
        <sz val="10"/>
        <rFont val="Inter SemiBold"/>
        <family val="2"/>
      </rPr>
      <t>2</t>
    </r>
  </si>
  <si>
    <t>NOTRANJA OPREMA / DEL 1</t>
  </si>
  <si>
    <t>NOTRANJA OPREMA / DEL 2</t>
  </si>
  <si>
    <t>NOTRANJA OPREMA / DEL 3</t>
  </si>
  <si>
    <t>NOTRANJA OPREMA / DEL 4</t>
  </si>
  <si>
    <t>NOTRANJA OPREMA / DEL 5</t>
  </si>
  <si>
    <t>Pribitki povečujejo ali zmanjšujejo vrednosti, navedene v opombah.</t>
  </si>
  <si>
    <t>CENOVNI RAZREDI</t>
  </si>
  <si>
    <t>STANDARD ZAPS</t>
  </si>
  <si>
    <t>PRIPOMOČEK ZA PRIPRAVO PONUDBE</t>
  </si>
  <si>
    <t>Število obračunskih ur / delovni dan</t>
  </si>
  <si>
    <t>Tedenski fond obračunskih ur</t>
  </si>
  <si>
    <t>Število delovnih ur / delovni dan</t>
  </si>
  <si>
    <t>obračunske ure proizvodnih delavcev</t>
  </si>
  <si>
    <t>Skupaj efektivnih delovnih dni</t>
  </si>
  <si>
    <t>Mesečni fond efektivnih delovnih dni (povprečni)</t>
  </si>
  <si>
    <t>Število efektivnih ur (billable hours)</t>
  </si>
  <si>
    <t>vse ure vseh delavcev</t>
  </si>
  <si>
    <t>Vrednosti so informativne in se razlikujejo glede na organizacijo posameznega biroja.</t>
  </si>
  <si>
    <r>
      <t xml:space="preserve">delovnih dni po pisni potrditvi predane IDZ </t>
    </r>
    <r>
      <rPr>
        <sz val="8"/>
        <color rgb="FF00B0F0"/>
        <rFont val="Inter"/>
        <family val="2"/>
      </rPr>
      <t>(opcija: IDP)</t>
    </r>
    <r>
      <rPr>
        <sz val="8"/>
        <rFont val="Inter"/>
        <family val="2"/>
      </rPr>
      <t xml:space="preserve"> s strani naročnika, pridobitvi vseh potrebnih projektnih pogojev, dokumentov in dokazil s strani naročnika (npr. vezano na postopke evidentiranosti, lastništva, davke in prispevke ipd.)</t>
    </r>
  </si>
  <si>
    <r>
      <t>Projektantski</t>
    </r>
    <r>
      <rPr>
        <sz val="8"/>
        <color rgb="FF00B0F0"/>
        <rFont val="Inter"/>
        <family val="2"/>
      </rPr>
      <t xml:space="preserve"> </t>
    </r>
    <r>
      <rPr>
        <sz val="8"/>
        <rFont val="Inter"/>
        <family val="2"/>
      </rPr>
      <t>nadzor se v dogovorjenem obsegu izvaja ves čas gradnje, skladno s potekom gradbenih del, do podpisa izvajalca in nadzornika da so dela končana.</t>
    </r>
  </si>
  <si>
    <r>
      <t xml:space="preserve">Gradbeni nadzor se v dogovorjenem obsegu izvaja ves čas gradnje, skladno s potekom gradbenih del, do podpisa izvajalca in nadzornika da so dela končana. 
Gradbeni nadzor se bo izvajal v skupnem maksimalnem obsegu </t>
    </r>
    <r>
      <rPr>
        <sz val="8"/>
        <color rgb="FF00B0F0"/>
        <rFont val="Inter"/>
        <family val="2"/>
      </rPr>
      <t>x ur</t>
    </r>
    <r>
      <rPr>
        <sz val="8"/>
        <rFont val="Inter"/>
        <family val="2"/>
      </rPr>
      <t xml:space="preserve"> na teden, skupnem maksimalnem trajanju </t>
    </r>
    <r>
      <rPr>
        <sz val="8"/>
        <color rgb="FF00B0F0"/>
        <rFont val="Inter"/>
        <family val="2"/>
      </rPr>
      <t>x tednov</t>
    </r>
    <r>
      <rPr>
        <sz val="8"/>
        <rFont val="Inter"/>
        <family val="2"/>
      </rPr>
      <t xml:space="preserve"> oziroma v skupnem maksimalnem številu </t>
    </r>
    <r>
      <rPr>
        <sz val="8"/>
        <color rgb="FF00B0F0"/>
        <rFont val="Inter"/>
        <family val="2"/>
      </rPr>
      <t>x ur</t>
    </r>
    <r>
      <rPr>
        <sz val="8"/>
        <rFont val="Inter"/>
        <family val="2"/>
      </rPr>
      <t>.</t>
    </r>
  </si>
  <si>
    <r>
      <t>Gradbeni nadzor v času poskusnega obratovanja se v dogovorjenem obsegu izvaja ves čas poskusnega obratovanja. 
Projektantski</t>
    </r>
    <r>
      <rPr>
        <sz val="8"/>
        <color rgb="FF00B0F0"/>
        <rFont val="Inter"/>
        <family val="2"/>
      </rPr>
      <t xml:space="preserve"> </t>
    </r>
    <r>
      <rPr>
        <sz val="8"/>
        <rFont val="Inter"/>
        <family val="2"/>
      </rPr>
      <t xml:space="preserve">nadzor se bo izvajal v skupnem maksimalnem obsegu </t>
    </r>
    <r>
      <rPr>
        <sz val="8"/>
        <color rgb="FF00B0F0"/>
        <rFont val="Inter"/>
        <family val="2"/>
      </rPr>
      <t>x ur</t>
    </r>
    <r>
      <rPr>
        <sz val="8"/>
        <rFont val="Inter"/>
        <family val="2"/>
      </rPr>
      <t xml:space="preserve"> na teden, skupnem maksimalnem trajanju </t>
    </r>
    <r>
      <rPr>
        <sz val="8"/>
        <color rgb="FF00B0F0"/>
        <rFont val="Inter"/>
        <family val="2"/>
      </rPr>
      <t>x</t>
    </r>
    <r>
      <rPr>
        <sz val="8"/>
        <rFont val="Inter"/>
        <family val="2"/>
      </rPr>
      <t xml:space="preserve"> </t>
    </r>
    <r>
      <rPr>
        <sz val="8"/>
        <color rgb="FF00B0F0"/>
        <rFont val="Inter"/>
        <family val="2"/>
      </rPr>
      <t>tednov</t>
    </r>
    <r>
      <rPr>
        <sz val="8"/>
        <rFont val="Inter"/>
        <family val="2"/>
      </rPr>
      <t xml:space="preserve"> oziroma v skupnem maksimalnem številu </t>
    </r>
    <r>
      <rPr>
        <sz val="8"/>
        <color rgb="FF00B0F0"/>
        <rFont val="Inter"/>
        <family val="2"/>
      </rPr>
      <t>x</t>
    </r>
    <r>
      <rPr>
        <sz val="8"/>
        <rFont val="Inter"/>
        <family val="2"/>
      </rPr>
      <t xml:space="preserve"> </t>
    </r>
    <r>
      <rPr>
        <sz val="8"/>
        <color rgb="FF00B0F0"/>
        <rFont val="Inter"/>
        <family val="2"/>
      </rPr>
      <t>ur</t>
    </r>
    <r>
      <rPr>
        <sz val="8"/>
        <rFont val="Inter"/>
        <family val="2"/>
      </rPr>
      <t>.</t>
    </r>
  </si>
  <si>
    <r>
      <t xml:space="preserve">Gradbeni nadzor v času predaje objekta se v dogovorjenem obsegu izvaja ves čas predaje objekta, do pridobitve uporabnega dovoljenja oz. primopredaje naročniku. 
Projektantski nadzor se bo izvajal v skupnem maksimalnem obsegu </t>
    </r>
    <r>
      <rPr>
        <sz val="8"/>
        <color rgb="FF00B0F0"/>
        <rFont val="Inter"/>
        <family val="2"/>
      </rPr>
      <t>x ur</t>
    </r>
    <r>
      <rPr>
        <sz val="8"/>
        <rFont val="Inter"/>
        <family val="2"/>
      </rPr>
      <t xml:space="preserve"> na teden, skupnem maksimalnem trajanju </t>
    </r>
    <r>
      <rPr>
        <sz val="8"/>
        <color rgb="FF00B0F0"/>
        <rFont val="Inter"/>
        <family val="2"/>
      </rPr>
      <t>x</t>
    </r>
    <r>
      <rPr>
        <sz val="8"/>
        <rFont val="Inter"/>
        <family val="2"/>
      </rPr>
      <t xml:space="preserve"> </t>
    </r>
    <r>
      <rPr>
        <sz val="8"/>
        <color rgb="FF00B0F0"/>
        <rFont val="Inter"/>
        <family val="2"/>
      </rPr>
      <t>tednov</t>
    </r>
    <r>
      <rPr>
        <sz val="8"/>
        <rFont val="Inter"/>
        <family val="2"/>
      </rPr>
      <t xml:space="preserve"> oziroma v skupnem maksimalnem številu </t>
    </r>
    <r>
      <rPr>
        <sz val="8"/>
        <color rgb="FF00B0F0"/>
        <rFont val="Inter"/>
        <family val="2"/>
      </rPr>
      <t>x</t>
    </r>
    <r>
      <rPr>
        <sz val="8"/>
        <rFont val="Inter"/>
        <family val="2"/>
      </rPr>
      <t xml:space="preserve"> </t>
    </r>
    <r>
      <rPr>
        <sz val="8"/>
        <color rgb="FF00B0F0"/>
        <rFont val="Inter"/>
        <family val="2"/>
      </rPr>
      <t>ur</t>
    </r>
    <r>
      <rPr>
        <sz val="8"/>
        <rFont val="Inter"/>
        <family val="2"/>
      </rPr>
      <t>.</t>
    </r>
  </si>
  <si>
    <t>PROJEKT ZA RAZPIS (PZR)</t>
  </si>
  <si>
    <t>ARHITEKTURA / KRAJINSKA ARHITEKTURA - ODPRTI PROSTOR</t>
  </si>
  <si>
    <t>PRIBITEK ZA VKLJUČEVANJE DRUGIH IZVAJALCEV V POGODBO</t>
  </si>
  <si>
    <t>upošteva se v vseh fazah, samo za storitve vodenja in koordinacije</t>
  </si>
  <si>
    <t>% projekta VK + ARH</t>
  </si>
  <si>
    <t>% s pribitki 
VK + ARH</t>
  </si>
  <si>
    <t>ŠTEVILO NU VK + ARH</t>
  </si>
  <si>
    <t>VREDNOST V EUR VK + ARH</t>
  </si>
  <si>
    <t>% stroškov strojnih inštalacij</t>
  </si>
  <si>
    <t>PORAZDELITEV UR ZA NAČRTE TEHNOLOGIJE</t>
  </si>
  <si>
    <t>PRIPRAVA DOKUMENTACIJE ZA DOVOLJEVANJE</t>
  </si>
  <si>
    <t>Poraba časa - notranja oprema</t>
  </si>
  <si>
    <t>IZRAČUN ŠTEVILA NU ZA NAČRTOVANJE STAVB</t>
  </si>
  <si>
    <t>IZRAČUN ŠTEVILA NU ZA NAČRTOVANJE NOTRANJE OPREME</t>
  </si>
  <si>
    <t>PORAZDELITEV NU ZA NAČRTOVANJE NOTRANJE OPREME</t>
  </si>
  <si>
    <t>PORAZDELITEV NU ZA NAČRTE GRADBENIH KONSTRUKCIJ</t>
  </si>
  <si>
    <t>POPIS DEL</t>
  </si>
  <si>
    <t>OPOMBE:</t>
  </si>
  <si>
    <t>SKUPAJ NU ZA PODROČJE</t>
  </si>
  <si>
    <t>% vrednosti vseh stroškov gradnje</t>
  </si>
  <si>
    <t>% vrednosti stroškov gradnje za stavbo</t>
  </si>
  <si>
    <t>Za več informacij glej tudi:</t>
  </si>
  <si>
    <t>če je opcija izbrana, se v fazi 2.4 GK upošteva odbitek 30 %</t>
  </si>
  <si>
    <t>če je opcija izbrana, se v fazi 2.4 EI, SI, TH upošteva odbitek 4 %</t>
  </si>
  <si>
    <t>POPRAVKI</t>
  </si>
  <si>
    <t>6.12</t>
  </si>
  <si>
    <t>Odklenjeno polje za vnos vrednosti NU na zavihku Arhigram 6.</t>
  </si>
  <si>
    <t>6.13</t>
  </si>
  <si>
    <t>Popravljen sklic v polju I378 in I380 na zavihku OSNOVNI PODATKI (popravek nima vpliva na izračun).</t>
  </si>
  <si>
    <t>ENA STAVBA ALI VEČ RAZLIČNIH STAVB (PRI IZRAČUNU POTREBNIH NU SE VSAKA STAVBA IZRAČUNAVA LOČENO)</t>
  </si>
  <si>
    <t>VEČ ENAKIH STAVB - IZRAČUNA SE ŠTEVILO NU ZA ENO STAVBO, NATO PA SE V PONUDBO NAVEDE USTREZNO VREDNOST V SKLADU Z NAVODILI</t>
  </si>
  <si>
    <t>ZASTOPANJE INVESTITORJA V UPRAVNIH POSTOPKIH: PRIDOBIVANJE PROJEKTNIH POGOJEV</t>
  </si>
  <si>
    <t>ZASTOPANJE INVESTITORJA V UPRAVNIH POSTOPKIH: PRIDOBIVANJE MNENJ</t>
  </si>
  <si>
    <t>ZASTOPANJE INVESTITORJA V UPRAVNIH POSTOPKIH: PRIDOBIVANJE GRADBENEGA DOVOLJENJA</t>
  </si>
  <si>
    <t>Pridobljena vsa potrebna mnenja.</t>
  </si>
  <si>
    <t>95 % vrednosti - potrdilo o oddani vlogi, 5 % vrednosti - pravnomočno gradbeno dovoljenje.</t>
  </si>
  <si>
    <t>IZVAJANJE GRADNJE (PROJEKTANTSKI NADZOR)</t>
  </si>
  <si>
    <t>TABELA 2: POSEBNE STORITVE</t>
  </si>
  <si>
    <t>TABELA 1: OSNOVNE STORITVE</t>
  </si>
  <si>
    <t>Poraba časa - gradbene konstrukcije</t>
  </si>
  <si>
    <t>Poraba časa - TEHNIČNA OPREMA</t>
  </si>
  <si>
    <t>Poraba časa - požarna varnost</t>
  </si>
  <si>
    <t>poraba časa - GRADBENA FIZIKA</t>
  </si>
  <si>
    <t>PRILOGA C - ROKI IN POGOJI ZA IZVEDBO, CENA TER POGOJI ZA PLAČILO</t>
  </si>
  <si>
    <t>Izbrisane neaktivne opcije za izbiro posebnih storitev na listu OSNOVNI PODATKI (popravek nima vpliva na izračun)</t>
  </si>
  <si>
    <t>Popravljeno navodilo glede gradnje več enakih objektov (usklajeno s ST ZAPS 02:2023, popravek nima vpliva na izračun)</t>
  </si>
  <si>
    <t>Naslovi listov OSNOVNE STORITVE IN POSEBNE STORITVE usklajeni s Pripomočkom za pripravo ponudbe.</t>
  </si>
  <si>
    <t>Arhigram 6 je pripravljen na osnovi Standarda storitev Zbornice za arhitekturo in prostor Slovenije (ST ZAPS). Storitve določa ST ZAPS 01, vrednotenje storitev pa ST ZAPS 02. Kadar se ponudba za storitve pripravi v skladu s ST ZAPS, morajo biti storitve opravljene v skladu s tem standardom. Izpolnjujejo se samo okenca, označena z modro barvo. Vrednosti v poševni pisavi so informativne. Ob skrajnem levem robu so oznake + in - za odpiranje in zapiranje sklopov podatkov.</t>
  </si>
  <si>
    <t xml:space="preserve">Če želite pridobiti informativne vrednosti tudi za storitve s področja tehničnega projektiranja oziroma izdelave dopolnilnih gradiv, je potrebno določiti cenovne razrede tudi za ta področja. </t>
  </si>
  <si>
    <t xml:space="preserve">Na listu OSNOVNI PODATKI najprej vpišite ime objekta ali dela objekta za vsak posamezen objekt ali del objekta. Nato izberite tipologijo za ta objekt ali del objekta, določite cenovne razrede za vsak posamezen del ter vpišite bruto oziroma neto tlorisno površino (BTP ali NTP). </t>
  </si>
  <si>
    <t xml:space="preserve">Na podlagi vnešenih podatkov se bo za vsak objekt ali del objekta izračunalo priporočeno minimalno in maksimalno število NU. Če želite uporabiti srednjo vrednost, v vrsticah od 380 dalje odkljukajte okence "uporabi srednjo vrednost števila NU", v naspretnem primeru pa vpišite željeno vrednost.  </t>
  </si>
  <si>
    <t>Na podlagi podanih podatkov se za vsako področje izračuna minimalno in maskimalno število NU. Za vsako področje, ki ga želite vključiti v izračun je potrebno odkljukati ustrezno okence v poljih od A378 dalje. Če želite uporabiiti srednjo vrednost števila NU, odkljukajte ustrezen kvadratek. Če želite vnesti drugačno število NU, ga vpišite v stolpec F (modro polje) in izklopite kljukico v stolpcu E (uporabi srednjo vrednost števila NU).</t>
  </si>
  <si>
    <t>Za vsako področje, ki ga želite vključiti v izračun, je potrebno odkljukati ustrezno okence v poljih od A378 dalje. Število NU za izbrano področje se bo preneslo na list ARHIGRAM 6. Na listu ARHIGRAM 6 na enak način odkljukajte faze, ki jih želite vključiti v izračun.</t>
  </si>
  <si>
    <t>Na podlagi izbora tipologije in velikosti se bo pri stavbah in odprtem prostoru za vsak del prikazala tudi informativna minimalna in maksimalna vrednost stroškov gradnje v EUR/m2, ki pa ne vpliva na izračun potrebnih NU, temveč služi zgolj kot informacija za primerjavo izračunanih vrednosti storitev s stroški gradnje objekta. Na podlagi podanih informativnih vrednosti določite vrednost, ki bo upoštevana v informativnem izračunu, in jo vpišite v ustrezno polje. Program bo izračunal oceno stroškov ter jo porazdelil med vrednosti del za GO, EI, SI in TH dela. Razmerja med temi deli so odvisna od izbrane tipologije objekta. Vrednosti ne vsebujejo DDV.</t>
  </si>
  <si>
    <t>LISTI</t>
  </si>
  <si>
    <t>List za vnos vseh podatkov.</t>
  </si>
  <si>
    <t>List s podatki o priporočenih cenovnih razredih in drugimi podatki, potrebnimi za izračun.</t>
  </si>
  <si>
    <t>List z izračunom vrednosti po Arhigramu, razporejenimi po fazah in podfazah življenjskega cikla objektov ter dodatno še izvleček po posameznih področjih.</t>
  </si>
  <si>
    <t xml:space="preserve">PRILOGA C: ROKI IN POGOJI ZA IZVEDBO, CENA TER POGOJI ZA PLAČILO - TABELA 1: OSNOVNE STORITVE k Pripomočku za pripravo ponudbe po ST ZAPS. Tabela ni avtomatizirana temveč se izpolni ročno. Priporočljivo je, da kadar posamezna faza ni vključena v ponudbo, vrstic ne brišete, temveč vpišete besedilo "NI VKLJUČENO V PONUDBO". Namig: okvirno potrebno število delovnih dni lahko izračunate tako, da število NU najprej delite s številom predvidenih efektivnih ur na dan (na primer 6), nato pa še s številom delavcev, ki bodo delali na projektu. </t>
  </si>
  <si>
    <t>PRILOGA C: ROKI IN POGOJI ZA IZVEDBO, CENA TER POGOJI ZA PLAČILO - TABELA 2: POSEBNE STORITVE k Pripomočku za pripravo ponudbe po ST ZAPS. Seznam ni avtomatiziran temveč se izpolni ročno. Seznam se priloži le kadar so v ponudbo vključene tudi posebne storitve.</t>
  </si>
  <si>
    <t>List s pripomočkom za izračun povprečne vrednosti NU za posamezen arhitekturni biro. Vrednosti so informativne in se razlikujejo glede na organizacijo posameznega biroja.</t>
  </si>
  <si>
    <t>OSTALI LISTI</t>
  </si>
  <si>
    <t>Listi, na katerih se izvajajo računske operacije za izračunavanje vrednosti za projektiranje objektov in podporno oziroma tehnično projektiranje.</t>
  </si>
  <si>
    <t>Posodobljena navodila.</t>
  </si>
  <si>
    <t>Kadar se podfaze 2.1. Snovanje, 2.2. Idejno projektiranje, 2.3. Priprava dokumentacije za dovoljevanje, 2.4. Projektiranje za izvedbo ali 4.2. Izvajanje gradnje naročijo samostojno, se ustrezen delež NU določi na naslednji način:</t>
  </si>
  <si>
    <r>
      <t xml:space="preserve">Za podfazo </t>
    </r>
    <r>
      <rPr>
        <sz val="10"/>
        <color rgb="FF000000"/>
        <rFont val="Inter Medium"/>
        <family val="2"/>
      </rPr>
      <t>2.2. Idejno projektiranje</t>
    </r>
    <r>
      <rPr>
        <sz val="10"/>
        <color rgb="FF000000"/>
        <rFont val="Inter Light"/>
        <family val="2"/>
      </rPr>
      <t xml:space="preserve"> se lahko določi največ seštevek odstotnih deležev podfaz 2.2. Idejno projektiranje in 2.1. Snovanje.</t>
    </r>
  </si>
  <si>
    <r>
      <t xml:space="preserve">Za podfazo </t>
    </r>
    <r>
      <rPr>
        <sz val="10"/>
        <color rgb="FF000000"/>
        <rFont val="Inter Medium"/>
        <family val="2"/>
      </rPr>
      <t>2.3. Priprava dokumentacije za dovoljevanje</t>
    </r>
    <r>
      <rPr>
        <sz val="10"/>
        <color rgb="FF000000"/>
        <rFont val="Inter Light"/>
        <family val="2"/>
      </rPr>
      <t xml:space="preserve"> se lahko določi največ seštevek odstotnih deležev podfaz 2.3. Priprava dokumentacije za dovoljevanje in 2.2. Idejno projektiranje.</t>
    </r>
  </si>
  <si>
    <r>
      <t xml:space="preserve">Za podfazo </t>
    </r>
    <r>
      <rPr>
        <sz val="10"/>
        <color rgb="FF000000"/>
        <rFont val="Inter Medium"/>
        <family val="2"/>
      </rPr>
      <t>2.4. Projektiranje za izvedbo</t>
    </r>
    <r>
      <rPr>
        <sz val="10"/>
        <color rgb="FF000000"/>
        <rFont val="Inter Light"/>
        <family val="2"/>
      </rPr>
      <t xml:space="preserve"> se lahko določi največ seštevek odstotnih deležev podfaz 2.3. Projektiranje za izvedbo in 2.2. Idejno projektiranje.</t>
    </r>
  </si>
  <si>
    <r>
      <t xml:space="preserve">Za podfazo </t>
    </r>
    <r>
      <rPr>
        <sz val="10"/>
        <color rgb="FF000000"/>
        <rFont val="Inter Medium"/>
        <family val="2"/>
      </rPr>
      <t>2.1. Snovanje</t>
    </r>
    <r>
      <rPr>
        <sz val="10"/>
        <color rgb="FF000000"/>
        <rFont val="Inter Light"/>
        <family val="2"/>
      </rPr>
      <t xml:space="preserve"> se lahko določi največ seštevek odstotnih deležev podfaz 2.1. Snovanje in 1.1. Zagon projekta.</t>
    </r>
  </si>
  <si>
    <r>
      <t xml:space="preserve">Za podfazo </t>
    </r>
    <r>
      <rPr>
        <sz val="10"/>
        <color rgb="FF000000"/>
        <rFont val="Inter Medium"/>
        <family val="2"/>
      </rPr>
      <t>4.2. Izvajanje gradnje</t>
    </r>
    <r>
      <rPr>
        <sz val="10"/>
        <color rgb="FF000000"/>
        <rFont val="Inter Light"/>
        <family val="2"/>
      </rPr>
      <t>, kadar gre za načrtovanje stavb, se določi največ seštevek odstotnih deležev podfaz 4.2. Izvajanje gradnje, 1.1. Zagon projekta in 2.1. Snovanje.</t>
    </r>
  </si>
  <si>
    <t>LOČENO NAROČANJE NEKATERIH PODFAZ:</t>
  </si>
  <si>
    <t>Dodatki se ne izračunavajo avtomatično, temveč jih po lastni presoji upošteva ponudik pri pripravi ponudbe oziroma pogodbe.</t>
  </si>
  <si>
    <t>NAROČANJE VEČJEGA ŠTEVILA OBJEKTOV</t>
  </si>
  <si>
    <r>
      <t xml:space="preserve">Če naročilo vključuje </t>
    </r>
    <r>
      <rPr>
        <sz val="10"/>
        <rFont val="Inter Medium"/>
        <family val="2"/>
      </rPr>
      <t>več različnih objektov</t>
    </r>
    <r>
      <rPr>
        <sz val="10"/>
        <rFont val="Inter Light"/>
        <family val="2"/>
        <charset val="238"/>
      </rPr>
      <t>, se število NU izračuna za vsak objekt posebej ob upoštevanju določil tega standarda.</t>
    </r>
  </si>
  <si>
    <r>
      <t xml:space="preserve">Če naročilo vključuje </t>
    </r>
    <r>
      <rPr>
        <sz val="10"/>
        <rFont val="Inter Medium"/>
        <family val="2"/>
      </rPr>
      <t>več primerljivih objektov</t>
    </r>
    <r>
      <rPr>
        <sz val="10"/>
        <rFont val="Inter Light"/>
        <family val="2"/>
        <charset val="238"/>
      </rPr>
      <t xml:space="preserve"> s pretežno podobnimi pogoji projektiranja, ki se jim lahko določi isti cenovni razred in ki bodo projektirani in zgrajeni v enakih ali zelo podobnih časovnih in lokacijskih okoliščinah, se število NU izračuna na podlagi seštevka BTP vseh objektov.</t>
    </r>
  </si>
  <si>
    <r>
      <t xml:space="preserve">Če naročilo vključuje </t>
    </r>
    <r>
      <rPr>
        <sz val="10"/>
        <rFont val="Inter Medium"/>
        <family val="2"/>
      </rPr>
      <t>več v bistvenem delu enakih objektov</t>
    </r>
    <r>
      <rPr>
        <sz val="10"/>
        <rFont val="Inter Light"/>
        <family val="2"/>
        <charset val="238"/>
      </rPr>
      <t>, ki se načrtujejo in gradijo v enakih ali zelo podobnih časovnih in lokacijskih okoliščinah, ali če gre za več objektov v skladu s tipsko ali serijsko gradnjo, je treba za prvo do četrto ponovitev za fazi 1. Zagon in 2. Projektiranje znižati število NU za 50 odstotkov, za peto do sedmo ponovitev za 60 odstotkov in za vsako naslednjo ponovitev za 90 odstotkov.</t>
    </r>
  </si>
  <si>
    <r>
      <t>Če naročilo vključuje</t>
    </r>
    <r>
      <rPr>
        <sz val="10"/>
        <rFont val="Inter Medium"/>
        <family val="2"/>
      </rPr>
      <t xml:space="preserve"> osnovne storitve, ki so bile že predmet drugega naročila</t>
    </r>
    <r>
      <rPr>
        <sz val="10"/>
        <rFont val="Inter Light"/>
        <family val="2"/>
        <charset val="238"/>
      </rPr>
      <t xml:space="preserve"> med pogodbenima strankama za v bistvenem delu enak objekt, se za novo naročilo uporabijo določila prejšnjega odstavka, tudi če osnovne storitve niso bile izvedene v enakih ali zelo podobnih časovnih in lokacijskih okoliščinah.</t>
    </r>
  </si>
  <si>
    <t>6.14</t>
  </si>
  <si>
    <t>Dopolnjena navodila glede naročanja večjega števila objektov.</t>
  </si>
  <si>
    <t>V 6.14</t>
  </si>
  <si>
    <t>© 2024 ZAPS, vse pravice pridržane</t>
  </si>
  <si>
    <t>faktor</t>
  </si>
  <si>
    <t>Popravljen izračun števila NU za požarno varnost.</t>
  </si>
  <si>
    <t xml:space="preserve">ENOTNO NAROČILO PROJEKTIRANJA RAZLIČNIH VRST OBJEKTOV </t>
  </si>
  <si>
    <t>Kadar gre za enotno naročilo osnovnih storitev za projektiranje stavbe in ureditve pripadajočega odprtega prostora in kadar površina ureditve odprtega prostora ne presega 50 m2, je število NU za osnovne storitve pri projektiranju ureditev odprtega prostora za podfazi 2.1. Snovanje in 2.2. Idejno projektiranje že določeno v okviru maksimalnega števila NU za projektiranje stavb.</t>
  </si>
  <si>
    <t>Kadar gre za enotno naročilo osnovnih storitev za projektiranje stavbe in notranje opreme za isto stavbo in kadar obračunski stroški notranje opreme ne presegajo 7.500 evrov, je število NU za osnovne storitve pri projektiranju notranje opreme za podfazi 2.1. Snovanje in 2.2. Idejno projektiranje že določeno v okviru maksimalnega števila NU za projektiranje stavb.</t>
  </si>
  <si>
    <t>Dodano navodilo glede naročanja posameznih faz in glede enotnega naročanja različnih vrst objektov.</t>
  </si>
  <si>
    <t>IZVAJANJE GRADNJE (DODATEK ZA GRADBENI NADZOR)</t>
  </si>
  <si>
    <t>POSKUSNO OBRATOVANJE (DODATEK ZA GRADBENI NADZOR)</t>
  </si>
  <si>
    <t>PREDAJA OBJEKTA (DODATEK ZA GRADBENI NADZOR)</t>
  </si>
  <si>
    <t>Popravljeno javljanje napake pri enačbah za izračunvanje odstotnih vrednosti glede na vrednost stroškov gradnje na zavihku Arhigram v primeru da stroški gradnje niso določeni (popravek nima vpliva na izračun).</t>
  </si>
  <si>
    <t>Posodobljene informativne vrednosti stroškov gradnje za stavbe in odprti prostor (popravek nima vpliva na izračun).</t>
  </si>
  <si>
    <t>Dopolnjeni manjkajoči indeksi za objekte odptega prostora.</t>
  </si>
  <si>
    <t>Kalkulacija stroškov za določitev vrednosti projektantske obračunske ure (2024)</t>
  </si>
  <si>
    <t>povprečni BTO OD v Sloveniji 2023</t>
  </si>
  <si>
    <t>povprečni NTO OD v Sloveniji 2023</t>
  </si>
  <si>
    <t>upošteva se v fazah od 1 do 4., samo za storitve projektiranja</t>
  </si>
  <si>
    <t>Dodane vrednosti za prostorsko akustiko za podfazo 4.5. na zavihku Arhigram 6.</t>
  </si>
  <si>
    <t>Popravljen napačen seznam za izbor tipologije pri notranji opremi.</t>
  </si>
  <si>
    <t xml:space="preserve">Posebne storitve so navedene v sivi barvi, informativni izračuni pa v poševni pisavi. </t>
  </si>
  <si>
    <t>V številu NU oziroma v cenah za tehnično projektiranje (gradbene konstrukcije, strojne in električne inštalacije, tehnologija, požarna varnost) so upoštevane le stavbe. Morebitno tehnično projektiranje za odprti prostor ni upoštevano.</t>
  </si>
  <si>
    <t>Dodana opozorila glede tega, da tehnično projektiranje za odprti prostor v izračunih ni upoštevano.</t>
  </si>
  <si>
    <t>TEHNIČNO PROJEKTIRANJE</t>
  </si>
  <si>
    <t>Število NU oziroma cene tehničnega projektiranja (gradbene konstrukcije, strojne in električne inštalacije, tehnologija, požarna varnost, ...) so informativne in niso usklajene z Inženirsko zbornico Slovenije (IZS). Tehnično projektiranje odprtega prostora v izračunih ni upoštevano.</t>
  </si>
  <si>
    <t>Število NU oziroma cene tehničnega projektiranja (gradbene konstrukcije, strojne in električne inštalacije, tehnologija, požarna varnost, ...) so informativne in niso usklajene z Inženirsko zbornico Slovenije (IZS). Morebitno tehnično projektiranje odprtega prostora v izračunih ni upoštevano.</t>
  </si>
  <si>
    <t>NAROČANJE VEČ V BISTVENEM DELU ENAKIH OBJEKTOV:</t>
  </si>
  <si>
    <r>
      <t xml:space="preserve">Če naročilo vključuje </t>
    </r>
    <r>
      <rPr>
        <sz val="9"/>
        <rFont val="Inter Medium"/>
        <family val="2"/>
      </rPr>
      <t>več v bistvenem delu enakih objektov</t>
    </r>
    <r>
      <rPr>
        <sz val="9"/>
        <rFont val="Inter Light"/>
        <family val="2"/>
        <charset val="238"/>
      </rPr>
      <t>, ki se načrtujejo in gradijo v enakih ali zelo podobnih časovnih in lokacijskih okoliščinah, ali če gre za več objektov v skladu s tipsko ali serijsko gradnjo, je treba za prvo do četrto ponovitev za fazi 1. Zagon in 2. Projektiranje znižati število NU za 50 odstotkov, za peto do sedmo ponovitev za 60 odstotkov in za vsako naslednjo ponovitev za 90 odstotkov. Odbitki se ne izračunavajo avtomatično, temveč jih upošteva ponudnik pri pripravi ponudbe oziroma pogodbe.</t>
    </r>
  </si>
  <si>
    <t>december 2024</t>
  </si>
  <si>
    <t>IZBRANA VREDNOST STROŠKOV GRADNJE EUR/m2 BEP</t>
  </si>
  <si>
    <t>STROŠKI GRADNJE:</t>
  </si>
  <si>
    <t xml:space="preserve">SKUPAJ </t>
  </si>
  <si>
    <t>Izračun števila NU za področje prostorske akustike omejen na do 30.000 m2.</t>
  </si>
  <si>
    <t xml:space="preserve">Popravljna napaka v fazi 5. Obratovanje - pribitek za prenovo v tej fazi ni več upoštevan. </t>
  </si>
  <si>
    <t>Popravljena napaka v izračunih vrednosti za stavbe - pribitek za vključevanje drugih izvajalcev v pogodbo je upoštevan samo pri vodenju projektiranja.</t>
  </si>
  <si>
    <t xml:space="preserve">Priporočeni cenovni razdredi za posamezna področja za vsak posamezen objekt ali del objekta se razberejo iz ustreznih tabel na listu CENOVNI RAZREDI. Če določanje po seznamu ni mogoče oziroma kadar gre za posebne primere, se razred določi s točkovanjem glede na posamezna merila za ocenjevanje, navedena na listu CENOVNI RAZREDI, ki kot rezultat določijo cenovni razred.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</si>
</sst>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_€_-;\-* #,##0.00\ _€_-;_-* &quot;-&quot;??\ _€_-;_-@_-"/>
    <numFmt numFmtId="165" formatCode="#,##0.00\ &quot;€&quot;"/>
    <numFmt numFmtId="166" formatCode="0_ ;[Red]\-0\ "/>
    <numFmt numFmtId="167" formatCode="#,##0_ ;\-#,##0\ "/>
    <numFmt numFmtId="168" formatCode="0.0%"/>
    <numFmt numFmtId="169" formatCode="0\ &quot;NU&quot;"/>
    <numFmt numFmtId="170" formatCode="#,##0\ [$EUR];\-#,##0\ [$EUR]"/>
    <numFmt numFmtId="171" formatCode="#,##0\ &quot;NU&quot;"/>
    <numFmt numFmtId="172" formatCode="#,##0.0"/>
    <numFmt numFmtId="173" formatCode="0.0000"/>
    <numFmt numFmtId="174" formatCode="#,##0.0000_ ;\-#,##0.0000\ "/>
    <numFmt numFmtId="175" formatCode="#,##0.0000"/>
    <numFmt numFmtId="176" formatCode="0.0"/>
    <numFmt numFmtId="177" formatCode="d\.\ m\.\ yyyy;@"/>
    <numFmt numFmtId="178" formatCode="_-* #,##0\ _€_-;\-* #,##0\ _€_-;_-* &quot;-&quot;??\ _€_-;_-@_-"/>
    <numFmt numFmtId="179" formatCode="#,##0.00_ ;\-#,##0.00\ "/>
  </numFmts>
  <fonts count="205" x14ac:knownFonts="1">
    <font>
      <sz val="10"/>
      <name val="Arial"/>
      <charset val="238"/>
    </font>
    <font>
      <sz val="11"/>
      <color theme="1"/>
      <name val="Inter Light"/>
      <family val="2"/>
      <charset val="238"/>
      <scheme val="minor"/>
    </font>
    <font>
      <sz val="11"/>
      <color theme="1"/>
      <name val="Inter Light"/>
      <family val="2"/>
      <charset val="238"/>
      <scheme val="minor"/>
    </font>
    <font>
      <sz val="11"/>
      <color theme="1"/>
      <name val="Inter Light"/>
      <family val="2"/>
      <charset val="238"/>
      <scheme val="minor"/>
    </font>
    <font>
      <sz val="11"/>
      <color theme="1"/>
      <name val="Inter Light"/>
      <family val="2"/>
      <charset val="238"/>
      <scheme val="minor"/>
    </font>
    <font>
      <sz val="11"/>
      <color theme="1"/>
      <name val="Inter Light"/>
      <family val="2"/>
      <charset val="238"/>
      <scheme val="minor"/>
    </font>
    <font>
      <sz val="10"/>
      <name val="Arial"/>
      <family val="2"/>
      <charset val="238"/>
    </font>
    <font>
      <sz val="10"/>
      <name val="Arial"/>
      <family val="2"/>
      <charset val="238"/>
    </font>
    <font>
      <sz val="11"/>
      <color theme="1"/>
      <name val="Calibri"/>
      <family val="2"/>
      <charset val="238"/>
    </font>
    <font>
      <sz val="11"/>
      <name val="Bahnschrift Light SemiCondensed"/>
      <family val="2"/>
      <charset val="238"/>
    </font>
    <font>
      <sz val="14"/>
      <name val="Bahnschrift SemiBold SemiConden"/>
      <family val="2"/>
      <charset val="238"/>
    </font>
    <font>
      <sz val="12"/>
      <color rgb="FF000000"/>
      <name val="Bahnschrift SemiBold SemiConden"/>
      <family val="2"/>
      <charset val="238"/>
    </font>
    <font>
      <sz val="10"/>
      <color theme="1"/>
      <name val="Bahnschrift SemiLight SemiConde"/>
      <family val="2"/>
      <charset val="238"/>
    </font>
    <font>
      <sz val="10"/>
      <name val="Barlow Semi Condensed SemiBold"/>
      <family val="3"/>
    </font>
    <font>
      <sz val="10"/>
      <name val="Barlow Semi Condensed"/>
      <family val="3"/>
    </font>
    <font>
      <sz val="10"/>
      <color rgb="FF000000"/>
      <name val="Barlow Semi Condensed"/>
      <family val="3"/>
    </font>
    <font>
      <b/>
      <sz val="10"/>
      <color rgb="FF000000"/>
      <name val="Inter"/>
      <family val="2"/>
    </font>
    <font>
      <sz val="10"/>
      <color rgb="FF000000"/>
      <name val="Inter"/>
      <family val="2"/>
    </font>
    <font>
      <sz val="10"/>
      <name val="Inter Light"/>
      <family val="2"/>
      <charset val="238"/>
    </font>
    <font>
      <sz val="14"/>
      <name val="Inter Light"/>
      <family val="2"/>
      <charset val="238"/>
    </font>
    <font>
      <sz val="12"/>
      <name val="Inter Light"/>
      <family val="2"/>
      <charset val="238"/>
    </font>
    <font>
      <b/>
      <sz val="10"/>
      <name val="Inter Light"/>
      <family val="2"/>
      <charset val="238"/>
    </font>
    <font>
      <sz val="12"/>
      <color theme="1" tint="0.499984740745262"/>
      <name val="Inter Light"/>
      <family val="2"/>
      <charset val="238"/>
    </font>
    <font>
      <b/>
      <sz val="12"/>
      <name val="Inter Light"/>
      <family val="2"/>
      <charset val="238"/>
    </font>
    <font>
      <sz val="12"/>
      <color rgb="FF808080"/>
      <name val="Inter Light"/>
      <family val="2"/>
      <charset val="238"/>
    </font>
    <font>
      <sz val="10"/>
      <name val="Inter"/>
      <family val="2"/>
    </font>
    <font>
      <b/>
      <sz val="12"/>
      <name val="Inter"/>
      <family val="2"/>
      <charset val="238"/>
    </font>
    <font>
      <b/>
      <sz val="12"/>
      <color rgb="FF00B0F0"/>
      <name val="Inter"/>
      <family val="2"/>
      <charset val="238"/>
    </font>
    <font>
      <sz val="12"/>
      <name val="Inter"/>
      <family val="2"/>
      <charset val="238"/>
    </font>
    <font>
      <sz val="12"/>
      <name val="Inter Black"/>
      <family val="2"/>
      <charset val="238"/>
    </font>
    <font>
      <sz val="10"/>
      <color rgb="FF808080"/>
      <name val="Inter Light"/>
      <family val="2"/>
      <charset val="238"/>
    </font>
    <font>
      <sz val="12"/>
      <color rgb="FF00B0F0"/>
      <name val="Inter Black"/>
      <family val="2"/>
      <charset val="238"/>
    </font>
    <font>
      <sz val="12"/>
      <color rgb="FF00B0F0"/>
      <name val="Inter ExtraBold"/>
      <family val="2"/>
      <charset val="238"/>
    </font>
    <font>
      <sz val="14"/>
      <color rgb="FF00B0F0"/>
      <name val="Inter Black"/>
      <family val="2"/>
      <charset val="238"/>
    </font>
    <font>
      <sz val="14"/>
      <color rgb="FF00B0F0"/>
      <name val="Inter Light"/>
      <family val="2"/>
      <charset val="238"/>
    </font>
    <font>
      <sz val="10"/>
      <name val="Inter"/>
      <family val="2"/>
      <charset val="238"/>
    </font>
    <font>
      <sz val="10"/>
      <color rgb="FF000000"/>
      <name val="Inter Light"/>
      <family val="2"/>
      <charset val="238"/>
    </font>
    <font>
      <sz val="10"/>
      <color theme="1"/>
      <name val="Inter Light"/>
      <family val="2"/>
      <charset val="238"/>
    </font>
    <font>
      <sz val="12"/>
      <color rgb="FF000000"/>
      <name val="Inter Light"/>
      <family val="2"/>
      <charset val="238"/>
    </font>
    <font>
      <sz val="12"/>
      <color theme="1"/>
      <name val="Inter Light"/>
      <family val="2"/>
      <charset val="238"/>
    </font>
    <font>
      <b/>
      <sz val="10"/>
      <name val="Inter"/>
      <family val="2"/>
      <charset val="238"/>
    </font>
    <font>
      <sz val="10"/>
      <color theme="0"/>
      <name val="Inter Light"/>
      <family val="2"/>
      <charset val="238"/>
    </font>
    <font>
      <b/>
      <sz val="10"/>
      <color theme="1"/>
      <name val="Inter"/>
      <family val="2"/>
      <charset val="238"/>
    </font>
    <font>
      <sz val="10"/>
      <color rgb="FF222222"/>
      <name val="Inter Light"/>
      <family val="2"/>
      <charset val="238"/>
    </font>
    <font>
      <b/>
      <sz val="10"/>
      <color theme="1"/>
      <name val="Inter Light"/>
      <family val="2"/>
      <charset val="238"/>
    </font>
    <font>
      <sz val="10"/>
      <color theme="1"/>
      <name val="Inter Light"/>
      <family val="2"/>
      <charset val="238"/>
      <scheme val="minor"/>
    </font>
    <font>
      <b/>
      <sz val="12"/>
      <color theme="1"/>
      <name val="Inter Light"/>
      <family val="2"/>
      <charset val="238"/>
    </font>
    <font>
      <i/>
      <sz val="10"/>
      <color rgb="FFFF0000"/>
      <name val="Inter"/>
      <family val="2"/>
      <charset val="238"/>
    </font>
    <font>
      <sz val="10"/>
      <color theme="1"/>
      <name val="Inter"/>
      <family val="2"/>
      <charset val="238"/>
    </font>
    <font>
      <i/>
      <sz val="10"/>
      <name val="Inter"/>
      <family val="2"/>
      <charset val="238"/>
    </font>
    <font>
      <i/>
      <sz val="10"/>
      <name val="Inter Light"/>
      <family val="2"/>
      <charset val="238"/>
    </font>
    <font>
      <b/>
      <sz val="12"/>
      <color theme="1"/>
      <name val="Inter"/>
      <family val="2"/>
      <charset val="238"/>
    </font>
    <font>
      <b/>
      <sz val="10"/>
      <color rgb="FF00B0F0"/>
      <name val="Inter"/>
      <family val="2"/>
      <charset val="238"/>
    </font>
    <font>
      <b/>
      <sz val="12"/>
      <color rgb="FF000000"/>
      <name val="Inter"/>
      <family val="2"/>
      <charset val="238"/>
    </font>
    <font>
      <vertAlign val="superscript"/>
      <sz val="10"/>
      <name val="Inter Light"/>
      <family val="2"/>
      <charset val="238"/>
    </font>
    <font>
      <sz val="12"/>
      <color rgb="FF00B0F0"/>
      <name val="Inter Light"/>
      <family val="2"/>
      <charset val="238"/>
    </font>
    <font>
      <b/>
      <sz val="14"/>
      <name val="Inter"/>
      <family val="2"/>
      <charset val="238"/>
    </font>
    <font>
      <sz val="12"/>
      <name val="Barlow Semi Condensed"/>
      <family val="3"/>
    </font>
    <font>
      <sz val="10"/>
      <name val="Inter SemiBold"/>
      <family val="2"/>
      <charset val="238"/>
    </font>
    <font>
      <b/>
      <sz val="10"/>
      <name val="Inter"/>
      <family val="2"/>
    </font>
    <font>
      <sz val="10"/>
      <name val="Inter Light"/>
      <family val="2"/>
    </font>
    <font>
      <sz val="12"/>
      <color rgb="FF00B0F0"/>
      <name val="Inter"/>
      <family val="2"/>
      <charset val="238"/>
    </font>
    <font>
      <sz val="9"/>
      <color indexed="81"/>
      <name val="Tahoma"/>
      <family val="2"/>
    </font>
    <font>
      <sz val="10"/>
      <name val="Arial"/>
      <family val="2"/>
    </font>
    <font>
      <sz val="10"/>
      <color rgb="FF221F1F"/>
      <name val="Inter"/>
      <family val="2"/>
    </font>
    <font>
      <sz val="8"/>
      <name val="Arial"/>
      <family val="2"/>
    </font>
    <font>
      <sz val="11"/>
      <name val="Calibri"/>
      <family val="2"/>
    </font>
    <font>
      <sz val="7"/>
      <name val="Arial"/>
      <family val="2"/>
    </font>
    <font>
      <b/>
      <sz val="7"/>
      <name val="Arial"/>
      <family val="2"/>
    </font>
    <font>
      <i/>
      <sz val="7"/>
      <name val="Arial"/>
      <family val="2"/>
    </font>
    <font>
      <b/>
      <sz val="9"/>
      <color indexed="81"/>
      <name val="Tahoma"/>
      <family val="2"/>
    </font>
    <font>
      <vertAlign val="superscript"/>
      <sz val="10"/>
      <color rgb="FF000000"/>
      <name val="Inter"/>
      <family val="2"/>
    </font>
    <font>
      <sz val="10"/>
      <name val="Inter Medium"/>
      <family val="2"/>
    </font>
    <font>
      <sz val="8"/>
      <color rgb="FF000000"/>
      <name val="Segoe UI"/>
      <family val="2"/>
    </font>
    <font>
      <i/>
      <sz val="10"/>
      <name val="Inter Light"/>
      <family val="2"/>
    </font>
    <font>
      <sz val="10"/>
      <color rgb="FFFF0000"/>
      <name val="Inter"/>
      <family val="2"/>
    </font>
    <font>
      <b/>
      <sz val="12"/>
      <name val="Inter"/>
      <family val="2"/>
    </font>
    <font>
      <sz val="7.5"/>
      <color theme="1"/>
      <name val="Inter"/>
      <family val="2"/>
    </font>
    <font>
      <b/>
      <sz val="10"/>
      <color rgb="FF221F1F"/>
      <name val="Inter"/>
      <family val="2"/>
    </font>
    <font>
      <sz val="12"/>
      <color rgb="FF00B0F0"/>
      <name val="Inter Medium"/>
      <family val="2"/>
    </font>
    <font>
      <sz val="12"/>
      <name val="Inter Medium"/>
      <family val="2"/>
    </font>
    <font>
      <b/>
      <sz val="10"/>
      <color rgb="FF00B0F0"/>
      <name val="Inter Medium"/>
      <family val="2"/>
    </font>
    <font>
      <sz val="10"/>
      <color rgb="FF00B0F0"/>
      <name val="Inter"/>
      <family val="2"/>
    </font>
    <font>
      <sz val="10"/>
      <color theme="0"/>
      <name val="Inter"/>
      <family val="2"/>
    </font>
    <font>
      <sz val="10"/>
      <color theme="0"/>
      <name val="Inter Light"/>
      <family val="2"/>
    </font>
    <font>
      <sz val="8"/>
      <name val="Inter Light"/>
      <family val="2"/>
      <charset val="238"/>
    </font>
    <font>
      <sz val="9"/>
      <name val="Inter Light"/>
      <family val="2"/>
      <charset val="238"/>
    </font>
    <font>
      <b/>
      <sz val="9"/>
      <name val="Inter"/>
      <family val="2"/>
      <charset val="238"/>
    </font>
    <font>
      <sz val="9"/>
      <name val="Inter"/>
      <family val="2"/>
    </font>
    <font>
      <b/>
      <sz val="9"/>
      <name val="Inter"/>
      <family val="2"/>
    </font>
    <font>
      <sz val="9"/>
      <name val="Barlow Semi Condensed"/>
      <family val="3"/>
    </font>
    <font>
      <sz val="9"/>
      <name val="Inter"/>
      <family val="2"/>
      <charset val="238"/>
    </font>
    <font>
      <b/>
      <sz val="9"/>
      <name val="Inter Light"/>
      <family val="2"/>
      <charset val="238"/>
    </font>
    <font>
      <b/>
      <sz val="9"/>
      <color rgb="FF00B0F0"/>
      <name val="Inter"/>
      <family val="2"/>
      <charset val="238"/>
    </font>
    <font>
      <sz val="9"/>
      <color rgb="FF00B0F0"/>
      <name val="Inter"/>
      <family val="2"/>
      <charset val="238"/>
    </font>
    <font>
      <sz val="9"/>
      <color rgb="FF00B0F0"/>
      <name val="Inter Light"/>
      <family val="2"/>
      <charset val="238"/>
    </font>
    <font>
      <sz val="9"/>
      <color rgb="FF00B0F0"/>
      <name val="Inter Medium"/>
      <family val="2"/>
    </font>
    <font>
      <b/>
      <sz val="9"/>
      <color rgb="FF00B0F0"/>
      <name val="Inter"/>
      <family val="2"/>
    </font>
    <font>
      <sz val="9"/>
      <color rgb="FF00B0F0"/>
      <name val="Inter"/>
      <family val="2"/>
    </font>
    <font>
      <i/>
      <sz val="9"/>
      <name val="Inter"/>
      <family val="2"/>
    </font>
    <font>
      <i/>
      <sz val="10"/>
      <name val="Inter"/>
      <family val="2"/>
    </font>
    <font>
      <sz val="9"/>
      <name val="Inter SemiBold"/>
      <family val="2"/>
    </font>
    <font>
      <vertAlign val="superscript"/>
      <sz val="10"/>
      <name val="Inter"/>
      <family val="2"/>
    </font>
    <font>
      <sz val="8"/>
      <color rgb="FF000000"/>
      <name val="Inter Light"/>
      <family val="2"/>
      <charset val="238"/>
    </font>
    <font>
      <sz val="8"/>
      <name val="Inter"/>
      <family val="2"/>
      <charset val="238"/>
    </font>
    <font>
      <vertAlign val="superscript"/>
      <sz val="8"/>
      <name val="Inter Light"/>
      <family val="2"/>
      <charset val="238"/>
    </font>
    <font>
      <sz val="9"/>
      <color rgb="FF00B0F0"/>
      <name val="Inter SemiBold"/>
      <family val="2"/>
    </font>
    <font>
      <b/>
      <sz val="8"/>
      <name val="Inter Light"/>
      <family val="2"/>
      <charset val="238"/>
    </font>
    <font>
      <i/>
      <sz val="8"/>
      <name val="Inter Light"/>
      <family val="2"/>
      <charset val="238"/>
    </font>
    <font>
      <sz val="10"/>
      <color rgb="FF000000"/>
      <name val="Inter Light"/>
      <family val="2"/>
    </font>
    <font>
      <b/>
      <i/>
      <sz val="10"/>
      <color rgb="FF00B0F0"/>
      <name val="Inter"/>
      <family val="2"/>
      <charset val="238"/>
    </font>
    <font>
      <i/>
      <vertAlign val="superscript"/>
      <sz val="8"/>
      <name val="Inter Light"/>
      <family val="2"/>
      <charset val="238"/>
    </font>
    <font>
      <i/>
      <sz val="8"/>
      <name val="Inter"/>
      <family val="2"/>
      <charset val="238"/>
    </font>
    <font>
      <b/>
      <i/>
      <sz val="8"/>
      <name val="Inter Light"/>
      <family val="2"/>
      <charset val="238"/>
    </font>
    <font>
      <i/>
      <sz val="8"/>
      <name val="Inter Medium"/>
      <family val="2"/>
      <charset val="238"/>
    </font>
    <font>
      <sz val="12"/>
      <name val="Inter Light"/>
      <family val="2"/>
    </font>
    <font>
      <vertAlign val="superscript"/>
      <sz val="10"/>
      <name val="Inter Light"/>
      <family val="2"/>
    </font>
    <font>
      <i/>
      <sz val="8"/>
      <name val="Inter Light"/>
      <family val="2"/>
    </font>
    <font>
      <sz val="8"/>
      <name val="Inter Light"/>
      <family val="2"/>
    </font>
    <font>
      <i/>
      <vertAlign val="superscript"/>
      <sz val="8"/>
      <name val="Inter Light"/>
      <family val="2"/>
    </font>
    <font>
      <sz val="10"/>
      <color rgb="FF00B0F0"/>
      <name val="Inter Light"/>
      <family val="2"/>
      <charset val="238"/>
    </font>
    <font>
      <i/>
      <sz val="8"/>
      <color rgb="FF000000"/>
      <name val="Inter Light"/>
      <family val="2"/>
    </font>
    <font>
      <b/>
      <i/>
      <sz val="8"/>
      <name val="Inter Light"/>
      <family val="2"/>
    </font>
    <font>
      <i/>
      <sz val="8"/>
      <name val="Inter Medium"/>
      <family val="2"/>
    </font>
    <font>
      <sz val="10"/>
      <color theme="5"/>
      <name val="Inter"/>
      <family val="2"/>
    </font>
    <font>
      <sz val="8"/>
      <name val="Inter"/>
      <family val="2"/>
    </font>
    <font>
      <vertAlign val="superscript"/>
      <sz val="8"/>
      <name val="Inter"/>
      <family val="2"/>
    </font>
    <font>
      <sz val="10"/>
      <name val="Inter Light"/>
      <family val="2"/>
      <scheme val="minor"/>
    </font>
    <font>
      <i/>
      <sz val="9"/>
      <name val="Inter ExtraLight"/>
      <family val="2"/>
    </font>
    <font>
      <sz val="10"/>
      <color rgb="FFCCECFF"/>
      <name val="Inter"/>
      <family val="2"/>
    </font>
    <font>
      <i/>
      <sz val="10"/>
      <name val="Inter ExtraLight"/>
      <family val="2"/>
    </font>
    <font>
      <sz val="10"/>
      <color rgb="FFCCECFF"/>
      <name val="Inter ExtraLight"/>
      <family val="2"/>
    </font>
    <font>
      <sz val="9"/>
      <color theme="0"/>
      <name val="Inter SemiBold"/>
      <family val="2"/>
      <charset val="238"/>
    </font>
    <font>
      <sz val="9"/>
      <color theme="0"/>
      <name val="Inter"/>
      <family val="2"/>
      <charset val="238"/>
    </font>
    <font>
      <i/>
      <sz val="9"/>
      <color theme="0"/>
      <name val="Inter"/>
      <family val="2"/>
      <charset val="238"/>
    </font>
    <font>
      <b/>
      <sz val="11"/>
      <color theme="1"/>
      <name val="Inter"/>
      <family val="2"/>
      <charset val="238"/>
    </font>
    <font>
      <b/>
      <sz val="11"/>
      <name val="Inter"/>
      <family val="2"/>
      <charset val="238"/>
    </font>
    <font>
      <b/>
      <sz val="11"/>
      <color theme="0"/>
      <name val="Inter"/>
      <family val="2"/>
      <charset val="238"/>
    </font>
    <font>
      <b/>
      <sz val="11"/>
      <color rgb="FF00B0F0"/>
      <name val="Inter"/>
      <family val="2"/>
      <charset val="238"/>
    </font>
    <font>
      <sz val="11"/>
      <name val="Barlow Semi Condensed"/>
      <family val="3"/>
      <charset val="238"/>
    </font>
    <font>
      <sz val="9"/>
      <name val="Inter ExtraLight"/>
      <family val="2"/>
    </font>
    <font>
      <sz val="9"/>
      <name val="Inter Light"/>
      <family val="2"/>
    </font>
    <font>
      <sz val="10"/>
      <color rgb="FFCCECFF"/>
      <name val="Inter Light"/>
      <family val="2"/>
      <charset val="238"/>
    </font>
    <font>
      <b/>
      <sz val="20"/>
      <color rgb="FF00B0F0"/>
      <name val="Vectrex"/>
    </font>
    <font>
      <sz val="9"/>
      <color rgb="FFCCECFF"/>
      <name val="Inter SemiBold"/>
      <family val="2"/>
      <charset val="238"/>
    </font>
    <font>
      <sz val="9"/>
      <color rgb="FFCCECFF"/>
      <name val="Inter"/>
      <family val="2"/>
      <charset val="238"/>
    </font>
    <font>
      <sz val="10"/>
      <name val="Inter ExtraLight"/>
      <family val="2"/>
    </font>
    <font>
      <sz val="10"/>
      <name val="Barlow Semi Condensed"/>
    </font>
    <font>
      <sz val="10"/>
      <color rgb="FF00B0F0"/>
      <name val="Inter Light"/>
      <family val="2"/>
    </font>
    <font>
      <b/>
      <sz val="8"/>
      <name val="Inter Light"/>
      <family val="2"/>
    </font>
    <font>
      <vertAlign val="superscript"/>
      <sz val="8"/>
      <name val="Inter Light"/>
      <family val="2"/>
    </font>
    <font>
      <sz val="10"/>
      <name val="Inter SemiBold"/>
      <family val="2"/>
    </font>
    <font>
      <vertAlign val="superscript"/>
      <sz val="10"/>
      <name val="Inter SemiBold"/>
      <family val="2"/>
    </font>
    <font>
      <u/>
      <sz val="10"/>
      <color theme="10"/>
      <name val="Arial"/>
      <family val="2"/>
    </font>
    <font>
      <b/>
      <sz val="10"/>
      <color rgb="FF00B0F0"/>
      <name val="Inter Light"/>
      <family val="2"/>
      <scheme val="minor"/>
    </font>
    <font>
      <b/>
      <sz val="8"/>
      <color theme="1"/>
      <name val="Inter"/>
      <family val="2"/>
      <charset val="238"/>
    </font>
    <font>
      <sz val="8"/>
      <name val="Inter Black"/>
      <family val="2"/>
      <charset val="238"/>
    </font>
    <font>
      <sz val="8"/>
      <name val="Inter SemiBold"/>
      <family val="2"/>
      <charset val="238"/>
    </font>
    <font>
      <sz val="8"/>
      <color theme="1"/>
      <name val="Inter Black"/>
      <family val="2"/>
      <charset val="238"/>
    </font>
    <font>
      <sz val="8"/>
      <name val="Barlow Semi Condensed"/>
      <family val="3"/>
      <charset val="238"/>
    </font>
    <font>
      <sz val="8"/>
      <color rgb="FF00B0F0"/>
      <name val="Inter"/>
      <family val="2"/>
    </font>
    <font>
      <sz val="8"/>
      <color theme="0" tint="-0.499984740745262"/>
      <name val="Inter"/>
      <family val="2"/>
      <charset val="238"/>
    </font>
    <font>
      <b/>
      <sz val="8"/>
      <name val="Inter"/>
      <family val="2"/>
      <charset val="238"/>
    </font>
    <font>
      <sz val="8"/>
      <name val="Barlow Semi Condensed"/>
    </font>
    <font>
      <sz val="8"/>
      <color rgb="FF00B0F0"/>
      <name val="Vectrex"/>
    </font>
    <font>
      <sz val="10"/>
      <color theme="0" tint="-0.499984740745262"/>
      <name val="Inter Light"/>
      <family val="2"/>
      <charset val="238"/>
    </font>
    <font>
      <sz val="10"/>
      <color theme="0" tint="-0.499984740745262"/>
      <name val="Barlow Semi Condensed"/>
      <family val="3"/>
    </font>
    <font>
      <sz val="10"/>
      <color theme="0" tint="-0.499984740745262"/>
      <name val="Inter Light"/>
      <family val="2"/>
    </font>
    <font>
      <sz val="9"/>
      <color rgb="FF00B0F0"/>
      <name val="Inter Light"/>
      <family val="2"/>
    </font>
    <font>
      <sz val="9"/>
      <name val="Inter Thin"/>
      <family val="2"/>
    </font>
    <font>
      <sz val="10"/>
      <name val="Inter Thin"/>
      <family val="2"/>
    </font>
    <font>
      <i/>
      <sz val="9"/>
      <name val="Inter Thin"/>
      <family val="2"/>
    </font>
    <font>
      <i/>
      <sz val="10"/>
      <name val="Inter Thin"/>
      <family val="2"/>
    </font>
    <font>
      <sz val="10"/>
      <color theme="8" tint="0.39997558519241921"/>
      <name val="Inter Light"/>
      <family val="2"/>
      <charset val="238"/>
    </font>
    <font>
      <sz val="10"/>
      <color theme="8" tint="0.39997558519241921"/>
      <name val="Inter Light"/>
      <family val="2"/>
    </font>
    <font>
      <sz val="10"/>
      <name val="Barlow Semi Condensed"/>
      <family val="3"/>
      <charset val="238"/>
    </font>
    <font>
      <sz val="10"/>
      <color theme="0" tint="-0.499984740745262"/>
      <name val="Barlow Semi Condensed"/>
      <family val="3"/>
      <charset val="238"/>
    </font>
    <font>
      <i/>
      <sz val="10"/>
      <color theme="0" tint="-0.499984740745262"/>
      <name val="Barlow Semi Condensed"/>
      <family val="3"/>
      <charset val="238"/>
    </font>
    <font>
      <sz val="9"/>
      <name val="Inter Medium"/>
      <family val="2"/>
      <charset val="238"/>
    </font>
    <font>
      <i/>
      <sz val="9"/>
      <name val="Inter Light"/>
      <family val="2"/>
    </font>
    <font>
      <i/>
      <sz val="9"/>
      <color theme="0"/>
      <name val="Inter Light"/>
      <family val="2"/>
    </font>
    <font>
      <i/>
      <sz val="9"/>
      <color rgb="FF00B0F0"/>
      <name val="Inter Light"/>
      <family val="2"/>
    </font>
    <font>
      <sz val="9"/>
      <color rgb="FFCCECFF"/>
      <name val="Inter Light"/>
      <family val="2"/>
    </font>
    <font>
      <sz val="9"/>
      <color theme="0" tint="-0.499984740745262"/>
      <name val="Inter Light"/>
      <family val="2"/>
    </font>
    <font>
      <sz val="9"/>
      <color rgb="FF5BD4FF"/>
      <name val="Inter Light"/>
      <family val="2"/>
    </font>
    <font>
      <sz val="9"/>
      <color theme="1" tint="0.499984740745262"/>
      <name val="Inter Light"/>
      <family val="2"/>
      <charset val="238"/>
    </font>
    <font>
      <sz val="9"/>
      <color theme="1" tint="0.499984740745262"/>
      <name val="Inter ExtraLight"/>
      <family val="2"/>
      <charset val="238"/>
    </font>
    <font>
      <i/>
      <sz val="9"/>
      <color theme="1" tint="0.499984740745262"/>
      <name val="Inter ExtraLight"/>
      <family val="2"/>
      <charset val="238"/>
    </font>
    <font>
      <sz val="9"/>
      <color theme="1" tint="0.499984740745262"/>
      <name val="Inter"/>
      <family val="2"/>
      <charset val="238"/>
    </font>
    <font>
      <sz val="9"/>
      <color theme="1" tint="0.499984740745262"/>
      <name val="Inter Light"/>
      <family val="2"/>
    </font>
    <font>
      <sz val="9"/>
      <color rgb="FF5BD4FF"/>
      <name val="Inter"/>
      <family val="2"/>
      <charset val="238"/>
    </font>
    <font>
      <i/>
      <sz val="9"/>
      <color rgb="FF5BD4FF"/>
      <name val="Inter ExtraLight"/>
      <family val="2"/>
      <charset val="238"/>
    </font>
    <font>
      <sz val="9"/>
      <color rgb="FF5BD4FF"/>
      <name val="Inter Light"/>
      <family val="2"/>
      <charset val="238"/>
    </font>
    <font>
      <sz val="9"/>
      <color theme="0"/>
      <name val="Inter Light"/>
      <family val="2"/>
    </font>
    <font>
      <sz val="9"/>
      <color theme="0"/>
      <name val="Inter ExtraLight"/>
      <family val="2"/>
    </font>
    <font>
      <i/>
      <sz val="9"/>
      <color theme="0"/>
      <name val="Inter ExtraLight"/>
      <family val="2"/>
    </font>
    <font>
      <sz val="9"/>
      <color rgb="FF5BD4FF"/>
      <name val="Inter ExtraLight"/>
      <family val="2"/>
    </font>
    <font>
      <i/>
      <sz val="9"/>
      <color rgb="FF5BD4FF"/>
      <name val="Inter ExtraLight"/>
      <family val="2"/>
    </font>
    <font>
      <i/>
      <sz val="9"/>
      <color rgb="FF00B0F0"/>
      <name val="Inter"/>
      <family val="2"/>
    </font>
    <font>
      <i/>
      <sz val="10"/>
      <color rgb="FFCCECFF"/>
      <name val="Inter Light"/>
      <family val="2"/>
    </font>
    <font>
      <b/>
      <sz val="18"/>
      <color rgb="FF00B0F0"/>
      <name val="Vectrex"/>
    </font>
    <font>
      <sz val="10"/>
      <color rgb="FF000000"/>
      <name val="Inter Medium"/>
      <family val="2"/>
    </font>
    <font>
      <sz val="11"/>
      <color rgb="FF231F20"/>
      <name val="Inter Light"/>
      <family val="2"/>
      <scheme val="minor"/>
    </font>
    <font>
      <sz val="12"/>
      <name val="Inter Light"/>
      <family val="2"/>
      <scheme val="minor"/>
    </font>
    <font>
      <sz val="9"/>
      <name val="Inter Medium"/>
      <family val="2"/>
    </font>
  </fonts>
  <fills count="14">
    <fill>
      <patternFill patternType="none"/>
    </fill>
    <fill>
      <patternFill patternType="gray125"/>
    </fill>
    <fill>
      <patternFill patternType="solid">
        <fgColor theme="9" tint="-0.249977111117893"/>
        <bgColor indexed="64"/>
      </patternFill>
    </fill>
    <fill>
      <patternFill patternType="solid">
        <fgColor theme="9"/>
        <bgColor indexed="64"/>
      </patternFill>
    </fill>
    <fill>
      <patternFill patternType="solid">
        <fgColor rgb="FFCC0099"/>
        <bgColor indexed="64"/>
      </patternFill>
    </fill>
    <fill>
      <patternFill patternType="solid">
        <fgColor rgb="FFFFC000"/>
        <bgColor indexed="64"/>
      </patternFill>
    </fill>
    <fill>
      <patternFill patternType="solid">
        <fgColor rgb="FFC00000"/>
        <bgColor indexed="64"/>
      </patternFill>
    </fill>
    <fill>
      <patternFill patternType="solid">
        <fgColor rgb="FF0070C0"/>
        <bgColor indexed="64"/>
      </patternFill>
    </fill>
    <fill>
      <patternFill patternType="solid">
        <fgColor rgb="FF009999"/>
        <bgColor indexed="64"/>
      </patternFill>
    </fill>
    <fill>
      <patternFill patternType="solid">
        <fgColor rgb="FF00CC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CECFF"/>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bottom style="medium">
        <color indexed="64"/>
      </bottom>
      <diagonal/>
    </border>
    <border>
      <left/>
      <right/>
      <top style="thin">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dashed">
        <color indexed="64"/>
      </top>
      <bottom style="hair">
        <color indexed="64"/>
      </bottom>
      <diagonal/>
    </border>
    <border>
      <left/>
      <right/>
      <top/>
      <bottom style="dashed">
        <color indexed="64"/>
      </bottom>
      <diagonal/>
    </border>
    <border>
      <left/>
      <right/>
      <top style="hair">
        <color rgb="FF221F1F"/>
      </top>
      <bottom style="hair">
        <color rgb="FF221F1F"/>
      </bottom>
      <diagonal/>
    </border>
    <border>
      <left/>
      <right/>
      <top/>
      <bottom style="hair">
        <color rgb="FF221F1F"/>
      </bottom>
      <diagonal/>
    </border>
    <border>
      <left/>
      <right/>
      <top style="thin">
        <color rgb="FF221F1F"/>
      </top>
      <bottom style="hair">
        <color rgb="FF221F1F"/>
      </bottom>
      <diagonal/>
    </border>
    <border>
      <left/>
      <right/>
      <top style="dashed">
        <color indexed="64"/>
      </top>
      <bottom/>
      <diagonal/>
    </border>
    <border>
      <left/>
      <right/>
      <top style="hair">
        <color rgb="FF221F1F"/>
      </top>
      <bottom style="hair">
        <color indexed="64"/>
      </bottom>
      <diagonal/>
    </border>
    <border>
      <left/>
      <right style="thick">
        <color theme="0"/>
      </right>
      <top style="thin">
        <color indexed="64"/>
      </top>
      <bottom style="hair">
        <color indexed="64"/>
      </bottom>
      <diagonal/>
    </border>
    <border>
      <left/>
      <right style="thick">
        <color theme="0"/>
      </right>
      <top style="hair">
        <color indexed="64"/>
      </top>
      <bottom style="hair">
        <color indexed="64"/>
      </bottom>
      <diagonal/>
    </border>
    <border>
      <left/>
      <right style="thick">
        <color theme="0"/>
      </right>
      <top style="hair">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ashed">
        <color indexed="64"/>
      </top>
      <bottom style="thin">
        <color indexed="64"/>
      </bottom>
      <diagonal/>
    </border>
    <border>
      <left/>
      <right/>
      <top style="hair">
        <color indexed="64"/>
      </top>
      <bottom style="medium">
        <color indexed="64"/>
      </bottom>
      <diagonal/>
    </border>
    <border>
      <left/>
      <right/>
      <top style="medium">
        <color auto="1"/>
      </top>
      <bottom/>
      <diagonal/>
    </border>
  </borders>
  <cellStyleXfs count="27">
    <xf numFmtId="0" fontId="0" fillId="0" borderId="0"/>
    <xf numFmtId="9" fontId="6"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0" fontId="8" fillId="0" borderId="0"/>
    <xf numFmtId="164" fontId="6" fillId="0" borderId="0" applyFont="0" applyFill="0" applyBorder="0" applyAlignment="0" applyProtection="0"/>
    <xf numFmtId="0" fontId="143" fillId="0" borderId="0" applyNumberFormat="0" applyBorder="0" applyAlignment="0">
      <alignment wrapText="1"/>
    </xf>
    <xf numFmtId="0" fontId="11" fillId="0" borderId="0">
      <alignment wrapText="1"/>
    </xf>
    <xf numFmtId="49" fontId="15" fillId="0" borderId="0" applyNumberFormat="0" applyFill="0" applyBorder="0" applyAlignment="0">
      <alignment vertical="top" wrapText="1"/>
    </xf>
    <xf numFmtId="0" fontId="10" fillId="2" borderId="0" applyBorder="0"/>
    <xf numFmtId="0" fontId="6" fillId="0" borderId="0"/>
    <xf numFmtId="0" fontId="33" fillId="0" borderId="0" applyNumberFormat="0" applyBorder="0" applyAlignment="0">
      <alignment vertical="center"/>
    </xf>
    <xf numFmtId="0" fontId="4" fillId="0" borderId="0"/>
    <xf numFmtId="9" fontId="4" fillId="0" borderId="0" applyFont="0" applyFill="0" applyBorder="0" applyAlignment="0" applyProtection="0"/>
    <xf numFmtId="0" fontId="3" fillId="0" borderId="0"/>
    <xf numFmtId="164" fontId="3" fillId="0" borderId="0" applyFont="0" applyFill="0" applyBorder="0" applyAlignment="0" applyProtection="0"/>
    <xf numFmtId="167" fontId="35" fillId="0" borderId="4">
      <alignment vertical="center"/>
    </xf>
    <xf numFmtId="167" fontId="13" fillId="0" borderId="5" applyNumberFormat="0" applyFill="0" applyBorder="0" applyAlignment="0">
      <alignment horizontal="left" vertical="center"/>
    </xf>
    <xf numFmtId="0" fontId="2" fillId="0" borderId="0"/>
    <xf numFmtId="0" fontId="2" fillId="0" borderId="0"/>
    <xf numFmtId="0" fontId="32" fillId="0" borderId="1" applyNumberFormat="0" applyFill="0" applyAlignment="0"/>
    <xf numFmtId="0" fontId="61" fillId="0" borderId="3" applyNumberFormat="0" applyFill="0" applyBorder="0" applyAlignment="0">
      <alignment vertical="center"/>
    </xf>
    <xf numFmtId="0" fontId="1" fillId="0" borderId="0"/>
    <xf numFmtId="0" fontId="63" fillId="0" borderId="0"/>
    <xf numFmtId="0" fontId="200" fillId="0" borderId="0" applyNumberFormat="0" applyBorder="0" applyAlignment="0">
      <alignment wrapText="1"/>
    </xf>
    <xf numFmtId="0" fontId="153" fillId="0" borderId="0" applyNumberFormat="0" applyFill="0" applyBorder="0" applyAlignment="0" applyProtection="0"/>
  </cellStyleXfs>
  <cellXfs count="1325">
    <xf numFmtId="0" fontId="0" fillId="0" borderId="0" xfId="0"/>
    <xf numFmtId="0" fontId="33" fillId="0" borderId="0" xfId="12" applyAlignment="1">
      <alignment vertical="center"/>
    </xf>
    <xf numFmtId="0" fontId="12" fillId="0" borderId="0" xfId="15" applyFont="1"/>
    <xf numFmtId="0" fontId="143" fillId="0" borderId="0" xfId="7" applyAlignment="1"/>
    <xf numFmtId="0" fontId="9" fillId="0" borderId="0" xfId="13" applyFont="1" applyAlignment="1">
      <alignment horizontal="left" vertical="top" wrapText="1"/>
    </xf>
    <xf numFmtId="0" fontId="143" fillId="0" borderId="0" xfId="7" applyAlignment="1">
      <alignment vertical="top"/>
    </xf>
    <xf numFmtId="0" fontId="143" fillId="0" borderId="0" xfId="7" applyAlignment="1">
      <alignment horizontal="left" vertical="top" wrapText="1"/>
    </xf>
    <xf numFmtId="0" fontId="15" fillId="0" borderId="0" xfId="9" applyNumberFormat="1" applyAlignment="1"/>
    <xf numFmtId="0" fontId="15" fillId="0" borderId="0" xfId="9" applyNumberFormat="1" applyFill="1" applyBorder="1" applyAlignment="1">
      <alignment horizontal="left" vertical="top" wrapText="1"/>
    </xf>
    <xf numFmtId="0" fontId="15" fillId="0" borderId="0" xfId="9" applyNumberFormat="1" applyBorder="1" applyAlignment="1"/>
    <xf numFmtId="0" fontId="15" fillId="0" borderId="0" xfId="9" applyNumberFormat="1" applyFill="1" applyBorder="1" applyAlignment="1">
      <alignment vertical="top"/>
    </xf>
    <xf numFmtId="0" fontId="15" fillId="0" borderId="0" xfId="9" applyNumberFormat="1" applyAlignment="1">
      <alignment horizontal="left" vertical="center" indent="3"/>
    </xf>
    <xf numFmtId="0" fontId="14" fillId="0" borderId="0" xfId="11" applyFont="1"/>
    <xf numFmtId="0" fontId="14" fillId="0" borderId="0" xfId="11" applyFont="1" applyAlignment="1">
      <alignment vertical="top"/>
    </xf>
    <xf numFmtId="0" fontId="14" fillId="0" borderId="0" xfId="11" applyFont="1" applyAlignment="1">
      <alignment horizontal="left"/>
    </xf>
    <xf numFmtId="9" fontId="14" fillId="0" borderId="0" xfId="1" applyFont="1"/>
    <xf numFmtId="0" fontId="18" fillId="0" borderId="0" xfId="0" applyFont="1"/>
    <xf numFmtId="0" fontId="19" fillId="0" borderId="0" xfId="0" applyFont="1"/>
    <xf numFmtId="0" fontId="20" fillId="0" borderId="0" xfId="0" applyFont="1"/>
    <xf numFmtId="0" fontId="20" fillId="0" borderId="0" xfId="0" applyFont="1" applyAlignment="1">
      <alignment horizontal="right" vertical="top" indent="1"/>
    </xf>
    <xf numFmtId="49" fontId="20" fillId="0" borderId="0" xfId="0" applyNumberFormat="1" applyFont="1" applyAlignment="1">
      <alignment horizontal="left" vertical="top"/>
    </xf>
    <xf numFmtId="3" fontId="18" fillId="0" borderId="0" xfId="0" applyNumberFormat="1" applyFont="1" applyAlignment="1">
      <alignment wrapText="1"/>
    </xf>
    <xf numFmtId="2" fontId="20" fillId="0" borderId="0" xfId="0" applyNumberFormat="1" applyFont="1"/>
    <xf numFmtId="3" fontId="20" fillId="0" borderId="0" xfId="0" applyNumberFormat="1" applyFont="1"/>
    <xf numFmtId="3" fontId="22" fillId="0" borderId="0" xfId="0" applyNumberFormat="1" applyFont="1"/>
    <xf numFmtId="2" fontId="22" fillId="0" borderId="0" xfId="0" applyNumberFormat="1" applyFont="1"/>
    <xf numFmtId="9" fontId="20" fillId="0" borderId="0" xfId="1" applyFont="1" applyProtection="1"/>
    <xf numFmtId="0" fontId="20" fillId="0" borderId="0" xfId="11" applyFont="1"/>
    <xf numFmtId="0" fontId="18" fillId="0" borderId="0" xfId="11" applyFont="1"/>
    <xf numFmtId="0" fontId="18" fillId="0" borderId="0" xfId="11" applyFont="1" applyAlignment="1">
      <alignment horizontal="left" vertical="top"/>
    </xf>
    <xf numFmtId="10" fontId="18" fillId="0" borderId="0" xfId="1" applyNumberFormat="1" applyFont="1" applyFill="1" applyBorder="1" applyAlignment="1" applyProtection="1">
      <alignment vertical="top"/>
    </xf>
    <xf numFmtId="0" fontId="24" fillId="0" borderId="0" xfId="11" applyFont="1" applyAlignment="1">
      <alignment horizontal="left"/>
    </xf>
    <xf numFmtId="0" fontId="18" fillId="0" borderId="0" xfId="11" applyFont="1" applyAlignment="1">
      <alignment horizontal="left"/>
    </xf>
    <xf numFmtId="9" fontId="18" fillId="0" borderId="0" xfId="1" applyFont="1"/>
    <xf numFmtId="0" fontId="18" fillId="0" borderId="0" xfId="0" applyFont="1" applyAlignment="1">
      <alignment vertical="center"/>
    </xf>
    <xf numFmtId="3" fontId="18" fillId="0" borderId="0" xfId="0" applyNumberFormat="1" applyFont="1" applyAlignment="1">
      <alignment vertical="center"/>
    </xf>
    <xf numFmtId="0" fontId="21" fillId="0" borderId="0" xfId="0" applyFont="1" applyAlignment="1">
      <alignment vertical="center"/>
    </xf>
    <xf numFmtId="3" fontId="21" fillId="0" borderId="0" xfId="0" applyNumberFormat="1" applyFont="1" applyAlignment="1">
      <alignment vertical="center"/>
    </xf>
    <xf numFmtId="0" fontId="18" fillId="0" borderId="0" xfId="0" applyFont="1" applyAlignment="1">
      <alignment horizontal="right" vertical="top" indent="1"/>
    </xf>
    <xf numFmtId="0" fontId="20" fillId="0" borderId="0" xfId="0" applyFont="1" applyAlignment="1">
      <alignment horizontal="left" vertical="center"/>
    </xf>
    <xf numFmtId="0" fontId="18" fillId="0" borderId="0" xfId="0" applyFont="1" applyAlignment="1">
      <alignment horizontal="right" vertical="center"/>
    </xf>
    <xf numFmtId="0" fontId="20" fillId="0" borderId="0" xfId="0" applyFont="1" applyAlignment="1">
      <alignment vertical="center"/>
    </xf>
    <xf numFmtId="0" fontId="20" fillId="0" borderId="3"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20" fillId="0" borderId="4" xfId="0" applyFont="1" applyBorder="1" applyAlignment="1">
      <alignment vertical="center"/>
    </xf>
    <xf numFmtId="0" fontId="23" fillId="0" borderId="4" xfId="0" applyFont="1" applyBorder="1" applyAlignment="1">
      <alignment vertical="center"/>
    </xf>
    <xf numFmtId="0" fontId="20" fillId="0" borderId="4" xfId="0" applyFont="1" applyBorder="1" applyAlignment="1">
      <alignment horizontal="right" vertical="center"/>
    </xf>
    <xf numFmtId="3" fontId="20" fillId="0" borderId="0" xfId="0" applyNumberFormat="1" applyFont="1" applyAlignment="1">
      <alignment vertical="center"/>
    </xf>
    <xf numFmtId="0" fontId="23" fillId="0" borderId="0" xfId="0" applyFont="1" applyAlignment="1">
      <alignment vertical="center"/>
    </xf>
    <xf numFmtId="3" fontId="23" fillId="0" borderId="0" xfId="0" applyNumberFormat="1" applyFont="1" applyAlignment="1">
      <alignment vertical="center"/>
    </xf>
    <xf numFmtId="9" fontId="18" fillId="0" borderId="0" xfId="1" applyFont="1" applyFill="1" applyBorder="1" applyAlignment="1" applyProtection="1">
      <alignment vertical="center"/>
    </xf>
    <xf numFmtId="3" fontId="23" fillId="0" borderId="4" xfId="0" applyNumberFormat="1"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1" xfId="0" applyFont="1" applyBorder="1" applyAlignment="1">
      <alignment vertical="center"/>
    </xf>
    <xf numFmtId="9" fontId="18" fillId="0" borderId="1" xfId="1" applyFont="1" applyFill="1" applyBorder="1" applyAlignment="1" applyProtection="1">
      <alignment vertical="center"/>
    </xf>
    <xf numFmtId="3" fontId="21" fillId="0" borderId="1" xfId="0" applyNumberFormat="1" applyFont="1" applyBorder="1" applyAlignment="1">
      <alignment vertical="center"/>
    </xf>
    <xf numFmtId="0" fontId="20" fillId="0" borderId="2" xfId="0" applyFont="1" applyBorder="1" applyAlignment="1">
      <alignment vertical="center" wrapText="1"/>
    </xf>
    <xf numFmtId="0" fontId="27" fillId="0" borderId="0" xfId="0" applyFont="1" applyAlignment="1">
      <alignment vertical="center"/>
    </xf>
    <xf numFmtId="3" fontId="29" fillId="0" borderId="0" xfId="0" applyNumberFormat="1" applyFont="1" applyAlignment="1">
      <alignment vertical="center" wrapText="1"/>
    </xf>
    <xf numFmtId="14" fontId="20" fillId="0" borderId="4" xfId="0" applyNumberFormat="1" applyFont="1" applyBorder="1" applyAlignment="1">
      <alignment horizontal="left" vertical="center"/>
    </xf>
    <xf numFmtId="0" fontId="31" fillId="0" borderId="0" xfId="0" applyFont="1" applyAlignment="1">
      <alignment vertical="center"/>
    </xf>
    <xf numFmtId="0" fontId="32" fillId="0" borderId="0" xfId="10" applyFont="1" applyFill="1" applyBorder="1"/>
    <xf numFmtId="0" fontId="33" fillId="0" borderId="0" xfId="0" applyFont="1" applyAlignment="1">
      <alignment vertical="center"/>
    </xf>
    <xf numFmtId="0" fontId="20" fillId="0" borderId="7" xfId="0" applyFont="1" applyBorder="1" applyAlignment="1">
      <alignment vertical="center" wrapText="1"/>
    </xf>
    <xf numFmtId="0" fontId="19" fillId="0" borderId="9" xfId="0" applyFont="1" applyBorder="1"/>
    <xf numFmtId="0" fontId="20" fillId="0" borderId="9" xfId="0" applyFont="1" applyBorder="1" applyAlignment="1">
      <alignment vertical="center"/>
    </xf>
    <xf numFmtId="9" fontId="20" fillId="0" borderId="9" xfId="1" applyFont="1" applyFill="1" applyBorder="1" applyAlignment="1" applyProtection="1">
      <alignment vertical="center"/>
    </xf>
    <xf numFmtId="3" fontId="23" fillId="0" borderId="9" xfId="0" applyNumberFormat="1" applyFont="1" applyBorder="1" applyAlignment="1">
      <alignment vertical="center"/>
    </xf>
    <xf numFmtId="0" fontId="20" fillId="0" borderId="1" xfId="0" applyFont="1" applyBorder="1" applyAlignment="1">
      <alignment vertical="center"/>
    </xf>
    <xf numFmtId="9" fontId="20" fillId="0" borderId="1" xfId="1" applyFont="1" applyFill="1" applyBorder="1" applyAlignment="1" applyProtection="1">
      <alignment vertical="center"/>
    </xf>
    <xf numFmtId="3" fontId="20" fillId="0" borderId="1" xfId="0" applyNumberFormat="1" applyFont="1" applyBorder="1" applyAlignment="1">
      <alignment vertical="center"/>
    </xf>
    <xf numFmtId="3" fontId="23" fillId="0" borderId="1" xfId="0" applyNumberFormat="1" applyFont="1" applyBorder="1" applyAlignment="1">
      <alignment vertical="center"/>
    </xf>
    <xf numFmtId="0" fontId="34" fillId="0" borderId="0" xfId="0" applyFont="1" applyAlignment="1">
      <alignment vertical="center"/>
    </xf>
    <xf numFmtId="0" fontId="6" fillId="0" borderId="0" xfId="11"/>
    <xf numFmtId="0" fontId="20" fillId="0" borderId="0" xfId="0" applyFont="1" applyAlignment="1">
      <alignment horizontal="left"/>
    </xf>
    <xf numFmtId="0" fontId="35" fillId="0" borderId="0" xfId="0" applyFont="1"/>
    <xf numFmtId="167" fontId="35" fillId="0" borderId="0" xfId="17" applyBorder="1">
      <alignment vertical="center"/>
    </xf>
    <xf numFmtId="0" fontId="36" fillId="0" borderId="0" xfId="9" applyNumberFormat="1" applyFont="1" applyAlignment="1"/>
    <xf numFmtId="0" fontId="37" fillId="0" borderId="0" xfId="15" applyFont="1"/>
    <xf numFmtId="0" fontId="38" fillId="0" borderId="0" xfId="9" applyNumberFormat="1" applyFont="1" applyAlignment="1"/>
    <xf numFmtId="167" fontId="40" fillId="0" borderId="0" xfId="17" applyFont="1" applyBorder="1">
      <alignment vertical="center"/>
    </xf>
    <xf numFmtId="167" fontId="35" fillId="0" borderId="4" xfId="17">
      <alignment vertical="center"/>
    </xf>
    <xf numFmtId="167" fontId="18" fillId="0" borderId="4" xfId="17" applyFont="1">
      <alignment vertical="center"/>
    </xf>
    <xf numFmtId="0" fontId="18" fillId="0" borderId="4" xfId="0" applyFont="1" applyBorder="1" applyAlignment="1">
      <alignment horizontal="left" vertical="top" indent="1"/>
    </xf>
    <xf numFmtId="168" fontId="18" fillId="0" borderId="4" xfId="1" applyNumberFormat="1" applyFont="1" applyFill="1" applyBorder="1" applyAlignment="1" applyProtection="1">
      <alignment vertical="top"/>
    </xf>
    <xf numFmtId="3" fontId="18" fillId="0" borderId="4" xfId="0" applyNumberFormat="1" applyFont="1" applyBorder="1"/>
    <xf numFmtId="49" fontId="18" fillId="0" borderId="4" xfId="0" applyNumberFormat="1" applyFont="1" applyBorder="1" applyAlignment="1">
      <alignment horizontal="left" vertical="top" indent="1"/>
    </xf>
    <xf numFmtId="49" fontId="18" fillId="0" borderId="4" xfId="11" applyNumberFormat="1" applyFont="1" applyBorder="1" applyAlignment="1">
      <alignment horizontal="left" vertical="top" indent="1"/>
    </xf>
    <xf numFmtId="3" fontId="18" fillId="0" borderId="6" xfId="11" applyNumberFormat="1" applyFont="1" applyBorder="1" applyAlignment="1">
      <alignment vertical="top"/>
    </xf>
    <xf numFmtId="3" fontId="18" fillId="0" borderId="6" xfId="0" applyNumberFormat="1" applyFont="1" applyBorder="1"/>
    <xf numFmtId="0" fontId="18" fillId="0" borderId="2" xfId="11" applyFont="1" applyBorder="1" applyAlignment="1">
      <alignment horizontal="left" vertical="top"/>
    </xf>
    <xf numFmtId="0" fontId="18" fillId="0" borderId="2" xfId="11" applyFont="1" applyBorder="1" applyAlignment="1">
      <alignment vertical="top"/>
    </xf>
    <xf numFmtId="168" fontId="18" fillId="0" borderId="2" xfId="1" applyNumberFormat="1" applyFont="1" applyFill="1" applyBorder="1" applyAlignment="1" applyProtection="1">
      <alignment vertical="top"/>
    </xf>
    <xf numFmtId="3" fontId="18" fillId="0" borderId="4" xfId="11" applyNumberFormat="1" applyFont="1" applyBorder="1" applyAlignment="1">
      <alignment vertical="top"/>
    </xf>
    <xf numFmtId="0" fontId="18" fillId="0" borderId="4" xfId="0" applyFont="1" applyBorder="1" applyAlignment="1">
      <alignment vertical="top"/>
    </xf>
    <xf numFmtId="0" fontId="18" fillId="0" borderId="4" xfId="0" applyFont="1" applyBorder="1" applyAlignment="1">
      <alignment horizontal="left" vertical="top"/>
    </xf>
    <xf numFmtId="0" fontId="18" fillId="0" borderId="4" xfId="11" applyFont="1" applyBorder="1" applyAlignment="1">
      <alignment horizontal="left" vertical="top"/>
    </xf>
    <xf numFmtId="168" fontId="18" fillId="0" borderId="4" xfId="1" applyNumberFormat="1" applyFont="1" applyFill="1" applyBorder="1" applyAlignment="1" applyProtection="1">
      <alignment horizontal="right" vertical="top"/>
    </xf>
    <xf numFmtId="0" fontId="18" fillId="0" borderId="4" xfId="11" applyFont="1" applyBorder="1" applyAlignment="1">
      <alignment vertical="top"/>
    </xf>
    <xf numFmtId="49" fontId="42" fillId="5" borderId="3" xfId="0" applyNumberFormat="1" applyFont="1" applyFill="1" applyBorder="1" applyAlignment="1">
      <alignment horizontal="left" vertical="top"/>
    </xf>
    <xf numFmtId="0" fontId="42" fillId="0" borderId="3" xfId="0" applyFont="1" applyBorder="1" applyAlignment="1">
      <alignment vertical="top"/>
    </xf>
    <xf numFmtId="168" fontId="40" fillId="0" borderId="3" xfId="1" applyNumberFormat="1" applyFont="1" applyFill="1" applyBorder="1" applyAlignment="1" applyProtection="1">
      <alignment horizontal="right" vertical="top"/>
    </xf>
    <xf numFmtId="3" fontId="40" fillId="0" borderId="3" xfId="0" applyNumberFormat="1" applyFont="1" applyBorder="1"/>
    <xf numFmtId="0" fontId="18" fillId="0" borderId="1" xfId="11" applyFont="1" applyBorder="1" applyAlignment="1">
      <alignment horizontal="left"/>
    </xf>
    <xf numFmtId="0" fontId="18" fillId="0" borderId="1" xfId="11" applyFont="1" applyBorder="1"/>
    <xf numFmtId="9" fontId="18" fillId="0" borderId="1" xfId="1" applyFont="1" applyBorder="1" applyProtection="1"/>
    <xf numFmtId="0" fontId="18" fillId="0" borderId="1" xfId="11" applyFont="1" applyBorder="1" applyAlignment="1">
      <alignment wrapText="1"/>
    </xf>
    <xf numFmtId="49" fontId="42" fillId="3" borderId="3" xfId="0" applyNumberFormat="1" applyFont="1" applyFill="1" applyBorder="1" applyAlignment="1">
      <alignment horizontal="left" vertical="top"/>
    </xf>
    <xf numFmtId="0" fontId="18" fillId="0" borderId="6" xfId="0" applyFont="1" applyBorder="1" applyAlignment="1">
      <alignment horizontal="left" vertical="top" indent="1"/>
    </xf>
    <xf numFmtId="0" fontId="18" fillId="0" borderId="6" xfId="0" applyFont="1" applyBorder="1" applyAlignment="1">
      <alignment horizontal="left" vertical="top"/>
    </xf>
    <xf numFmtId="168" fontId="18" fillId="0" borderId="6" xfId="1" applyNumberFormat="1" applyFont="1" applyFill="1" applyBorder="1" applyAlignment="1" applyProtection="1">
      <alignment vertical="top"/>
    </xf>
    <xf numFmtId="0" fontId="42" fillId="6" borderId="3" xfId="0" applyFont="1" applyFill="1" applyBorder="1" applyAlignment="1">
      <alignment horizontal="left" vertical="top"/>
    </xf>
    <xf numFmtId="49" fontId="18" fillId="0" borderId="6" xfId="0" applyNumberFormat="1" applyFont="1" applyBorder="1" applyAlignment="1">
      <alignment horizontal="left" vertical="top" indent="1"/>
    </xf>
    <xf numFmtId="0" fontId="18" fillId="0" borderId="6" xfId="0" applyFont="1" applyBorder="1" applyAlignment="1">
      <alignment vertical="top"/>
    </xf>
    <xf numFmtId="49" fontId="42" fillId="4" borderId="3" xfId="0" applyNumberFormat="1" applyFont="1" applyFill="1" applyBorder="1" applyAlignment="1">
      <alignment horizontal="left" vertical="top"/>
    </xf>
    <xf numFmtId="49" fontId="18" fillId="0" borderId="6" xfId="11" applyNumberFormat="1" applyFont="1" applyBorder="1" applyAlignment="1">
      <alignment horizontal="left" vertical="top" indent="1"/>
    </xf>
    <xf numFmtId="0" fontId="18" fillId="0" borderId="6" xfId="11" applyFont="1" applyBorder="1" applyAlignment="1">
      <alignment vertical="top"/>
    </xf>
    <xf numFmtId="168" fontId="18" fillId="0" borderId="6" xfId="1" applyNumberFormat="1" applyFont="1" applyFill="1" applyBorder="1" applyAlignment="1" applyProtection="1">
      <alignment horizontal="right" vertical="top"/>
    </xf>
    <xf numFmtId="0" fontId="42" fillId="7" borderId="3" xfId="0" applyFont="1" applyFill="1" applyBorder="1" applyAlignment="1">
      <alignment horizontal="left" vertical="top"/>
    </xf>
    <xf numFmtId="0" fontId="42" fillId="8" borderId="3" xfId="0" applyFont="1" applyFill="1" applyBorder="1" applyAlignment="1">
      <alignment horizontal="left" vertical="top"/>
    </xf>
    <xf numFmtId="0" fontId="42" fillId="9" borderId="3" xfId="0" applyFont="1" applyFill="1" applyBorder="1" applyAlignment="1">
      <alignment horizontal="left" vertical="top"/>
    </xf>
    <xf numFmtId="0" fontId="18" fillId="0" borderId="6" xfId="11" applyFont="1" applyBorder="1" applyAlignment="1">
      <alignment horizontal="left" vertical="top"/>
    </xf>
    <xf numFmtId="0" fontId="18" fillId="0" borderId="0" xfId="11" applyFont="1" applyAlignment="1">
      <alignment vertical="top"/>
    </xf>
    <xf numFmtId="10" fontId="18" fillId="0" borderId="0" xfId="1" applyNumberFormat="1" applyFont="1" applyBorder="1" applyProtection="1"/>
    <xf numFmtId="0" fontId="35" fillId="0" borderId="2" xfId="11" applyFont="1" applyBorder="1" applyAlignment="1">
      <alignment horizontal="left" vertical="top"/>
    </xf>
    <xf numFmtId="0" fontId="35" fillId="0" borderId="2" xfId="11" applyFont="1" applyBorder="1" applyAlignment="1">
      <alignment vertical="top"/>
    </xf>
    <xf numFmtId="168" fontId="35" fillId="0" borderId="2" xfId="1" applyNumberFormat="1" applyFont="1" applyFill="1" applyBorder="1" applyAlignment="1" applyProtection="1">
      <alignment vertical="top"/>
    </xf>
    <xf numFmtId="170" fontId="40" fillId="0" borderId="2" xfId="2" applyNumberFormat="1" applyFont="1" applyFill="1" applyBorder="1" applyAlignment="1" applyProtection="1">
      <alignment horizontal="right" vertical="top"/>
    </xf>
    <xf numFmtId="9" fontId="18" fillId="0" borderId="0" xfId="1" applyFont="1" applyFill="1" applyAlignment="1" applyProtection="1">
      <alignment horizontal="right" vertical="top"/>
    </xf>
    <xf numFmtId="10" fontId="18" fillId="0" borderId="0" xfId="1" applyNumberFormat="1" applyFont="1" applyFill="1" applyAlignment="1">
      <alignment vertical="top"/>
    </xf>
    <xf numFmtId="0" fontId="37" fillId="0" borderId="0" xfId="3" applyFont="1" applyProtection="1">
      <protection locked="0"/>
    </xf>
    <xf numFmtId="165" fontId="44" fillId="0" borderId="0" xfId="3" applyNumberFormat="1" applyFont="1" applyAlignment="1" applyProtection="1">
      <alignment wrapText="1"/>
      <protection locked="0"/>
    </xf>
    <xf numFmtId="0" fontId="37" fillId="0" borderId="0" xfId="3" applyFont="1" applyAlignment="1" applyProtection="1">
      <alignment horizontal="right"/>
      <protection locked="0"/>
    </xf>
    <xf numFmtId="0" fontId="39" fillId="0" borderId="0" xfId="3" applyFont="1" applyProtection="1">
      <protection locked="0"/>
    </xf>
    <xf numFmtId="0" fontId="45" fillId="0" borderId="0" xfId="3" applyFont="1" applyProtection="1">
      <protection locked="0"/>
    </xf>
    <xf numFmtId="0" fontId="46" fillId="0" borderId="0" xfId="3" applyFont="1" applyProtection="1">
      <protection locked="0"/>
    </xf>
    <xf numFmtId="0" fontId="44" fillId="0" borderId="0" xfId="3" applyFont="1" applyProtection="1">
      <protection locked="0"/>
    </xf>
    <xf numFmtId="165" fontId="37" fillId="0" borderId="0" xfId="3" applyNumberFormat="1" applyFont="1" applyProtection="1">
      <protection locked="0"/>
    </xf>
    <xf numFmtId="0" fontId="37" fillId="0" borderId="1" xfId="3" applyFont="1" applyBorder="1" applyProtection="1">
      <protection locked="0"/>
    </xf>
    <xf numFmtId="0" fontId="42" fillId="0" borderId="0" xfId="3" applyFont="1" applyProtection="1">
      <protection locked="0"/>
    </xf>
    <xf numFmtId="0" fontId="18" fillId="0" borderId="0" xfId="3" applyFont="1" applyProtection="1">
      <protection locked="0"/>
    </xf>
    <xf numFmtId="165" fontId="18" fillId="0" borderId="0" xfId="3" applyNumberFormat="1" applyFont="1" applyProtection="1">
      <protection locked="0"/>
    </xf>
    <xf numFmtId="9" fontId="50" fillId="0" borderId="0" xfId="1" applyFont="1" applyBorder="1" applyProtection="1">
      <protection locked="0"/>
    </xf>
    <xf numFmtId="0" fontId="51" fillId="0" borderId="0" xfId="3" applyFont="1" applyProtection="1">
      <protection locked="0"/>
    </xf>
    <xf numFmtId="0" fontId="26" fillId="0" borderId="0" xfId="3" applyFont="1" applyProtection="1">
      <protection locked="0"/>
    </xf>
    <xf numFmtId="0" fontId="18" fillId="0" borderId="6" xfId="3" applyFont="1" applyBorder="1" applyAlignment="1" applyProtection="1">
      <alignment horizontal="right"/>
      <protection locked="0"/>
    </xf>
    <xf numFmtId="165" fontId="18" fillId="0" borderId="1" xfId="3" applyNumberFormat="1" applyFont="1" applyBorder="1" applyProtection="1">
      <protection locked="0"/>
    </xf>
    <xf numFmtId="0" fontId="42" fillId="0" borderId="2" xfId="3" applyFont="1" applyBorder="1" applyProtection="1">
      <protection locked="0"/>
    </xf>
    <xf numFmtId="168" fontId="49" fillId="0" borderId="2" xfId="1" applyNumberFormat="1" applyFont="1" applyBorder="1" applyProtection="1">
      <protection locked="0"/>
    </xf>
    <xf numFmtId="9" fontId="50" fillId="0" borderId="2" xfId="1" applyFont="1" applyBorder="1" applyProtection="1">
      <protection locked="0"/>
    </xf>
    <xf numFmtId="0" fontId="35" fillId="0" borderId="6" xfId="3" applyFont="1" applyBorder="1" applyAlignment="1" applyProtection="1">
      <alignment horizontal="right"/>
      <protection locked="0"/>
    </xf>
    <xf numFmtId="9" fontId="47" fillId="0" borderId="0" xfId="1" applyFont="1" applyBorder="1" applyProtection="1">
      <protection locked="0"/>
    </xf>
    <xf numFmtId="9" fontId="47" fillId="0" borderId="1" xfId="1" applyFont="1" applyBorder="1" applyProtection="1">
      <protection locked="0"/>
    </xf>
    <xf numFmtId="9" fontId="47" fillId="0" borderId="2" xfId="1" applyFont="1" applyBorder="1" applyProtection="1">
      <protection locked="0"/>
    </xf>
    <xf numFmtId="165" fontId="35" fillId="0" borderId="0" xfId="3" applyNumberFormat="1" applyFont="1" applyProtection="1">
      <protection locked="0"/>
    </xf>
    <xf numFmtId="165" fontId="48" fillId="0" borderId="0" xfId="3" applyNumberFormat="1" applyFont="1" applyProtection="1">
      <protection locked="0"/>
    </xf>
    <xf numFmtId="168" fontId="49" fillId="0" borderId="1" xfId="1" applyNumberFormat="1" applyFont="1" applyBorder="1" applyProtection="1">
      <protection locked="0"/>
    </xf>
    <xf numFmtId="0" fontId="37" fillId="0" borderId="2" xfId="3" applyFont="1" applyBorder="1" applyProtection="1">
      <protection locked="0"/>
    </xf>
    <xf numFmtId="0" fontId="37" fillId="0" borderId="14" xfId="3" applyFont="1" applyBorder="1" applyProtection="1">
      <protection locked="0"/>
    </xf>
    <xf numFmtId="9" fontId="50" fillId="0" borderId="14" xfId="1" applyFont="1" applyBorder="1" applyProtection="1">
      <protection locked="0"/>
    </xf>
    <xf numFmtId="9" fontId="47" fillId="0" borderId="14" xfId="1" applyFont="1" applyBorder="1" applyProtection="1">
      <protection locked="0"/>
    </xf>
    <xf numFmtId="0" fontId="37" fillId="0" borderId="15" xfId="3" applyFont="1" applyBorder="1" applyProtection="1">
      <protection locked="0"/>
    </xf>
    <xf numFmtId="168" fontId="49" fillId="0" borderId="15" xfId="1" applyNumberFormat="1" applyFont="1" applyBorder="1" applyProtection="1">
      <protection locked="0"/>
    </xf>
    <xf numFmtId="9" fontId="50" fillId="0" borderId="7" xfId="1" applyFont="1" applyBorder="1" applyProtection="1">
      <protection locked="0"/>
    </xf>
    <xf numFmtId="9" fontId="47" fillId="0" borderId="7" xfId="1" applyFont="1" applyBorder="1" applyProtection="1">
      <protection locked="0"/>
    </xf>
    <xf numFmtId="9" fontId="50" fillId="0" borderId="4" xfId="1" applyFont="1" applyBorder="1" applyProtection="1">
      <protection locked="0"/>
    </xf>
    <xf numFmtId="9" fontId="47" fillId="0" borderId="4" xfId="1" applyFont="1" applyBorder="1" applyProtection="1">
      <protection locked="0"/>
    </xf>
    <xf numFmtId="9" fontId="50" fillId="0" borderId="6" xfId="1" applyFont="1" applyBorder="1" applyProtection="1">
      <protection locked="0"/>
    </xf>
    <xf numFmtId="9" fontId="47" fillId="0" borderId="6" xfId="1" applyFont="1" applyBorder="1" applyProtection="1">
      <protection locked="0"/>
    </xf>
    <xf numFmtId="0" fontId="37" fillId="0" borderId="7" xfId="3" applyFont="1" applyBorder="1" applyProtection="1">
      <protection locked="0"/>
    </xf>
    <xf numFmtId="0" fontId="37" fillId="0" borderId="4" xfId="3" applyFont="1" applyBorder="1" applyProtection="1">
      <protection locked="0"/>
    </xf>
    <xf numFmtId="0" fontId="37" fillId="0" borderId="6" xfId="3" applyFont="1" applyBorder="1" applyProtection="1">
      <protection locked="0"/>
    </xf>
    <xf numFmtId="165" fontId="18" fillId="0" borderId="2" xfId="3" applyNumberFormat="1" applyFont="1" applyBorder="1" applyProtection="1">
      <protection locked="0"/>
    </xf>
    <xf numFmtId="0" fontId="48" fillId="0" borderId="2" xfId="3" applyFont="1" applyBorder="1" applyProtection="1">
      <protection locked="0"/>
    </xf>
    <xf numFmtId="165" fontId="21" fillId="0" borderId="2" xfId="3" applyNumberFormat="1" applyFont="1" applyBorder="1" applyProtection="1">
      <protection locked="0"/>
    </xf>
    <xf numFmtId="0" fontId="21" fillId="0" borderId="2" xfId="3" applyFont="1" applyBorder="1" applyProtection="1">
      <protection locked="0"/>
    </xf>
    <xf numFmtId="0" fontId="18" fillId="0" borderId="7" xfId="3" applyFont="1" applyBorder="1" applyProtection="1">
      <protection locked="0"/>
    </xf>
    <xf numFmtId="0" fontId="18" fillId="0" borderId="4" xfId="3" applyFont="1" applyBorder="1" applyProtection="1">
      <protection locked="0"/>
    </xf>
    <xf numFmtId="0" fontId="37" fillId="0" borderId="3" xfId="3" applyFont="1" applyBorder="1" applyProtection="1">
      <protection locked="0"/>
    </xf>
    <xf numFmtId="0" fontId="37" fillId="0" borderId="8" xfId="3" applyFont="1" applyBorder="1" applyProtection="1">
      <protection locked="0"/>
    </xf>
    <xf numFmtId="0" fontId="37" fillId="0" borderId="8" xfId="3" applyFont="1" applyBorder="1" applyAlignment="1" applyProtection="1">
      <alignment horizontal="center" vertical="top" wrapText="1"/>
      <protection locked="0"/>
    </xf>
    <xf numFmtId="0" fontId="18" fillId="0" borderId="6" xfId="3" applyFont="1" applyBorder="1" applyProtection="1">
      <protection locked="0"/>
    </xf>
    <xf numFmtId="0" fontId="18" fillId="0" borderId="1" xfId="3" applyFont="1" applyBorder="1" applyAlignment="1" applyProtection="1">
      <alignment horizontal="right"/>
      <protection locked="0"/>
    </xf>
    <xf numFmtId="0" fontId="35" fillId="0" borderId="1" xfId="3" applyFont="1" applyBorder="1" applyAlignment="1" applyProtection="1">
      <alignment horizontal="right"/>
      <protection locked="0"/>
    </xf>
    <xf numFmtId="0" fontId="53" fillId="0" borderId="0" xfId="9" applyNumberFormat="1" applyFont="1" applyAlignment="1"/>
    <xf numFmtId="0" fontId="23" fillId="0" borderId="1" xfId="0" applyFont="1" applyBorder="1" applyAlignment="1">
      <alignment vertical="center"/>
    </xf>
    <xf numFmtId="0" fontId="19" fillId="0" borderId="1" xfId="0" applyFont="1" applyBorder="1"/>
    <xf numFmtId="0" fontId="39" fillId="0" borderId="7" xfId="15" applyFont="1" applyBorder="1"/>
    <xf numFmtId="0" fontId="38" fillId="0" borderId="7" xfId="9" applyNumberFormat="1" applyFont="1" applyBorder="1" applyAlignment="1">
      <alignment horizontal="left" vertical="center"/>
    </xf>
    <xf numFmtId="0" fontId="38" fillId="0" borderId="7" xfId="9" applyNumberFormat="1" applyFont="1" applyBorder="1" applyAlignment="1"/>
    <xf numFmtId="0" fontId="39" fillId="0" borderId="4" xfId="15" applyFont="1" applyBorder="1"/>
    <xf numFmtId="0" fontId="38" fillId="0" borderId="4" xfId="9" applyNumberFormat="1" applyFont="1" applyBorder="1" applyAlignment="1">
      <alignment horizontal="left" vertical="center"/>
    </xf>
    <xf numFmtId="0" fontId="38" fillId="0" borderId="4" xfId="9" applyNumberFormat="1" applyFont="1" applyBorder="1" applyAlignment="1"/>
    <xf numFmtId="0" fontId="39" fillId="0" borderId="6" xfId="15" applyFont="1" applyBorder="1"/>
    <xf numFmtId="0" fontId="38" fillId="0" borderId="6" xfId="9" applyNumberFormat="1" applyFont="1" applyBorder="1" applyAlignment="1">
      <alignment horizontal="left" vertical="center"/>
    </xf>
    <xf numFmtId="0" fontId="38" fillId="0" borderId="6" xfId="9" applyNumberFormat="1" applyFont="1" applyBorder="1" applyAlignment="1"/>
    <xf numFmtId="167" fontId="18" fillId="0" borderId="3" xfId="17" applyFont="1" applyBorder="1">
      <alignment vertical="center"/>
    </xf>
    <xf numFmtId="167" fontId="35" fillId="0" borderId="6" xfId="17" applyBorder="1">
      <alignment vertical="center"/>
    </xf>
    <xf numFmtId="167" fontId="35" fillId="0" borderId="3" xfId="17" applyBorder="1">
      <alignment vertical="center"/>
    </xf>
    <xf numFmtId="0" fontId="36" fillId="0" borderId="7" xfId="9" applyNumberFormat="1" applyFont="1" applyBorder="1" applyAlignment="1">
      <alignment horizontal="left" vertical="center"/>
    </xf>
    <xf numFmtId="0" fontId="36" fillId="0" borderId="4" xfId="9" applyNumberFormat="1" applyFont="1" applyBorder="1" applyAlignment="1">
      <alignment horizontal="left" vertical="center"/>
    </xf>
    <xf numFmtId="0" fontId="36" fillId="0" borderId="6" xfId="9" applyNumberFormat="1" applyFont="1" applyBorder="1" applyAlignment="1">
      <alignment horizontal="left" vertical="center"/>
    </xf>
    <xf numFmtId="167" fontId="18" fillId="0" borderId="0" xfId="17" applyFont="1" applyBorder="1">
      <alignment vertical="center"/>
    </xf>
    <xf numFmtId="0" fontId="52" fillId="11" borderId="0" xfId="0" applyFont="1" applyFill="1" applyAlignment="1">
      <alignment vertical="center"/>
    </xf>
    <xf numFmtId="0" fontId="35" fillId="0" borderId="7" xfId="0" applyFont="1" applyBorder="1"/>
    <xf numFmtId="0" fontId="35" fillId="0" borderId="4" xfId="0" applyFont="1" applyBorder="1"/>
    <xf numFmtId="167" fontId="35" fillId="0" borderId="7" xfId="17" applyBorder="1">
      <alignment vertical="center"/>
    </xf>
    <xf numFmtId="0" fontId="52" fillId="0" borderId="0" xfId="0" applyFont="1" applyAlignment="1">
      <alignment vertical="center"/>
    </xf>
    <xf numFmtId="0" fontId="52" fillId="0" borderId="1" xfId="0" applyFont="1" applyBorder="1" applyAlignment="1">
      <alignment vertical="center"/>
    </xf>
    <xf numFmtId="0" fontId="52" fillId="0" borderId="13" xfId="0" applyFont="1" applyBorder="1" applyAlignment="1">
      <alignment vertical="center"/>
    </xf>
    <xf numFmtId="0" fontId="43" fillId="0" borderId="1" xfId="11" applyFont="1" applyBorder="1" applyAlignment="1">
      <alignment vertical="center"/>
    </xf>
    <xf numFmtId="9" fontId="20" fillId="0" borderId="1" xfId="1" applyFont="1" applyFill="1" applyBorder="1" applyAlignment="1" applyProtection="1">
      <alignment vertical="top"/>
    </xf>
    <xf numFmtId="0" fontId="20" fillId="0" borderId="1" xfId="11" applyFont="1" applyBorder="1" applyAlignment="1">
      <alignment vertical="top"/>
    </xf>
    <xf numFmtId="0" fontId="18" fillId="0" borderId="1" xfId="11" applyFont="1" applyBorder="1" applyAlignment="1">
      <alignment vertical="top"/>
    </xf>
    <xf numFmtId="0" fontId="14" fillId="0" borderId="0" xfId="11" applyFont="1" applyAlignment="1">
      <alignment vertical="center"/>
    </xf>
    <xf numFmtId="0" fontId="35" fillId="0" borderId="0" xfId="11" applyFont="1" applyAlignment="1">
      <alignment vertical="center"/>
    </xf>
    <xf numFmtId="0" fontId="18" fillId="0" borderId="0" xfId="11" applyFont="1" applyAlignment="1">
      <alignment wrapText="1"/>
    </xf>
    <xf numFmtId="0" fontId="30" fillId="0" borderId="13" xfId="11" applyFont="1" applyBorder="1"/>
    <xf numFmtId="9" fontId="20" fillId="0" borderId="13" xfId="1" applyFont="1" applyBorder="1" applyProtection="1"/>
    <xf numFmtId="0" fontId="18" fillId="0" borderId="13" xfId="11" applyFont="1" applyBorder="1"/>
    <xf numFmtId="0" fontId="18" fillId="0" borderId="0" xfId="0" applyFont="1" applyAlignment="1">
      <alignment horizontal="left" vertical="center"/>
    </xf>
    <xf numFmtId="3" fontId="18" fillId="0" borderId="4" xfId="0" applyNumberFormat="1" applyFont="1" applyBorder="1" applyAlignment="1">
      <alignment horizontal="right" vertical="center"/>
    </xf>
    <xf numFmtId="0" fontId="55" fillId="0" borderId="0" xfId="0" applyFont="1" applyAlignment="1">
      <alignment vertical="center"/>
    </xf>
    <xf numFmtId="0" fontId="57" fillId="0" borderId="0" xfId="11" applyFont="1"/>
    <xf numFmtId="0" fontId="18" fillId="0" borderId="0" xfId="0" applyFont="1" applyAlignment="1">
      <alignment vertical="center" wrapText="1"/>
    </xf>
    <xf numFmtId="0" fontId="143" fillId="0" borderId="0" xfId="7" applyAlignment="1">
      <alignment vertical="center"/>
    </xf>
    <xf numFmtId="0" fontId="32" fillId="0" borderId="1" xfId="21"/>
    <xf numFmtId="0" fontId="32" fillId="0" borderId="1" xfId="21" applyAlignment="1">
      <alignment vertical="center"/>
    </xf>
    <xf numFmtId="0" fontId="32" fillId="0" borderId="1" xfId="21" applyAlignment="1">
      <alignment vertical="center" wrapText="1"/>
    </xf>
    <xf numFmtId="0" fontId="61" fillId="0" borderId="3" xfId="22" applyFill="1" applyBorder="1" applyAlignment="1">
      <alignment vertical="center"/>
    </xf>
    <xf numFmtId="0" fontId="61" fillId="0" borderId="7" xfId="22" applyFill="1" applyBorder="1" applyAlignment="1">
      <alignment vertical="center"/>
    </xf>
    <xf numFmtId="0" fontId="143" fillId="0" borderId="0" xfId="7" applyAlignment="1">
      <alignment horizontal="left"/>
    </xf>
    <xf numFmtId="0" fontId="25" fillId="0" borderId="0" xfId="0" applyFont="1"/>
    <xf numFmtId="0" fontId="25" fillId="0" borderId="0" xfId="0" applyFont="1" applyAlignment="1">
      <alignment vertical="center" wrapText="1"/>
    </xf>
    <xf numFmtId="0" fontId="25" fillId="0" borderId="0" xfId="0" applyFont="1" applyAlignment="1">
      <alignment horizontal="center"/>
    </xf>
    <xf numFmtId="9" fontId="6" fillId="0" borderId="0" xfId="11" applyNumberFormat="1"/>
    <xf numFmtId="49" fontId="6" fillId="0" borderId="0" xfId="11" applyNumberFormat="1"/>
    <xf numFmtId="0" fontId="64" fillId="0" borderId="7" xfId="0" applyFont="1" applyBorder="1" applyAlignment="1">
      <alignment horizontal="left" vertical="center" wrapText="1"/>
    </xf>
    <xf numFmtId="0" fontId="64" fillId="0" borderId="4" xfId="0" applyFont="1" applyBorder="1" applyAlignment="1">
      <alignment horizontal="left" vertical="center" wrapText="1"/>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3" fontId="67" fillId="0" borderId="0" xfId="0" applyNumberFormat="1" applyFont="1" applyAlignment="1">
      <alignment vertical="center"/>
    </xf>
    <xf numFmtId="0" fontId="36" fillId="0" borderId="0" xfId="9" applyNumberFormat="1" applyFont="1" applyAlignment="1">
      <alignment horizontal="right"/>
    </xf>
    <xf numFmtId="3" fontId="60" fillId="0" borderId="4" xfId="0" applyNumberFormat="1" applyFont="1" applyBorder="1" applyAlignment="1">
      <alignment horizontal="right" vertical="center"/>
    </xf>
    <xf numFmtId="0" fontId="36" fillId="0" borderId="7" xfId="9" applyNumberFormat="1" applyFont="1" applyBorder="1" applyAlignment="1">
      <alignment horizontal="right"/>
    </xf>
    <xf numFmtId="0" fontId="36" fillId="0" borderId="4" xfId="9" applyNumberFormat="1" applyFont="1" applyBorder="1" applyAlignment="1">
      <alignment horizontal="right"/>
    </xf>
    <xf numFmtId="0" fontId="36" fillId="0" borderId="6" xfId="9" applyNumberFormat="1" applyFont="1" applyBorder="1" applyAlignment="1">
      <alignment horizontal="right"/>
    </xf>
    <xf numFmtId="0" fontId="63" fillId="0" borderId="0" xfId="0" applyFont="1"/>
    <xf numFmtId="0" fontId="0" fillId="0" borderId="0" xfId="0" applyAlignment="1">
      <alignment horizontal="center"/>
    </xf>
    <xf numFmtId="0" fontId="32" fillId="0" borderId="1" xfId="21" applyAlignment="1">
      <alignment horizontal="center"/>
    </xf>
    <xf numFmtId="0" fontId="59" fillId="0" borderId="0" xfId="0" applyFont="1" applyAlignment="1">
      <alignment horizontal="center" vertical="center" wrapText="1"/>
    </xf>
    <xf numFmtId="0" fontId="25" fillId="0" borderId="4" xfId="0" applyFont="1" applyBorder="1" applyAlignment="1">
      <alignment vertical="center" wrapText="1"/>
    </xf>
    <xf numFmtId="0" fontId="25" fillId="0" borderId="4" xfId="0" applyFont="1" applyBorder="1" applyAlignment="1">
      <alignment horizontal="center" vertical="center" wrapText="1"/>
    </xf>
    <xf numFmtId="0" fontId="61" fillId="0" borderId="4" xfId="22" applyBorder="1" applyAlignment="1">
      <alignment vertical="center" wrapText="1"/>
    </xf>
    <xf numFmtId="0" fontId="61" fillId="0" borderId="4" xfId="22" applyBorder="1" applyAlignment="1">
      <alignment horizontal="center" vertical="center" wrapText="1"/>
    </xf>
    <xf numFmtId="0" fontId="61" fillId="0" borderId="3" xfId="22" applyBorder="1" applyAlignment="1">
      <alignment vertical="center" wrapText="1"/>
    </xf>
    <xf numFmtId="0" fontId="61" fillId="0" borderId="3" xfId="22" applyBorder="1" applyAlignment="1">
      <alignment horizontal="center" vertical="center" wrapText="1"/>
    </xf>
    <xf numFmtId="0" fontId="25" fillId="0" borderId="2" xfId="0" applyFont="1" applyBorder="1" applyAlignment="1">
      <alignment vertical="center" wrapText="1"/>
    </xf>
    <xf numFmtId="0" fontId="32" fillId="0" borderId="1" xfId="21" applyAlignment="1"/>
    <xf numFmtId="0" fontId="25" fillId="0" borderId="3" xfId="0" applyFont="1" applyBorder="1" applyAlignment="1">
      <alignment vertical="center" wrapText="1"/>
    </xf>
    <xf numFmtId="0" fontId="61" fillId="0" borderId="4" xfId="22" applyBorder="1" applyAlignment="1">
      <alignment vertical="center"/>
    </xf>
    <xf numFmtId="0" fontId="25" fillId="0" borderId="3" xfId="0" applyFont="1" applyBorder="1" applyAlignment="1">
      <alignment horizontal="center" vertical="center" wrapText="1"/>
    </xf>
    <xf numFmtId="0" fontId="25" fillId="0" borderId="18" xfId="0" applyFont="1" applyBorder="1" applyAlignment="1">
      <alignment vertical="center" wrapText="1"/>
    </xf>
    <xf numFmtId="0" fontId="64" fillId="0" borderId="18" xfId="0" applyFont="1" applyBorder="1" applyAlignment="1">
      <alignment horizontal="center" vertical="center" wrapText="1"/>
    </xf>
    <xf numFmtId="0" fontId="25" fillId="0" borderId="18" xfId="0" applyFont="1" applyBorder="1" applyAlignment="1">
      <alignment horizontal="center" vertical="center" wrapText="1"/>
    </xf>
    <xf numFmtId="0" fontId="64" fillId="0" borderId="18" xfId="0" applyFont="1" applyBorder="1" applyAlignment="1">
      <alignment vertical="center" wrapText="1"/>
    </xf>
    <xf numFmtId="0" fontId="61" fillId="0" borderId="19" xfId="22" applyBorder="1" applyAlignment="1">
      <alignment vertical="center" wrapText="1"/>
    </xf>
    <xf numFmtId="0" fontId="61" fillId="0" borderId="18" xfId="22" applyBorder="1" applyAlignment="1">
      <alignment vertical="center" wrapText="1"/>
    </xf>
    <xf numFmtId="0" fontId="61" fillId="0" borderId="18" xfId="22" applyBorder="1" applyAlignment="1"/>
    <xf numFmtId="0" fontId="17" fillId="0" borderId="4" xfId="0" applyFont="1" applyBorder="1" applyAlignment="1">
      <alignment vertical="center" wrapText="1"/>
    </xf>
    <xf numFmtId="0" fontId="64" fillId="0" borderId="4" xfId="0" applyFont="1" applyBorder="1" applyAlignment="1">
      <alignment horizontal="center" vertical="center" wrapText="1"/>
    </xf>
    <xf numFmtId="0" fontId="61" fillId="0" borderId="4" xfId="22" applyFill="1" applyBorder="1" applyAlignment="1">
      <alignment vertical="center" wrapText="1"/>
    </xf>
    <xf numFmtId="0" fontId="64" fillId="0" borderId="20" xfId="0" applyFont="1" applyBorder="1" applyAlignment="1">
      <alignment horizontal="left" vertical="center" wrapText="1"/>
    </xf>
    <xf numFmtId="0" fontId="64" fillId="0" borderId="18" xfId="0" applyFont="1" applyBorder="1" applyAlignment="1">
      <alignment horizontal="left" vertical="center" wrapText="1"/>
    </xf>
    <xf numFmtId="0" fontId="61" fillId="0" borderId="19" xfId="22" applyBorder="1" applyAlignment="1">
      <alignment horizontal="center" vertical="center" wrapText="1"/>
    </xf>
    <xf numFmtId="0" fontId="61" fillId="0" borderId="18" xfId="22" applyBorder="1" applyAlignment="1">
      <alignment horizontal="center" vertical="center" wrapText="1"/>
    </xf>
    <xf numFmtId="0" fontId="61" fillId="0" borderId="18" xfId="22" applyBorder="1" applyAlignment="1">
      <alignment horizontal="center"/>
    </xf>
    <xf numFmtId="0" fontId="66" fillId="0" borderId="4" xfId="0" applyFont="1" applyBorder="1" applyAlignment="1">
      <alignment horizontal="center" vertical="center" wrapText="1"/>
    </xf>
    <xf numFmtId="0" fontId="66" fillId="0" borderId="4" xfId="0" applyFont="1" applyBorder="1" applyAlignment="1">
      <alignment horizontal="center" vertical="center"/>
    </xf>
    <xf numFmtId="0" fontId="61" fillId="0" borderId="4" xfId="22" applyFill="1" applyBorder="1" applyAlignment="1">
      <alignment horizontal="center" vertical="center" wrapText="1"/>
    </xf>
    <xf numFmtId="0" fontId="64" fillId="0" borderId="7" xfId="0" applyFont="1" applyBorder="1" applyAlignment="1">
      <alignment horizontal="center" vertical="center" wrapText="1"/>
    </xf>
    <xf numFmtId="0" fontId="64" fillId="0" borderId="20" xfId="0" applyFont="1" applyBorder="1" applyAlignment="1">
      <alignment horizontal="center" vertical="center" wrapText="1"/>
    </xf>
    <xf numFmtId="0" fontId="35" fillId="0" borderId="6" xfId="0" applyFont="1" applyBorder="1"/>
    <xf numFmtId="0" fontId="18" fillId="0" borderId="4" xfId="0" applyFont="1" applyBorder="1" applyAlignment="1">
      <alignment horizontal="left" vertical="center"/>
    </xf>
    <xf numFmtId="49" fontId="18" fillId="0" borderId="1" xfId="11" applyNumberFormat="1" applyFont="1" applyBorder="1" applyAlignment="1">
      <alignment horizontal="left" vertical="top" indent="1"/>
    </xf>
    <xf numFmtId="0" fontId="18" fillId="0" borderId="1" xfId="11" applyFont="1" applyBorder="1" applyAlignment="1">
      <alignment horizontal="left" vertical="top"/>
    </xf>
    <xf numFmtId="168" fontId="18" fillId="0" borderId="1" xfId="1" applyNumberFormat="1" applyFont="1" applyFill="1" applyBorder="1" applyAlignment="1" applyProtection="1">
      <alignment vertical="top"/>
    </xf>
    <xf numFmtId="3" fontId="18" fillId="0" borderId="1" xfId="0" applyNumberFormat="1" applyFont="1" applyBorder="1"/>
    <xf numFmtId="3" fontId="59" fillId="0" borderId="13" xfId="0" applyNumberFormat="1" applyFont="1" applyBorder="1"/>
    <xf numFmtId="10" fontId="18" fillId="0" borderId="0" xfId="1" applyNumberFormat="1" applyFont="1" applyProtection="1"/>
    <xf numFmtId="0" fontId="64" fillId="0" borderId="18" xfId="0" applyFont="1" applyBorder="1" applyAlignment="1">
      <alignment horizontal="left" vertical="center" wrapText="1" indent="2"/>
    </xf>
    <xf numFmtId="0" fontId="32" fillId="0" borderId="1" xfId="21" applyAlignment="1">
      <alignment horizontal="center" vertical="center" wrapText="1"/>
    </xf>
    <xf numFmtId="0" fontId="32" fillId="0" borderId="2" xfId="21" applyBorder="1" applyAlignment="1">
      <alignment horizontal="center" vertical="center" wrapText="1"/>
    </xf>
    <xf numFmtId="167" fontId="18" fillId="0" borderId="8" xfId="17" applyFont="1" applyBorder="1">
      <alignment vertical="center"/>
    </xf>
    <xf numFmtId="0" fontId="35" fillId="0" borderId="8" xfId="0" applyFont="1" applyBorder="1"/>
    <xf numFmtId="167" fontId="35" fillId="0" borderId="8" xfId="17" applyBorder="1">
      <alignment vertical="center"/>
    </xf>
    <xf numFmtId="9" fontId="18" fillId="0" borderId="1" xfId="1" applyFont="1" applyBorder="1" applyAlignment="1" applyProtection="1">
      <alignment wrapText="1"/>
    </xf>
    <xf numFmtId="10" fontId="18" fillId="0" borderId="4" xfId="1" applyNumberFormat="1" applyFont="1" applyFill="1" applyBorder="1" applyAlignment="1" applyProtection="1">
      <alignment vertical="top"/>
    </xf>
    <xf numFmtId="3" fontId="14" fillId="0" borderId="0" xfId="11" applyNumberFormat="1" applyFont="1"/>
    <xf numFmtId="10" fontId="40" fillId="0" borderId="3" xfId="1" applyNumberFormat="1" applyFont="1" applyFill="1" applyBorder="1" applyAlignment="1" applyProtection="1">
      <alignment horizontal="right" vertical="top"/>
    </xf>
    <xf numFmtId="10" fontId="18" fillId="0" borderId="8" xfId="1" applyNumberFormat="1" applyFont="1" applyFill="1" applyBorder="1" applyAlignment="1" applyProtection="1">
      <alignment vertical="top"/>
    </xf>
    <xf numFmtId="10" fontId="40" fillId="0" borderId="7" xfId="1" applyNumberFormat="1" applyFont="1" applyFill="1" applyBorder="1" applyAlignment="1" applyProtection="1">
      <alignment horizontal="right" vertical="top"/>
    </xf>
    <xf numFmtId="168" fontId="40" fillId="0" borderId="7" xfId="1" applyNumberFormat="1" applyFont="1" applyFill="1" applyBorder="1" applyAlignment="1" applyProtection="1">
      <alignment horizontal="right" vertical="top"/>
    </xf>
    <xf numFmtId="167" fontId="18" fillId="0" borderId="13" xfId="17" applyFont="1" applyBorder="1">
      <alignment vertical="center"/>
    </xf>
    <xf numFmtId="0" fontId="35" fillId="0" borderId="13" xfId="0" applyFont="1" applyBorder="1"/>
    <xf numFmtId="167" fontId="35" fillId="0" borderId="13" xfId="17" applyBorder="1">
      <alignment vertical="center"/>
    </xf>
    <xf numFmtId="167" fontId="40" fillId="0" borderId="13" xfId="17" applyFont="1" applyBorder="1">
      <alignment vertical="center"/>
    </xf>
    <xf numFmtId="9" fontId="35" fillId="0" borderId="4" xfId="1" applyFont="1" applyFill="1" applyBorder="1" applyAlignment="1">
      <alignment vertical="center"/>
    </xf>
    <xf numFmtId="9" fontId="35" fillId="0" borderId="8" xfId="1" applyFont="1" applyFill="1" applyBorder="1" applyAlignment="1">
      <alignment vertical="center"/>
    </xf>
    <xf numFmtId="167" fontId="18" fillId="0" borderId="4" xfId="17" applyFont="1" applyAlignment="1">
      <alignment vertical="center" wrapText="1"/>
    </xf>
    <xf numFmtId="0" fontId="30" fillId="0" borderId="0" xfId="11" applyFont="1" applyAlignment="1">
      <alignment vertical="center"/>
    </xf>
    <xf numFmtId="9" fontId="20" fillId="0" borderId="0" xfId="1" applyFont="1" applyFill="1" applyProtection="1"/>
    <xf numFmtId="49" fontId="18" fillId="0" borderId="0" xfId="0" applyNumberFormat="1" applyFont="1" applyAlignment="1">
      <alignment horizontal="left" vertical="center"/>
    </xf>
    <xf numFmtId="0" fontId="18" fillId="0" borderId="0" xfId="0" applyFont="1" applyAlignment="1">
      <alignment horizontal="right"/>
    </xf>
    <xf numFmtId="14" fontId="18" fillId="0" borderId="0" xfId="0" applyNumberFormat="1" applyFont="1" applyAlignment="1">
      <alignment horizontal="right"/>
    </xf>
    <xf numFmtId="0" fontId="32" fillId="0" borderId="2" xfId="21" applyBorder="1" applyAlignment="1">
      <alignment vertical="center"/>
    </xf>
    <xf numFmtId="0" fontId="32" fillId="0" borderId="2" xfId="2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61" fillId="0" borderId="7" xfId="22" applyNumberFormat="1" applyFill="1" applyBorder="1" applyAlignment="1">
      <alignment vertical="center" wrapText="1"/>
    </xf>
    <xf numFmtId="0" fontId="25" fillId="0" borderId="0" xfId="0" applyFont="1" applyAlignment="1">
      <alignment wrapText="1"/>
    </xf>
    <xf numFmtId="0" fontId="78" fillId="0" borderId="0" xfId="0" applyFont="1" applyAlignment="1">
      <alignment vertical="center" wrapText="1"/>
    </xf>
    <xf numFmtId="0" fontId="64" fillId="0" borderId="0" xfId="0" applyFont="1" applyAlignment="1">
      <alignment vertical="center" wrapText="1"/>
    </xf>
    <xf numFmtId="0" fontId="64" fillId="0" borderId="0" xfId="0" applyFont="1" applyAlignment="1">
      <alignment horizontal="justify" vertical="center" wrapText="1"/>
    </xf>
    <xf numFmtId="0" fontId="64" fillId="0" borderId="7" xfId="0" applyFont="1" applyBorder="1" applyAlignment="1">
      <alignment vertical="center" wrapText="1"/>
    </xf>
    <xf numFmtId="0" fontId="25" fillId="0" borderId="7" xfId="0" applyFont="1" applyBorder="1"/>
    <xf numFmtId="0" fontId="64" fillId="0" borderId="4" xfId="0" applyFont="1" applyBorder="1" applyAlignment="1">
      <alignment vertical="center" wrapText="1"/>
    </xf>
    <xf numFmtId="0" fontId="25" fillId="0" borderId="4" xfId="0" applyFont="1" applyBorder="1"/>
    <xf numFmtId="0" fontId="25" fillId="0" borderId="4" xfId="0" applyFont="1" applyBorder="1" applyAlignment="1">
      <alignment vertical="top" wrapText="1"/>
    </xf>
    <xf numFmtId="0" fontId="78" fillId="0" borderId="4" xfId="0" applyFont="1" applyBorder="1" applyAlignment="1">
      <alignment vertical="center" wrapText="1"/>
    </xf>
    <xf numFmtId="0" fontId="64" fillId="0" borderId="4" xfId="0" applyFont="1" applyBorder="1" applyAlignment="1">
      <alignment horizontal="justify" vertical="center" wrapText="1"/>
    </xf>
    <xf numFmtId="0" fontId="25" fillId="0" borderId="4" xfId="0" applyFont="1" applyBorder="1" applyAlignment="1">
      <alignment wrapText="1"/>
    </xf>
    <xf numFmtId="0" fontId="19" fillId="0" borderId="0" xfId="0" applyFont="1" applyAlignment="1">
      <alignment wrapText="1"/>
    </xf>
    <xf numFmtId="0" fontId="143" fillId="0" borderId="0" xfId="7" applyAlignment="1">
      <alignment vertical="center" wrapText="1"/>
    </xf>
    <xf numFmtId="0" fontId="31" fillId="0" borderId="0" xfId="0" applyFont="1" applyAlignment="1">
      <alignment vertical="center" wrapText="1"/>
    </xf>
    <xf numFmtId="0" fontId="19" fillId="0" borderId="9" xfId="0" applyFont="1" applyBorder="1" applyAlignment="1">
      <alignment wrapText="1"/>
    </xf>
    <xf numFmtId="0" fontId="32" fillId="0" borderId="1" xfId="21" applyAlignment="1">
      <alignment wrapText="1"/>
    </xf>
    <xf numFmtId="0" fontId="32" fillId="0" borderId="0" xfId="10" applyFont="1" applyFill="1" applyBorder="1" applyAlignment="1">
      <alignment wrapText="1"/>
    </xf>
    <xf numFmtId="3" fontId="18" fillId="0" borderId="4" xfId="0" applyNumberFormat="1" applyFont="1" applyBorder="1" applyAlignment="1">
      <alignment horizontal="right" vertical="center" wrapText="1"/>
    </xf>
    <xf numFmtId="3" fontId="18" fillId="0" borderId="0" xfId="0" applyNumberFormat="1" applyFont="1" applyAlignment="1">
      <alignment vertical="center" wrapText="1"/>
    </xf>
    <xf numFmtId="3" fontId="18" fillId="0" borderId="1" xfId="0" applyNumberFormat="1" applyFont="1" applyBorder="1" applyAlignment="1">
      <alignment vertical="center" wrapText="1"/>
    </xf>
    <xf numFmtId="3" fontId="20" fillId="0" borderId="9" xfId="0" applyNumberFormat="1" applyFont="1" applyBorder="1" applyAlignment="1">
      <alignment vertical="center" wrapText="1"/>
    </xf>
    <xf numFmtId="3" fontId="28" fillId="0" borderId="1" xfId="0" applyNumberFormat="1" applyFont="1" applyBorder="1" applyAlignment="1">
      <alignment vertical="center" wrapText="1"/>
    </xf>
    <xf numFmtId="0" fontId="19" fillId="0" borderId="1" xfId="0" applyFont="1" applyBorder="1" applyAlignment="1">
      <alignment wrapText="1"/>
    </xf>
    <xf numFmtId="3" fontId="20" fillId="0" borderId="1" xfId="0" applyNumberFormat="1" applyFont="1" applyBorder="1" applyAlignment="1">
      <alignment vertical="center" wrapText="1"/>
    </xf>
    <xf numFmtId="0" fontId="20" fillId="0" borderId="0" xfId="11" applyFont="1" applyAlignment="1">
      <alignment wrapText="1"/>
    </xf>
    <xf numFmtId="0" fontId="20" fillId="0" borderId="13" xfId="11" applyFont="1" applyBorder="1" applyAlignment="1">
      <alignment wrapText="1"/>
    </xf>
    <xf numFmtId="0" fontId="25" fillId="0" borderId="6" xfId="0" applyFont="1" applyBorder="1" applyAlignment="1">
      <alignment vertical="center" wrapText="1"/>
    </xf>
    <xf numFmtId="0" fontId="25" fillId="0" borderId="6" xfId="0" applyFont="1" applyBorder="1" applyAlignment="1">
      <alignment horizontal="center" vertical="center" wrapText="1"/>
    </xf>
    <xf numFmtId="0" fontId="0" fillId="0" borderId="1" xfId="0" applyBorder="1"/>
    <xf numFmtId="0" fontId="0" fillId="0" borderId="13" xfId="0" applyBorder="1"/>
    <xf numFmtId="0" fontId="17" fillId="0" borderId="6" xfId="0" applyFont="1" applyBorder="1" applyAlignment="1">
      <alignment vertical="center" wrapText="1"/>
    </xf>
    <xf numFmtId="0" fontId="66" fillId="0" borderId="6" xfId="0" applyFont="1" applyBorder="1" applyAlignment="1">
      <alignment horizontal="center" vertical="center" wrapText="1"/>
    </xf>
    <xf numFmtId="0" fontId="64" fillId="0" borderId="6" xfId="0" applyFont="1" applyBorder="1" applyAlignment="1">
      <alignment horizontal="center" vertical="center" wrapText="1"/>
    </xf>
    <xf numFmtId="0" fontId="17" fillId="0" borderId="8" xfId="0" applyFont="1" applyBorder="1" applyAlignment="1">
      <alignment vertical="center" wrapText="1"/>
    </xf>
    <xf numFmtId="0" fontId="66" fillId="0" borderId="8" xfId="0" applyFont="1" applyBorder="1" applyAlignment="1">
      <alignment horizontal="center" vertical="center" wrapText="1"/>
    </xf>
    <xf numFmtId="0" fontId="64" fillId="0" borderId="8" xfId="0" applyFont="1" applyBorder="1" applyAlignment="1">
      <alignment horizontal="center" vertical="center" wrapText="1"/>
    </xf>
    <xf numFmtId="0" fontId="75" fillId="0" borderId="13" xfId="0" applyFont="1" applyBorder="1"/>
    <xf numFmtId="0" fontId="25" fillId="0" borderId="13" xfId="0" applyFont="1" applyBorder="1" applyAlignment="1">
      <alignment horizontal="center"/>
    </xf>
    <xf numFmtId="0" fontId="25" fillId="0" borderId="1" xfId="0" applyFont="1" applyBorder="1" applyAlignment="1">
      <alignment vertical="center" wrapText="1"/>
    </xf>
    <xf numFmtId="0" fontId="72" fillId="0" borderId="0" xfId="0" applyFont="1"/>
    <xf numFmtId="0" fontId="79" fillId="0" borderId="1" xfId="21" applyFont="1"/>
    <xf numFmtId="0" fontId="80" fillId="0" borderId="0" xfId="0" applyFont="1"/>
    <xf numFmtId="0" fontId="81" fillId="0" borderId="0" xfId="0" applyFont="1" applyAlignment="1">
      <alignment vertical="center"/>
    </xf>
    <xf numFmtId="0" fontId="25" fillId="0" borderId="4" xfId="0" applyFont="1" applyBorder="1" applyAlignment="1">
      <alignment horizontal="center" vertical="center"/>
    </xf>
    <xf numFmtId="0" fontId="78" fillId="0" borderId="4" xfId="0" applyFont="1" applyBorder="1" applyAlignment="1">
      <alignment horizontal="center" vertical="center" wrapText="1"/>
    </xf>
    <xf numFmtId="168" fontId="25" fillId="0" borderId="4" xfId="1" applyNumberFormat="1" applyFont="1" applyBorder="1" applyAlignment="1">
      <alignment vertical="center"/>
    </xf>
    <xf numFmtId="168" fontId="25" fillId="0" borderId="4" xfId="0" applyNumberFormat="1" applyFont="1" applyBorder="1" applyAlignment="1">
      <alignment vertical="center"/>
    </xf>
    <xf numFmtId="10" fontId="25" fillId="0" borderId="4" xfId="1" applyNumberFormat="1" applyFont="1" applyBorder="1" applyAlignment="1">
      <alignment vertical="center"/>
    </xf>
    <xf numFmtId="168" fontId="82" fillId="0" borderId="4" xfId="1" applyNumberFormat="1" applyFont="1" applyBorder="1" applyAlignment="1">
      <alignment vertical="center" wrapText="1"/>
    </xf>
    <xf numFmtId="168" fontId="82" fillId="0" borderId="4" xfId="0" applyNumberFormat="1" applyFont="1" applyBorder="1" applyAlignment="1">
      <alignment vertical="center"/>
    </xf>
    <xf numFmtId="2" fontId="25" fillId="0" borderId="0" xfId="0" applyNumberFormat="1" applyFont="1"/>
    <xf numFmtId="0" fontId="83" fillId="0" borderId="0" xfId="0" applyFont="1"/>
    <xf numFmtId="0" fontId="74" fillId="0" borderId="4" xfId="0" applyFont="1" applyBorder="1" applyAlignment="1">
      <alignment vertical="center"/>
    </xf>
    <xf numFmtId="0" fontId="74" fillId="0" borderId="4" xfId="0" applyFont="1" applyBorder="1" applyAlignment="1">
      <alignment horizontal="left" vertical="center"/>
    </xf>
    <xf numFmtId="0" fontId="25" fillId="0" borderId="0" xfId="11" applyFont="1"/>
    <xf numFmtId="9" fontId="25" fillId="0" borderId="0" xfId="1" applyFont="1"/>
    <xf numFmtId="0" fontId="25" fillId="0" borderId="0" xfId="11" applyFont="1" applyAlignment="1">
      <alignment wrapText="1"/>
    </xf>
    <xf numFmtId="0" fontId="25" fillId="0" borderId="7" xfId="0" applyFont="1" applyBorder="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5" fillId="0" borderId="4" xfId="0" applyFont="1" applyBorder="1" applyAlignment="1">
      <alignment vertical="center"/>
    </xf>
    <xf numFmtId="2" fontId="25" fillId="0" borderId="0" xfId="0" applyNumberFormat="1" applyFont="1" applyAlignment="1">
      <alignment wrapText="1"/>
    </xf>
    <xf numFmtId="3" fontId="25" fillId="0" borderId="7" xfId="0" applyNumberFormat="1" applyFont="1" applyBorder="1" applyAlignment="1">
      <alignment vertical="center"/>
    </xf>
    <xf numFmtId="3" fontId="25" fillId="0" borderId="4" xfId="0" applyNumberFormat="1" applyFont="1" applyBorder="1" applyAlignment="1">
      <alignment vertical="center"/>
    </xf>
    <xf numFmtId="0" fontId="50" fillId="0" borderId="3" xfId="0" applyFont="1" applyBorder="1" applyAlignment="1">
      <alignment vertical="center"/>
    </xf>
    <xf numFmtId="3" fontId="25" fillId="0" borderId="2" xfId="0" applyNumberFormat="1" applyFont="1" applyBorder="1"/>
    <xf numFmtId="3" fontId="83" fillId="0" borderId="2" xfId="11" applyNumberFormat="1" applyFont="1" applyBorder="1" applyAlignment="1">
      <alignment vertical="top"/>
    </xf>
    <xf numFmtId="0" fontId="18" fillId="0" borderId="3" xfId="0" applyFont="1" applyBorder="1" applyAlignment="1">
      <alignment horizontal="left" vertical="center" wrapText="1"/>
    </xf>
    <xf numFmtId="0" fontId="74" fillId="0" borderId="3" xfId="0" applyFont="1" applyBorder="1" applyAlignment="1">
      <alignment horizontal="left" vertical="center" wrapText="1"/>
    </xf>
    <xf numFmtId="0" fontId="74" fillId="0" borderId="3" xfId="0" applyFont="1" applyBorder="1" applyAlignment="1">
      <alignment vertical="center"/>
    </xf>
    <xf numFmtId="0" fontId="18" fillId="0" borderId="2" xfId="0" applyFont="1" applyBorder="1" applyAlignment="1">
      <alignment horizontal="left" vertical="center"/>
    </xf>
    <xf numFmtId="0" fontId="18" fillId="0" borderId="2" xfId="0" applyFont="1" applyBorder="1" applyAlignment="1">
      <alignment vertical="center"/>
    </xf>
    <xf numFmtId="0" fontId="41" fillId="0" borderId="2" xfId="11" applyFont="1" applyBorder="1" applyAlignment="1">
      <alignment wrapText="1"/>
    </xf>
    <xf numFmtId="0" fontId="18" fillId="0" borderId="2" xfId="0" applyFont="1" applyBorder="1" applyAlignment="1">
      <alignment horizontal="left" vertical="center" wrapText="1"/>
    </xf>
    <xf numFmtId="0" fontId="85" fillId="0" borderId="0" xfId="0" applyFont="1" applyAlignment="1">
      <alignment horizontal="right"/>
    </xf>
    <xf numFmtId="14" fontId="85" fillId="0" borderId="0" xfId="0" applyNumberFormat="1" applyFont="1" applyAlignment="1">
      <alignment horizontal="right"/>
    </xf>
    <xf numFmtId="0" fontId="86" fillId="0" borderId="0" xfId="0" applyFont="1" applyAlignment="1">
      <alignment horizontal="left"/>
    </xf>
    <xf numFmtId="0" fontId="86" fillId="0" borderId="1" xfId="11" applyFont="1" applyBorder="1" applyAlignment="1">
      <alignment horizontal="left"/>
    </xf>
    <xf numFmtId="0" fontId="86" fillId="0" borderId="1" xfId="11" applyFont="1" applyBorder="1"/>
    <xf numFmtId="0" fontId="86" fillId="0" borderId="1" xfId="11" applyFont="1" applyBorder="1" applyAlignment="1">
      <alignment wrapText="1"/>
    </xf>
    <xf numFmtId="0" fontId="86" fillId="0" borderId="0" xfId="11" applyFont="1" applyAlignment="1">
      <alignment horizontal="left" vertical="top"/>
    </xf>
    <xf numFmtId="0" fontId="86" fillId="0" borderId="0" xfId="11" applyFont="1" applyAlignment="1">
      <alignment vertical="top"/>
    </xf>
    <xf numFmtId="3" fontId="86" fillId="0" borderId="1" xfId="0" applyNumberFormat="1" applyFont="1" applyBorder="1"/>
    <xf numFmtId="0" fontId="86" fillId="0" borderId="2" xfId="11" applyFont="1" applyBorder="1" applyAlignment="1">
      <alignment horizontal="left" vertical="top"/>
    </xf>
    <xf numFmtId="0" fontId="86" fillId="0" borderId="2" xfId="11" applyFont="1" applyBorder="1" applyAlignment="1">
      <alignment vertical="top"/>
    </xf>
    <xf numFmtId="170" fontId="87" fillId="0" borderId="2" xfId="2" applyNumberFormat="1" applyFont="1" applyFill="1" applyBorder="1" applyAlignment="1" applyProtection="1">
      <alignment horizontal="right" vertical="top"/>
    </xf>
    <xf numFmtId="10" fontId="86" fillId="0" borderId="0" xfId="1" applyNumberFormat="1" applyFont="1" applyFill="1" applyAlignment="1">
      <alignment vertical="top"/>
    </xf>
    <xf numFmtId="0" fontId="18" fillId="0" borderId="0" xfId="11" applyFont="1" applyAlignment="1">
      <alignment vertical="top" wrapText="1"/>
    </xf>
    <xf numFmtId="0" fontId="90" fillId="0" borderId="1" xfId="11" applyFont="1" applyBorder="1"/>
    <xf numFmtId="168" fontId="92" fillId="0" borderId="0" xfId="1" applyNumberFormat="1" applyFont="1" applyFill="1" applyBorder="1" applyAlignment="1" applyProtection="1">
      <alignment vertical="top"/>
    </xf>
    <xf numFmtId="3" fontId="86" fillId="0" borderId="1" xfId="11" applyNumberFormat="1" applyFont="1" applyBorder="1" applyAlignment="1">
      <alignment vertical="top"/>
    </xf>
    <xf numFmtId="168" fontId="86" fillId="0" borderId="2" xfId="1" applyNumberFormat="1" applyFont="1" applyFill="1" applyBorder="1" applyAlignment="1" applyProtection="1">
      <alignment vertical="top"/>
    </xf>
    <xf numFmtId="1" fontId="86" fillId="0" borderId="2" xfId="1" applyNumberFormat="1" applyFont="1" applyFill="1" applyBorder="1" applyAlignment="1" applyProtection="1">
      <alignment vertical="top"/>
    </xf>
    <xf numFmtId="169" fontId="86" fillId="0" borderId="2" xfId="1" applyNumberFormat="1" applyFont="1" applyFill="1" applyBorder="1" applyAlignment="1" applyProtection="1">
      <alignment vertical="top"/>
    </xf>
    <xf numFmtId="0" fontId="90" fillId="0" borderId="0" xfId="11" applyFont="1" applyAlignment="1">
      <alignment vertical="top"/>
    </xf>
    <xf numFmtId="9" fontId="86" fillId="0" borderId="0" xfId="1" applyFont="1" applyFill="1" applyAlignment="1" applyProtection="1">
      <alignment horizontal="right" vertical="top"/>
    </xf>
    <xf numFmtId="10" fontId="86" fillId="0" borderId="0" xfId="1" applyNumberFormat="1" applyFont="1" applyFill="1" applyBorder="1" applyAlignment="1" applyProtection="1">
      <alignment vertical="top"/>
    </xf>
    <xf numFmtId="0" fontId="87" fillId="0" borderId="2" xfId="0" applyFont="1" applyBorder="1" applyAlignment="1">
      <alignment vertical="center"/>
    </xf>
    <xf numFmtId="0" fontId="86" fillId="0" borderId="2" xfId="0" applyFont="1" applyBorder="1" applyAlignment="1">
      <alignment vertical="center"/>
    </xf>
    <xf numFmtId="49" fontId="91" fillId="0" borderId="16" xfId="0" applyNumberFormat="1" applyFont="1" applyBorder="1" applyAlignment="1">
      <alignment horizontal="left" vertical="center"/>
    </xf>
    <xf numFmtId="0" fontId="91" fillId="0" borderId="16" xfId="0" applyFont="1" applyBorder="1" applyAlignment="1">
      <alignment vertical="center"/>
    </xf>
    <xf numFmtId="10" fontId="86" fillId="0" borderId="0" xfId="1" applyNumberFormat="1" applyFont="1" applyProtection="1"/>
    <xf numFmtId="49" fontId="91" fillId="0" borderId="16" xfId="11" applyNumberFormat="1" applyFont="1" applyBorder="1" applyAlignment="1">
      <alignment horizontal="left" vertical="center"/>
    </xf>
    <xf numFmtId="0" fontId="91" fillId="0" borderId="16" xfId="11" applyFont="1" applyBorder="1" applyAlignment="1">
      <alignment vertical="center"/>
    </xf>
    <xf numFmtId="49" fontId="91" fillId="0" borderId="12" xfId="11" applyNumberFormat="1" applyFont="1" applyBorder="1" applyAlignment="1">
      <alignment horizontal="left" vertical="center"/>
    </xf>
    <xf numFmtId="0" fontId="91" fillId="0" borderId="12" xfId="11" applyFont="1" applyBorder="1" applyAlignment="1">
      <alignment vertical="center"/>
    </xf>
    <xf numFmtId="3" fontId="91" fillId="0" borderId="16" xfId="11" applyNumberFormat="1" applyFont="1" applyBorder="1" applyAlignment="1">
      <alignment vertical="center"/>
    </xf>
    <xf numFmtId="49" fontId="91" fillId="0" borderId="17" xfId="11" applyNumberFormat="1" applyFont="1" applyBorder="1" applyAlignment="1">
      <alignment horizontal="left" vertical="center"/>
    </xf>
    <xf numFmtId="0" fontId="86" fillId="0" borderId="0" xfId="0" applyFont="1"/>
    <xf numFmtId="10" fontId="86" fillId="0" borderId="0" xfId="1" applyNumberFormat="1" applyFont="1" applyAlignment="1" applyProtection="1">
      <alignment horizontal="right" vertical="center"/>
    </xf>
    <xf numFmtId="10" fontId="86" fillId="0" borderId="0" xfId="0" applyNumberFormat="1" applyFont="1" applyAlignment="1">
      <alignment horizontal="right" vertical="center"/>
    </xf>
    <xf numFmtId="0" fontId="86" fillId="0" borderId="0" xfId="0" applyFont="1" applyAlignment="1">
      <alignment horizontal="right" vertical="center"/>
    </xf>
    <xf numFmtId="3" fontId="95" fillId="0" borderId="1" xfId="11" applyNumberFormat="1" applyFont="1" applyBorder="1" applyAlignment="1">
      <alignment vertical="top"/>
    </xf>
    <xf numFmtId="171" fontId="93" fillId="0" borderId="2" xfId="1" applyNumberFormat="1" applyFont="1" applyFill="1" applyBorder="1" applyAlignment="1" applyProtection="1">
      <alignment vertical="top"/>
    </xf>
    <xf numFmtId="0" fontId="25" fillId="0" borderId="18" xfId="0" applyFont="1" applyBorder="1" applyAlignment="1">
      <alignment horizontal="right" vertical="center" wrapText="1"/>
    </xf>
    <xf numFmtId="0" fontId="25" fillId="0" borderId="8" xfId="0" applyFont="1" applyBorder="1" applyAlignment="1">
      <alignment horizontal="center" vertical="center" wrapText="1"/>
    </xf>
    <xf numFmtId="167" fontId="60" fillId="0" borderId="3" xfId="17" applyFont="1" applyBorder="1">
      <alignment vertical="center"/>
    </xf>
    <xf numFmtId="0" fontId="25" fillId="0" borderId="22" xfId="0" applyFont="1" applyBorder="1" applyAlignment="1">
      <alignment vertical="center" wrapText="1"/>
    </xf>
    <xf numFmtId="0" fontId="25" fillId="0" borderId="22" xfId="0" applyFont="1" applyBorder="1" applyAlignment="1">
      <alignment horizontal="center" vertical="center" wrapText="1"/>
    </xf>
    <xf numFmtId="0" fontId="64" fillId="0" borderId="22" xfId="0" applyFont="1" applyBorder="1" applyAlignment="1">
      <alignment horizontal="center" vertical="center" wrapText="1"/>
    </xf>
    <xf numFmtId="49" fontId="88" fillId="0" borderId="0" xfId="11" applyNumberFormat="1" applyFont="1" applyAlignment="1">
      <alignment horizontal="left" vertical="center"/>
    </xf>
    <xf numFmtId="2" fontId="88" fillId="0" borderId="3" xfId="11" applyNumberFormat="1" applyFont="1" applyBorder="1" applyAlignment="1">
      <alignment horizontal="left" vertical="center"/>
    </xf>
    <xf numFmtId="0" fontId="88" fillId="0" borderId="3" xfId="11" applyFont="1" applyBorder="1" applyAlignment="1">
      <alignment horizontal="left" vertical="center"/>
    </xf>
    <xf numFmtId="168" fontId="88" fillId="0" borderId="3" xfId="1" applyNumberFormat="1" applyFont="1" applyFill="1" applyBorder="1" applyAlignment="1" applyProtection="1">
      <alignment vertical="center"/>
    </xf>
    <xf numFmtId="3" fontId="88" fillId="0" borderId="3" xfId="0" applyNumberFormat="1" applyFont="1" applyBorder="1" applyAlignment="1">
      <alignment vertical="center"/>
    </xf>
    <xf numFmtId="3" fontId="88" fillId="0" borderId="3" xfId="11" applyNumberFormat="1" applyFont="1" applyBorder="1" applyAlignment="1">
      <alignment vertical="center"/>
    </xf>
    <xf numFmtId="0" fontId="25" fillId="0" borderId="0" xfId="11" applyFont="1" applyAlignment="1">
      <alignment vertical="center"/>
    </xf>
    <xf numFmtId="0" fontId="88" fillId="0" borderId="4" xfId="11" applyFont="1" applyBorder="1" applyAlignment="1">
      <alignment horizontal="left" vertical="center"/>
    </xf>
    <xf numFmtId="168" fontId="88" fillId="0" borderId="4" xfId="1" applyNumberFormat="1" applyFont="1" applyFill="1" applyBorder="1" applyAlignment="1" applyProtection="1">
      <alignment vertical="center"/>
    </xf>
    <xf numFmtId="3" fontId="88" fillId="0" borderId="4" xfId="0" applyNumberFormat="1" applyFont="1" applyBorder="1" applyAlignment="1">
      <alignment vertical="center"/>
    </xf>
    <xf numFmtId="3" fontId="88" fillId="0" borderId="4" xfId="11" applyNumberFormat="1" applyFont="1" applyBorder="1" applyAlignment="1">
      <alignment vertical="center"/>
    </xf>
    <xf numFmtId="0" fontId="88" fillId="0" borderId="1" xfId="11" applyFont="1" applyBorder="1" applyAlignment="1">
      <alignment wrapText="1"/>
    </xf>
    <xf numFmtId="0" fontId="98" fillId="0" borderId="1" xfId="11" applyFont="1" applyBorder="1"/>
    <xf numFmtId="0" fontId="25" fillId="0" borderId="0" xfId="0" applyFont="1" applyAlignment="1">
      <alignment horizontal="right" vertical="center"/>
    </xf>
    <xf numFmtId="49" fontId="99" fillId="0" borderId="0" xfId="11" applyNumberFormat="1" applyFont="1" applyAlignment="1">
      <alignment horizontal="left" vertical="center"/>
    </xf>
    <xf numFmtId="0" fontId="99" fillId="0" borderId="4" xfId="11" applyFont="1" applyBorder="1" applyAlignment="1">
      <alignment horizontal="left" vertical="center"/>
    </xf>
    <xf numFmtId="168" fontId="99" fillId="0" borderId="4" xfId="1" applyNumberFormat="1" applyFont="1" applyFill="1" applyBorder="1" applyAlignment="1" applyProtection="1">
      <alignment vertical="center"/>
    </xf>
    <xf numFmtId="3" fontId="99" fillId="0" borderId="4" xfId="0" applyNumberFormat="1" applyFont="1" applyBorder="1" applyAlignment="1">
      <alignment vertical="center"/>
    </xf>
    <xf numFmtId="0" fontId="100" fillId="0" borderId="0" xfId="11" applyFont="1" applyAlignment="1">
      <alignment vertical="center"/>
    </xf>
    <xf numFmtId="49" fontId="88" fillId="0" borderId="21" xfId="11" applyNumberFormat="1" applyFont="1" applyBorder="1" applyAlignment="1">
      <alignment horizontal="left" vertical="center"/>
    </xf>
    <xf numFmtId="49" fontId="88" fillId="0" borderId="3" xfId="11" applyNumberFormat="1" applyFont="1" applyBorder="1" applyAlignment="1">
      <alignment horizontal="left" vertical="center"/>
    </xf>
    <xf numFmtId="0" fontId="99" fillId="0" borderId="11" xfId="11" applyFont="1" applyBorder="1" applyAlignment="1">
      <alignment horizontal="left" vertical="center"/>
    </xf>
    <xf numFmtId="168" fontId="99" fillId="0" borderId="11" xfId="1" applyNumberFormat="1" applyFont="1" applyFill="1" applyBorder="1" applyAlignment="1" applyProtection="1">
      <alignment vertical="center"/>
    </xf>
    <xf numFmtId="3" fontId="99" fillId="0" borderId="11" xfId="0" applyNumberFormat="1" applyFont="1" applyBorder="1" applyAlignment="1">
      <alignment vertical="center"/>
    </xf>
    <xf numFmtId="0" fontId="88" fillId="0" borderId="1" xfId="11" applyFont="1" applyBorder="1" applyAlignment="1">
      <alignment horizontal="left"/>
    </xf>
    <xf numFmtId="0" fontId="88" fillId="0" borderId="1" xfId="11" applyFont="1" applyBorder="1"/>
    <xf numFmtId="2" fontId="88" fillId="0" borderId="1" xfId="11" applyNumberFormat="1" applyFont="1" applyBorder="1" applyAlignment="1">
      <alignment horizontal="right" textRotation="90" wrapText="1"/>
    </xf>
    <xf numFmtId="3" fontId="88" fillId="0" borderId="1" xfId="11" applyNumberFormat="1" applyFont="1" applyBorder="1" applyAlignment="1">
      <alignment horizontal="right" textRotation="90" wrapText="1"/>
    </xf>
    <xf numFmtId="0" fontId="88" fillId="0" borderId="0" xfId="11" applyFont="1"/>
    <xf numFmtId="0" fontId="72" fillId="0" borderId="0" xfId="11" applyFont="1" applyAlignment="1">
      <alignment vertical="center"/>
    </xf>
    <xf numFmtId="3" fontId="101" fillId="0" borderId="12" xfId="11" applyNumberFormat="1" applyFont="1" applyBorder="1" applyAlignment="1">
      <alignment vertical="center"/>
    </xf>
    <xf numFmtId="49" fontId="101" fillId="0" borderId="12" xfId="0" applyNumberFormat="1" applyFont="1" applyBorder="1" applyAlignment="1">
      <alignment horizontal="left" vertical="center"/>
    </xf>
    <xf numFmtId="49" fontId="101" fillId="0" borderId="12" xfId="11" applyNumberFormat="1" applyFont="1" applyBorder="1" applyAlignment="1">
      <alignment horizontal="left" vertical="center"/>
    </xf>
    <xf numFmtId="0" fontId="18" fillId="0" borderId="0" xfId="0" applyFont="1" applyAlignment="1">
      <alignment horizontal="right" vertical="center" wrapText="1"/>
    </xf>
    <xf numFmtId="0" fontId="60" fillId="0" borderId="0" xfId="0" applyFont="1"/>
    <xf numFmtId="10" fontId="18" fillId="0" borderId="6" xfId="1" applyNumberFormat="1" applyFont="1" applyFill="1" applyBorder="1" applyAlignment="1" applyProtection="1">
      <alignment vertical="top"/>
    </xf>
    <xf numFmtId="10" fontId="18" fillId="0" borderId="4" xfId="1" applyNumberFormat="1" applyFont="1" applyFill="1" applyBorder="1" applyAlignment="1" applyProtection="1">
      <alignment horizontal="right" vertical="top"/>
    </xf>
    <xf numFmtId="10" fontId="18" fillId="0" borderId="6" xfId="1" applyNumberFormat="1" applyFont="1" applyFill="1" applyBorder="1" applyAlignment="1" applyProtection="1">
      <alignment horizontal="right" vertical="top"/>
    </xf>
    <xf numFmtId="2" fontId="35" fillId="0" borderId="4" xfId="1" applyNumberFormat="1" applyFont="1" applyFill="1" applyBorder="1" applyAlignment="1">
      <alignment vertical="center"/>
    </xf>
    <xf numFmtId="0" fontId="20" fillId="13" borderId="4" xfId="0" applyFont="1" applyFill="1" applyBorder="1" applyAlignment="1" applyProtection="1">
      <alignment wrapText="1"/>
      <protection locked="0"/>
    </xf>
    <xf numFmtId="49" fontId="20" fillId="13" borderId="4" xfId="0" applyNumberFormat="1" applyFont="1" applyFill="1" applyBorder="1" applyAlignment="1" applyProtection="1">
      <alignment wrapText="1"/>
      <protection locked="0"/>
    </xf>
    <xf numFmtId="0" fontId="76" fillId="13" borderId="4" xfId="0" applyFont="1" applyFill="1" applyBorder="1" applyAlignment="1" applyProtection="1">
      <alignment wrapText="1"/>
      <protection locked="0"/>
    </xf>
    <xf numFmtId="0" fontId="20" fillId="13" borderId="4" xfId="0" applyFont="1" applyFill="1" applyBorder="1" applyProtection="1">
      <protection locked="0"/>
    </xf>
    <xf numFmtId="49" fontId="20" fillId="13" borderId="4" xfId="0" applyNumberFormat="1" applyFont="1" applyFill="1" applyBorder="1" applyProtection="1">
      <protection locked="0"/>
    </xf>
    <xf numFmtId="14" fontId="20" fillId="13" borderId="4" xfId="0" applyNumberFormat="1" applyFont="1" applyFill="1" applyBorder="1" applyAlignment="1" applyProtection="1">
      <alignment horizontal="left"/>
      <protection locked="0"/>
    </xf>
    <xf numFmtId="3" fontId="58" fillId="13" borderId="4" xfId="0" applyNumberFormat="1" applyFont="1" applyFill="1" applyBorder="1" applyAlignment="1" applyProtection="1">
      <alignment vertical="center" wrapText="1"/>
      <protection locked="0"/>
    </xf>
    <xf numFmtId="0" fontId="103" fillId="0" borderId="4" xfId="9" applyNumberFormat="1" applyFont="1" applyBorder="1" applyAlignment="1">
      <alignment horizontal="left" vertical="center"/>
    </xf>
    <xf numFmtId="3" fontId="104" fillId="0" borderId="4" xfId="0" applyNumberFormat="1" applyFont="1" applyBorder="1" applyAlignment="1">
      <alignment horizontal="right" wrapText="1"/>
    </xf>
    <xf numFmtId="175" fontId="104" fillId="0" borderId="4" xfId="0" applyNumberFormat="1" applyFont="1" applyBorder="1" applyAlignment="1">
      <alignment horizontal="right" wrapText="1"/>
    </xf>
    <xf numFmtId="0" fontId="104" fillId="0" borderId="0" xfId="0" applyFont="1"/>
    <xf numFmtId="0" fontId="85" fillId="0" borderId="4" xfId="0" applyFont="1" applyBorder="1" applyAlignment="1">
      <alignment vertical="center"/>
    </xf>
    <xf numFmtId="0" fontId="85" fillId="0" borderId="3" xfId="0" applyFont="1" applyBorder="1" applyAlignment="1">
      <alignment vertical="center"/>
    </xf>
    <xf numFmtId="3" fontId="35" fillId="0" borderId="0" xfId="0" applyNumberFormat="1" applyFont="1"/>
    <xf numFmtId="0" fontId="85" fillId="0" borderId="0" xfId="0" applyFont="1" applyAlignment="1">
      <alignment vertical="center"/>
    </xf>
    <xf numFmtId="0" fontId="52" fillId="0" borderId="4" xfId="0" applyFont="1" applyBorder="1" applyAlignment="1">
      <alignment vertical="center"/>
    </xf>
    <xf numFmtId="0" fontId="104" fillId="0" borderId="4" xfId="0" applyFont="1" applyBorder="1"/>
    <xf numFmtId="172" fontId="98" fillId="0" borderId="3" xfId="11" applyNumberFormat="1" applyFont="1" applyBorder="1" applyAlignment="1">
      <alignment vertical="center"/>
    </xf>
    <xf numFmtId="0" fontId="101" fillId="0" borderId="12" xfId="0" applyFont="1" applyBorder="1" applyAlignment="1">
      <alignment vertical="center"/>
    </xf>
    <xf numFmtId="168" fontId="101" fillId="0" borderId="12" xfId="1" applyNumberFormat="1" applyFont="1" applyFill="1" applyBorder="1" applyAlignment="1" applyProtection="1">
      <alignment horizontal="right" vertical="center"/>
    </xf>
    <xf numFmtId="0" fontId="101" fillId="0" borderId="12" xfId="11" applyFont="1" applyBorder="1" applyAlignment="1">
      <alignment vertical="center"/>
    </xf>
    <xf numFmtId="172" fontId="106" fillId="0" borderId="12" xfId="1" applyNumberFormat="1" applyFont="1" applyFill="1" applyBorder="1" applyAlignment="1" applyProtection="1">
      <alignment horizontal="right" vertical="center"/>
    </xf>
    <xf numFmtId="168" fontId="101" fillId="0" borderId="12" xfId="1" applyNumberFormat="1" applyFont="1" applyFill="1" applyBorder="1" applyAlignment="1" applyProtection="1">
      <alignment vertical="center"/>
    </xf>
    <xf numFmtId="3" fontId="101" fillId="0" borderId="12" xfId="0" applyNumberFormat="1" applyFont="1" applyBorder="1" applyAlignment="1">
      <alignment vertical="center"/>
    </xf>
    <xf numFmtId="172" fontId="106" fillId="0" borderId="12" xfId="11" applyNumberFormat="1" applyFont="1" applyBorder="1" applyAlignment="1">
      <alignment vertical="center"/>
    </xf>
    <xf numFmtId="3" fontId="101" fillId="0" borderId="1" xfId="11" applyNumberFormat="1" applyFont="1" applyBorder="1" applyAlignment="1">
      <alignment vertical="center"/>
    </xf>
    <xf numFmtId="168" fontId="101" fillId="0" borderId="1" xfId="1" applyNumberFormat="1" applyFont="1" applyFill="1" applyBorder="1" applyAlignment="1" applyProtection="1">
      <alignment vertical="center"/>
    </xf>
    <xf numFmtId="3" fontId="101" fillId="0" borderId="1" xfId="0" applyNumberFormat="1" applyFont="1" applyBorder="1" applyAlignment="1">
      <alignment vertical="center"/>
    </xf>
    <xf numFmtId="172" fontId="106" fillId="0" borderId="1" xfId="11" applyNumberFormat="1" applyFont="1" applyBorder="1" applyAlignment="1">
      <alignment vertical="center"/>
    </xf>
    <xf numFmtId="0" fontId="101" fillId="0" borderId="12" xfId="11" applyFont="1" applyBorder="1" applyAlignment="1">
      <alignment horizontal="left" vertical="center"/>
    </xf>
    <xf numFmtId="174" fontId="60" fillId="0" borderId="4" xfId="17" applyNumberFormat="1" applyFont="1">
      <alignment vertical="center"/>
    </xf>
    <xf numFmtId="49" fontId="143" fillId="0" borderId="0" xfId="7" applyNumberFormat="1" applyAlignment="1"/>
    <xf numFmtId="174" fontId="25" fillId="0" borderId="4" xfId="17" applyNumberFormat="1" applyFont="1" applyAlignment="1">
      <alignment horizontal="right" vertical="center"/>
    </xf>
    <xf numFmtId="3" fontId="85" fillId="0" borderId="0" xfId="0" applyNumberFormat="1" applyFont="1" applyAlignment="1">
      <alignment vertical="center" wrapText="1"/>
    </xf>
    <xf numFmtId="3" fontId="85" fillId="0" borderId="0" xfId="0" applyNumberFormat="1" applyFont="1" applyAlignment="1">
      <alignment vertical="center"/>
    </xf>
    <xf numFmtId="10" fontId="85" fillId="0" borderId="0" xfId="1" applyNumberFormat="1" applyFont="1" applyFill="1" applyBorder="1" applyAlignment="1" applyProtection="1">
      <alignment vertical="center"/>
    </xf>
    <xf numFmtId="0" fontId="85" fillId="0" borderId="0" xfId="0" applyFont="1" applyAlignment="1">
      <alignment horizontal="left" vertical="center" indent="2"/>
    </xf>
    <xf numFmtId="0" fontId="82" fillId="0" borderId="3" xfId="0" applyFont="1" applyBorder="1" applyAlignment="1">
      <alignment vertical="center"/>
    </xf>
    <xf numFmtId="2" fontId="108" fillId="0" borderId="3" xfId="0" applyNumberFormat="1" applyFont="1" applyBorder="1"/>
    <xf numFmtId="2" fontId="108" fillId="0" borderId="4" xfId="0" applyNumberFormat="1" applyFont="1" applyBorder="1"/>
    <xf numFmtId="3" fontId="108" fillId="0" borderId="4" xfId="0" applyNumberFormat="1" applyFont="1" applyBorder="1" applyAlignment="1">
      <alignment wrapText="1"/>
    </xf>
    <xf numFmtId="2" fontId="108" fillId="0" borderId="0" xfId="0" applyNumberFormat="1" applyFont="1"/>
    <xf numFmtId="2" fontId="108" fillId="0" borderId="8" xfId="0" applyNumberFormat="1" applyFont="1" applyBorder="1"/>
    <xf numFmtId="0" fontId="85" fillId="0" borderId="0" xfId="0" applyFont="1" applyAlignment="1">
      <alignment vertical="center" wrapText="1"/>
    </xf>
    <xf numFmtId="173" fontId="85" fillId="0" borderId="0" xfId="0" applyNumberFormat="1" applyFont="1" applyAlignment="1">
      <alignment vertical="center"/>
    </xf>
    <xf numFmtId="0" fontId="107" fillId="0" borderId="0" xfId="0" applyFont="1" applyAlignment="1">
      <alignment vertical="center"/>
    </xf>
    <xf numFmtId="3" fontId="107" fillId="0" borderId="0" xfId="0" applyNumberFormat="1" applyFont="1" applyAlignment="1">
      <alignment vertical="center"/>
    </xf>
    <xf numFmtId="0" fontId="103" fillId="0" borderId="8" xfId="9" applyNumberFormat="1" applyFont="1" applyBorder="1" applyAlignment="1">
      <alignment horizontal="left" vertical="center" indent="2"/>
    </xf>
    <xf numFmtId="175" fontId="104" fillId="0" borderId="8" xfId="0" applyNumberFormat="1" applyFont="1" applyBorder="1" applyAlignment="1">
      <alignment horizontal="right" wrapText="1"/>
    </xf>
    <xf numFmtId="0" fontId="85" fillId="0" borderId="8" xfId="0" applyFont="1" applyBorder="1" applyAlignment="1">
      <alignment vertical="center"/>
    </xf>
    <xf numFmtId="0" fontId="103" fillId="0" borderId="0" xfId="9" applyNumberFormat="1" applyFont="1" applyBorder="1" applyAlignment="1">
      <alignment horizontal="left" vertical="center" indent="2"/>
    </xf>
    <xf numFmtId="175" fontId="104" fillId="0" borderId="0" xfId="0" applyNumberFormat="1" applyFont="1" applyAlignment="1">
      <alignment horizontal="right" wrapText="1"/>
    </xf>
    <xf numFmtId="0" fontId="103" fillId="0" borderId="3" xfId="9" applyNumberFormat="1" applyFont="1" applyBorder="1" applyAlignment="1">
      <alignment horizontal="left" vertical="center" indent="2"/>
    </xf>
    <xf numFmtId="175" fontId="104" fillId="0" borderId="3" xfId="0" applyNumberFormat="1" applyFont="1" applyBorder="1" applyAlignment="1">
      <alignment horizontal="right" wrapText="1"/>
    </xf>
    <xf numFmtId="173" fontId="60" fillId="0" borderId="0" xfId="0" applyNumberFormat="1" applyFont="1"/>
    <xf numFmtId="0" fontId="109" fillId="0" borderId="4" xfId="9" applyNumberFormat="1" applyFont="1" applyBorder="1" applyAlignment="1">
      <alignment horizontal="left" vertical="center"/>
    </xf>
    <xf numFmtId="167" fontId="25" fillId="0" borderId="4" xfId="17" applyFont="1" applyAlignment="1">
      <alignment horizontal="right" vertical="center"/>
    </xf>
    <xf numFmtId="3" fontId="35" fillId="0" borderId="4" xfId="0" applyNumberFormat="1" applyFont="1" applyBorder="1" applyAlignment="1">
      <alignment horizontal="right" wrapText="1"/>
    </xf>
    <xf numFmtId="0" fontId="16" fillId="0" borderId="3" xfId="9" applyNumberFormat="1" applyFont="1" applyBorder="1" applyAlignment="1">
      <alignment horizontal="left" vertical="center"/>
    </xf>
    <xf numFmtId="0" fontId="110" fillId="0" borderId="3" xfId="0" applyFont="1" applyBorder="1" applyAlignment="1">
      <alignment vertical="center"/>
    </xf>
    <xf numFmtId="0" fontId="108" fillId="0" borderId="3" xfId="0" applyFont="1" applyBorder="1" applyAlignment="1">
      <alignment vertical="center"/>
    </xf>
    <xf numFmtId="0" fontId="108" fillId="0" borderId="4" xfId="0" applyFont="1" applyBorder="1" applyAlignment="1">
      <alignment vertical="center" wrapText="1"/>
    </xf>
    <xf numFmtId="3" fontId="108" fillId="0" borderId="4" xfId="0" applyNumberFormat="1" applyFont="1" applyBorder="1" applyAlignment="1">
      <alignment horizontal="right" vertical="center" wrapText="1"/>
    </xf>
    <xf numFmtId="0" fontId="108" fillId="0" borderId="4" xfId="0" applyFont="1" applyBorder="1" applyAlignment="1">
      <alignment vertical="center"/>
    </xf>
    <xf numFmtId="0" fontId="113" fillId="0" borderId="4" xfId="0" applyFont="1" applyBorder="1" applyAlignment="1">
      <alignment vertical="center"/>
    </xf>
    <xf numFmtId="3" fontId="114" fillId="0" borderId="4" xfId="0" applyNumberFormat="1" applyFont="1" applyBorder="1" applyAlignment="1">
      <alignment vertical="center" wrapText="1"/>
    </xf>
    <xf numFmtId="3" fontId="108" fillId="0" borderId="4" xfId="0" applyNumberFormat="1" applyFont="1" applyBorder="1" applyAlignment="1">
      <alignment vertical="center"/>
    </xf>
    <xf numFmtId="0" fontId="108" fillId="0" borderId="0" xfId="0" applyFont="1" applyAlignment="1">
      <alignment horizontal="left" vertical="center" indent="2"/>
    </xf>
    <xf numFmtId="10" fontId="108" fillId="0" borderId="0" xfId="1" applyNumberFormat="1" applyFont="1" applyFill="1" applyBorder="1" applyAlignment="1" applyProtection="1">
      <alignment vertical="center"/>
    </xf>
    <xf numFmtId="3" fontId="108" fillId="0" borderId="0" xfId="0" applyNumberFormat="1" applyFont="1" applyAlignment="1">
      <alignment vertical="center" wrapText="1"/>
    </xf>
    <xf numFmtId="3" fontId="108" fillId="0" borderId="0" xfId="0" applyNumberFormat="1" applyFont="1" applyAlignment="1">
      <alignment vertical="center"/>
    </xf>
    <xf numFmtId="0" fontId="108" fillId="0" borderId="3" xfId="0" applyFont="1" applyBorder="1" applyAlignment="1">
      <alignment horizontal="left" vertical="center" indent="2"/>
    </xf>
    <xf numFmtId="10" fontId="108" fillId="0" borderId="3" xfId="1" applyNumberFormat="1" applyFont="1" applyFill="1" applyBorder="1" applyAlignment="1" applyProtection="1">
      <alignment vertical="center"/>
    </xf>
    <xf numFmtId="3" fontId="108" fillId="0" borderId="3" xfId="0" applyNumberFormat="1" applyFont="1" applyBorder="1" applyAlignment="1">
      <alignment vertical="center" wrapText="1"/>
    </xf>
    <xf numFmtId="3" fontId="108" fillId="0" borderId="3" xfId="0" applyNumberFormat="1" applyFont="1" applyBorder="1" applyAlignment="1">
      <alignment vertical="center"/>
    </xf>
    <xf numFmtId="0" fontId="60" fillId="0" borderId="4" xfId="0" applyFont="1" applyBorder="1" applyAlignment="1">
      <alignment vertical="center"/>
    </xf>
    <xf numFmtId="0" fontId="115" fillId="0" borderId="4" xfId="0" applyFont="1" applyBorder="1" applyAlignment="1">
      <alignment horizontal="right" vertical="center"/>
    </xf>
    <xf numFmtId="3" fontId="60" fillId="0" borderId="7" xfId="0" applyNumberFormat="1" applyFont="1" applyBorder="1" applyAlignment="1">
      <alignment vertical="center" wrapText="1"/>
    </xf>
    <xf numFmtId="0" fontId="117" fillId="0" borderId="4" xfId="0" applyFont="1" applyBorder="1" applyAlignment="1">
      <alignment vertical="center"/>
    </xf>
    <xf numFmtId="0" fontId="117" fillId="0" borderId="0" xfId="0" applyFont="1" applyAlignment="1">
      <alignment horizontal="left" vertical="center" indent="2"/>
    </xf>
    <xf numFmtId="10" fontId="117" fillId="0" borderId="0" xfId="1" applyNumberFormat="1" applyFont="1" applyFill="1" applyBorder="1" applyAlignment="1" applyProtection="1">
      <alignment vertical="center"/>
    </xf>
    <xf numFmtId="3" fontId="117" fillId="0" borderId="0" xfId="0" applyNumberFormat="1" applyFont="1" applyAlignment="1">
      <alignment vertical="center" wrapText="1"/>
    </xf>
    <xf numFmtId="3" fontId="117" fillId="0" borderId="0" xfId="0" applyNumberFormat="1" applyFont="1" applyAlignment="1">
      <alignment vertical="center"/>
    </xf>
    <xf numFmtId="0" fontId="117" fillId="0" borderId="3" xfId="0" applyFont="1" applyBorder="1" applyAlignment="1">
      <alignment horizontal="left" vertical="center" indent="2"/>
    </xf>
    <xf numFmtId="3" fontId="117" fillId="0" borderId="3" xfId="0" applyNumberFormat="1" applyFont="1" applyBorder="1" applyAlignment="1">
      <alignment vertical="center"/>
    </xf>
    <xf numFmtId="3" fontId="60" fillId="0" borderId="3" xfId="2" applyNumberFormat="1" applyFont="1" applyBorder="1" applyAlignment="1">
      <alignment vertical="center" wrapText="1"/>
    </xf>
    <xf numFmtId="167" fontId="118" fillId="0" borderId="4" xfId="17" applyFont="1">
      <alignment vertical="center"/>
    </xf>
    <xf numFmtId="3" fontId="117" fillId="0" borderId="4" xfId="0" applyNumberFormat="1" applyFont="1" applyBorder="1" applyAlignment="1">
      <alignment vertical="center" wrapText="1"/>
    </xf>
    <xf numFmtId="3" fontId="117" fillId="0" borderId="4" xfId="0" applyNumberFormat="1" applyFont="1" applyBorder="1" applyAlignment="1">
      <alignment vertical="center"/>
    </xf>
    <xf numFmtId="175" fontId="117" fillId="0" borderId="4" xfId="0" applyNumberFormat="1" applyFont="1" applyBorder="1" applyAlignment="1">
      <alignment vertical="center" wrapText="1"/>
    </xf>
    <xf numFmtId="2" fontId="25" fillId="0" borderId="3" xfId="0" applyNumberFormat="1" applyFont="1" applyBorder="1" applyAlignment="1">
      <alignment vertical="center"/>
    </xf>
    <xf numFmtId="3" fontId="25" fillId="0" borderId="7" xfId="11" applyNumberFormat="1" applyFont="1" applyBorder="1" applyAlignment="1">
      <alignment vertical="center"/>
    </xf>
    <xf numFmtId="2" fontId="25" fillId="0" borderId="4" xfId="0" applyNumberFormat="1" applyFont="1" applyBorder="1" applyAlignment="1">
      <alignment vertical="center"/>
    </xf>
    <xf numFmtId="3" fontId="25" fillId="0" borderId="4" xfId="11" applyNumberFormat="1" applyFont="1" applyBorder="1" applyAlignment="1">
      <alignment vertical="center"/>
    </xf>
    <xf numFmtId="0" fontId="120" fillId="0" borderId="0" xfId="0" applyFont="1" applyAlignment="1">
      <alignment vertical="center"/>
    </xf>
    <xf numFmtId="3" fontId="25" fillId="0" borderId="2" xfId="0" applyNumberFormat="1" applyFont="1" applyBorder="1" applyAlignment="1">
      <alignment horizontal="right"/>
    </xf>
    <xf numFmtId="175" fontId="35" fillId="0" borderId="8" xfId="0" applyNumberFormat="1" applyFont="1" applyBorder="1" applyAlignment="1">
      <alignment horizontal="right" wrapText="1"/>
    </xf>
    <xf numFmtId="0" fontId="121" fillId="0" borderId="4" xfId="9" applyNumberFormat="1" applyFont="1" applyBorder="1" applyAlignment="1">
      <alignment horizontal="left" vertical="center"/>
    </xf>
    <xf numFmtId="3" fontId="112" fillId="13" borderId="8" xfId="0" applyNumberFormat="1" applyFont="1" applyFill="1" applyBorder="1" applyAlignment="1" applyProtection="1">
      <alignment horizontal="right" vertical="center" wrapText="1"/>
      <protection locked="0"/>
    </xf>
    <xf numFmtId="0" fontId="117" fillId="0" borderId="0" xfId="0" applyFont="1" applyAlignment="1">
      <alignment vertical="center"/>
    </xf>
    <xf numFmtId="3" fontId="122" fillId="0" borderId="0" xfId="0" applyNumberFormat="1" applyFont="1" applyAlignment="1">
      <alignment vertical="center"/>
    </xf>
    <xf numFmtId="0" fontId="122" fillId="0" borderId="0" xfId="0" applyFont="1" applyAlignment="1">
      <alignment vertical="center"/>
    </xf>
    <xf numFmtId="0" fontId="108" fillId="0" borderId="3" xfId="0" applyFont="1" applyBorder="1" applyAlignment="1">
      <alignment vertical="center" wrapText="1"/>
    </xf>
    <xf numFmtId="0" fontId="108" fillId="0" borderId="0" xfId="0" applyFont="1" applyAlignment="1">
      <alignment vertical="center"/>
    </xf>
    <xf numFmtId="0" fontId="108" fillId="0" borderId="0" xfId="0" applyFont="1" applyAlignment="1">
      <alignment vertical="center" wrapText="1"/>
    </xf>
    <xf numFmtId="3" fontId="112" fillId="13" borderId="4" xfId="0" applyNumberFormat="1" applyFont="1" applyFill="1" applyBorder="1" applyAlignment="1" applyProtection="1">
      <alignment vertical="center" wrapText="1"/>
      <protection locked="0"/>
    </xf>
    <xf numFmtId="0" fontId="113" fillId="0" borderId="0" xfId="0" applyFont="1" applyAlignment="1">
      <alignment vertical="center"/>
    </xf>
    <xf numFmtId="3" fontId="113" fillId="0" borderId="0" xfId="0" applyNumberFormat="1" applyFont="1" applyAlignment="1">
      <alignment vertical="center"/>
    </xf>
    <xf numFmtId="3" fontId="123" fillId="0" borderId="4" xfId="0" applyNumberFormat="1" applyFont="1" applyBorder="1" applyAlignment="1">
      <alignment vertical="center" wrapText="1"/>
    </xf>
    <xf numFmtId="3" fontId="112" fillId="0" borderId="4" xfId="0" applyNumberFormat="1" applyFont="1" applyBorder="1" applyAlignment="1">
      <alignment vertical="center" wrapText="1"/>
    </xf>
    <xf numFmtId="0" fontId="112" fillId="0" borderId="0" xfId="0" applyFont="1"/>
    <xf numFmtId="0" fontId="117" fillId="0" borderId="3" xfId="0" applyFont="1" applyBorder="1" applyAlignment="1">
      <alignment vertical="center"/>
    </xf>
    <xf numFmtId="3" fontId="117" fillId="0" borderId="3" xfId="0" applyNumberFormat="1" applyFont="1" applyBorder="1" applyAlignment="1">
      <alignment vertical="center" wrapText="1"/>
    </xf>
    <xf numFmtId="3" fontId="117" fillId="0" borderId="8" xfId="0" applyNumberFormat="1" applyFont="1" applyBorder="1" applyAlignment="1">
      <alignment vertical="center" wrapText="1"/>
    </xf>
    <xf numFmtId="3" fontId="82" fillId="0" borderId="1" xfId="0" applyNumberFormat="1" applyFont="1" applyBorder="1" applyAlignment="1">
      <alignment wrapText="1"/>
    </xf>
    <xf numFmtId="2" fontId="82" fillId="0" borderId="2" xfId="0" applyNumberFormat="1" applyFont="1" applyBorder="1"/>
    <xf numFmtId="177" fontId="20" fillId="13" borderId="4" xfId="0" applyNumberFormat="1" applyFont="1" applyFill="1" applyBorder="1" applyAlignment="1" applyProtection="1">
      <alignment horizontal="left" wrapText="1"/>
      <protection locked="0"/>
    </xf>
    <xf numFmtId="0" fontId="32" fillId="0" borderId="0" xfId="21" applyFill="1" applyBorder="1" applyAlignment="1">
      <alignment horizontal="center" vertical="center" wrapText="1"/>
    </xf>
    <xf numFmtId="49" fontId="18" fillId="0" borderId="0" xfId="0" applyNumberFormat="1" applyFont="1"/>
    <xf numFmtId="49" fontId="18" fillId="0" borderId="4" xfId="0" applyNumberFormat="1" applyFont="1" applyBorder="1"/>
    <xf numFmtId="0" fontId="60" fillId="0" borderId="0" xfId="11" applyFont="1"/>
    <xf numFmtId="170" fontId="40" fillId="0" borderId="2" xfId="6" applyNumberFormat="1" applyFont="1" applyFill="1" applyBorder="1" applyAlignment="1" applyProtection="1">
      <alignment horizontal="right" vertical="top"/>
    </xf>
    <xf numFmtId="177" fontId="18" fillId="0" borderId="4" xfId="0" applyNumberFormat="1" applyFont="1" applyBorder="1" applyAlignment="1">
      <alignment horizontal="left"/>
    </xf>
    <xf numFmtId="0" fontId="120" fillId="0" borderId="1" xfId="11" applyFont="1" applyBorder="1"/>
    <xf numFmtId="3" fontId="52" fillId="0" borderId="3" xfId="11" applyNumberFormat="1" applyFont="1" applyBorder="1" applyAlignment="1">
      <alignment horizontal="right" vertical="top"/>
    </xf>
    <xf numFmtId="3" fontId="120" fillId="0" borderId="4" xfId="11" applyNumberFormat="1" applyFont="1" applyBorder="1" applyAlignment="1">
      <alignment vertical="top"/>
    </xf>
    <xf numFmtId="3" fontId="120" fillId="0" borderId="6" xfId="11" applyNumberFormat="1" applyFont="1" applyBorder="1" applyAlignment="1">
      <alignment vertical="top"/>
    </xf>
    <xf numFmtId="3" fontId="120" fillId="0" borderId="2" xfId="11" applyNumberFormat="1" applyFont="1" applyBorder="1" applyAlignment="1">
      <alignment vertical="top"/>
    </xf>
    <xf numFmtId="171" fontId="52" fillId="0" borderId="2" xfId="1" applyNumberFormat="1" applyFont="1" applyFill="1" applyBorder="1" applyAlignment="1" applyProtection="1">
      <alignment vertical="top"/>
    </xf>
    <xf numFmtId="3" fontId="120" fillId="0" borderId="1" xfId="11" applyNumberFormat="1" applyFont="1" applyBorder="1" applyAlignment="1">
      <alignment vertical="top"/>
    </xf>
    <xf numFmtId="172" fontId="52" fillId="0" borderId="3" xfId="11" applyNumberFormat="1" applyFont="1" applyBorder="1" applyAlignment="1">
      <alignment horizontal="right" vertical="top"/>
    </xf>
    <xf numFmtId="172" fontId="120" fillId="0" borderId="4" xfId="11" applyNumberFormat="1" applyFont="1" applyBorder="1" applyAlignment="1">
      <alignment vertical="top"/>
    </xf>
    <xf numFmtId="172" fontId="120" fillId="0" borderId="6" xfId="11" applyNumberFormat="1" applyFont="1" applyBorder="1" applyAlignment="1">
      <alignment vertical="top"/>
    </xf>
    <xf numFmtId="172" fontId="52" fillId="0" borderId="3" xfId="11" applyNumberFormat="1" applyFont="1" applyBorder="1" applyAlignment="1">
      <alignment vertical="top"/>
    </xf>
    <xf numFmtId="9" fontId="35" fillId="0" borderId="0" xfId="1" applyFont="1" applyFill="1" applyBorder="1" applyAlignment="1">
      <alignment vertical="center"/>
    </xf>
    <xf numFmtId="1" fontId="60" fillId="0" borderId="4" xfId="0" applyNumberFormat="1" applyFont="1" applyBorder="1"/>
    <xf numFmtId="0" fontId="25" fillId="0" borderId="0" xfId="11" applyFont="1" applyAlignment="1">
      <alignment horizontal="left" vertical="top" wrapText="1"/>
    </xf>
    <xf numFmtId="0" fontId="63" fillId="0" borderId="0" xfId="0" applyFont="1" applyAlignment="1">
      <alignment vertical="center" wrapText="1"/>
    </xf>
    <xf numFmtId="173" fontId="82" fillId="0" borderId="4" xfId="1" applyNumberFormat="1" applyFont="1" applyBorder="1" applyAlignment="1">
      <alignment vertical="center" wrapText="1"/>
    </xf>
    <xf numFmtId="173" fontId="25" fillId="0" borderId="4" xfId="1" applyNumberFormat="1" applyFont="1" applyBorder="1" applyAlignment="1">
      <alignment vertical="center"/>
    </xf>
    <xf numFmtId="0" fontId="121" fillId="0" borderId="3" xfId="9" applyNumberFormat="1" applyFont="1" applyBorder="1" applyAlignment="1">
      <alignment horizontal="left" vertical="center"/>
    </xf>
    <xf numFmtId="0" fontId="36" fillId="0" borderId="3" xfId="9" applyNumberFormat="1" applyFont="1" applyBorder="1" applyAlignment="1">
      <alignment horizontal="left" vertical="center"/>
    </xf>
    <xf numFmtId="3" fontId="35" fillId="0" borderId="3" xfId="0" applyNumberFormat="1" applyFont="1" applyBorder="1" applyAlignment="1">
      <alignment horizontal="right" wrapText="1"/>
    </xf>
    <xf numFmtId="0" fontId="35" fillId="0" borderId="3" xfId="0" applyFont="1" applyBorder="1"/>
    <xf numFmtId="173" fontId="124" fillId="0" borderId="4" xfId="1" applyNumberFormat="1" applyFont="1" applyBorder="1" applyAlignment="1">
      <alignment vertical="center"/>
    </xf>
    <xf numFmtId="2" fontId="25" fillId="0" borderId="4" xfId="1" applyNumberFormat="1" applyFont="1" applyBorder="1" applyAlignment="1">
      <alignment vertical="center"/>
    </xf>
    <xf numFmtId="2" fontId="82" fillId="0" borderId="4" xfId="1" applyNumberFormat="1" applyFont="1" applyBorder="1" applyAlignment="1">
      <alignment vertical="center" wrapText="1"/>
    </xf>
    <xf numFmtId="175" fontId="125" fillId="0" borderId="8" xfId="0" applyNumberFormat="1" applyFont="1" applyBorder="1" applyAlignment="1">
      <alignment horizontal="right" wrapText="1"/>
    </xf>
    <xf numFmtId="0" fontId="125" fillId="0" borderId="8" xfId="0" applyFont="1" applyBorder="1" applyAlignment="1">
      <alignment vertical="center"/>
    </xf>
    <xf numFmtId="175" fontId="125" fillId="0" borderId="0" xfId="0" applyNumberFormat="1" applyFont="1" applyAlignment="1">
      <alignment horizontal="right" wrapText="1"/>
    </xf>
    <xf numFmtId="0" fontId="125" fillId="0" borderId="0" xfId="0" applyFont="1" applyAlignment="1">
      <alignment vertical="center"/>
    </xf>
    <xf numFmtId="175" fontId="125" fillId="0" borderId="3" xfId="0" applyNumberFormat="1" applyFont="1" applyBorder="1" applyAlignment="1">
      <alignment horizontal="right" wrapText="1"/>
    </xf>
    <xf numFmtId="0" fontId="125" fillId="0" borderId="3" xfId="0" applyFont="1" applyBorder="1" applyAlignment="1">
      <alignment vertical="center"/>
    </xf>
    <xf numFmtId="10" fontId="125" fillId="0" borderId="3" xfId="1" applyNumberFormat="1" applyFont="1" applyBorder="1" applyAlignment="1">
      <alignment horizontal="right" wrapText="1"/>
    </xf>
    <xf numFmtId="10" fontId="35" fillId="0" borderId="0" xfId="0" applyNumberFormat="1" applyFont="1"/>
    <xf numFmtId="178" fontId="103" fillId="0" borderId="0" xfId="2" applyNumberFormat="1" applyFont="1" applyBorder="1" applyAlignment="1">
      <alignment horizontal="left" vertical="center" indent="2"/>
    </xf>
    <xf numFmtId="3" fontId="125" fillId="0" borderId="0" xfId="0" applyNumberFormat="1" applyFont="1" applyAlignment="1">
      <alignment horizontal="right" wrapText="1"/>
    </xf>
    <xf numFmtId="10" fontId="18" fillId="0" borderId="4" xfId="1" applyNumberFormat="1" applyFont="1" applyBorder="1" applyAlignment="1">
      <alignment vertical="center"/>
    </xf>
    <xf numFmtId="1" fontId="84" fillId="0" borderId="4" xfId="0" applyNumberFormat="1" applyFont="1" applyBorder="1"/>
    <xf numFmtId="2" fontId="63" fillId="0" borderId="0" xfId="0" applyNumberFormat="1" applyFont="1"/>
    <xf numFmtId="172" fontId="104" fillId="0" borderId="4" xfId="0" applyNumberFormat="1" applyFont="1" applyBorder="1" applyAlignment="1">
      <alignment horizontal="right" wrapText="1"/>
    </xf>
    <xf numFmtId="176" fontId="60" fillId="0" borderId="0" xfId="0" applyNumberFormat="1" applyFont="1"/>
    <xf numFmtId="0" fontId="59" fillId="0" borderId="0" xfId="0" applyFont="1"/>
    <xf numFmtId="10" fontId="35" fillId="0" borderId="4" xfId="1" applyNumberFormat="1" applyFont="1" applyFill="1" applyBorder="1" applyAlignment="1">
      <alignment vertical="center"/>
    </xf>
    <xf numFmtId="10" fontId="0" fillId="0" borderId="0" xfId="0" applyNumberFormat="1"/>
    <xf numFmtId="0" fontId="25" fillId="0" borderId="4" xfId="0" applyFont="1" applyBorder="1" applyAlignment="1">
      <alignment horizontal="left" vertical="center"/>
    </xf>
    <xf numFmtId="2" fontId="0" fillId="0" borderId="0" xfId="0" applyNumberFormat="1"/>
    <xf numFmtId="49" fontId="101" fillId="0" borderId="0" xfId="0" applyNumberFormat="1" applyFont="1" applyAlignment="1">
      <alignment horizontal="left" vertical="center"/>
    </xf>
    <xf numFmtId="0" fontId="127" fillId="0" borderId="0" xfId="11" applyFont="1" applyAlignment="1">
      <alignment horizontal="left"/>
    </xf>
    <xf numFmtId="0" fontId="127" fillId="0" borderId="0" xfId="11" applyFont="1"/>
    <xf numFmtId="9" fontId="127" fillId="0" borderId="0" xfId="1" applyFont="1"/>
    <xf numFmtId="49" fontId="101" fillId="0" borderId="0" xfId="11" applyNumberFormat="1" applyFont="1" applyAlignment="1">
      <alignment horizontal="left" vertical="center"/>
    </xf>
    <xf numFmtId="0" fontId="128" fillId="0" borderId="4" xfId="11" applyFont="1" applyBorder="1" applyAlignment="1">
      <alignment horizontal="left" vertical="center"/>
    </xf>
    <xf numFmtId="3" fontId="25" fillId="0" borderId="3" xfId="0" applyNumberFormat="1" applyFont="1" applyBorder="1" applyAlignment="1">
      <alignment vertical="center"/>
    </xf>
    <xf numFmtId="3" fontId="82" fillId="0" borderId="2" xfId="0" applyNumberFormat="1" applyFont="1" applyBorder="1" applyAlignment="1">
      <alignment wrapText="1"/>
    </xf>
    <xf numFmtId="2" fontId="25" fillId="0" borderId="2" xfId="0" applyNumberFormat="1" applyFont="1" applyBorder="1" applyAlignment="1">
      <alignment wrapText="1"/>
    </xf>
    <xf numFmtId="0" fontId="25" fillId="0" borderId="2" xfId="11" applyFont="1" applyBorder="1" applyAlignment="1">
      <alignment wrapText="1"/>
    </xf>
    <xf numFmtId="0" fontId="25" fillId="0" borderId="2" xfId="11" applyFont="1" applyBorder="1" applyAlignment="1">
      <alignment horizontal="left" vertical="top" wrapText="1"/>
    </xf>
    <xf numFmtId="2" fontId="74" fillId="0" borderId="2" xfId="0" applyNumberFormat="1" applyFont="1" applyBorder="1"/>
    <xf numFmtId="2" fontId="130" fillId="0" borderId="3" xfId="0" applyNumberFormat="1" applyFont="1" applyBorder="1"/>
    <xf numFmtId="3" fontId="130" fillId="0" borderId="3" xfId="0" applyNumberFormat="1" applyFont="1" applyBorder="1" applyAlignment="1">
      <alignment horizontal="right"/>
    </xf>
    <xf numFmtId="3" fontId="130" fillId="0" borderId="7" xfId="11" applyNumberFormat="1" applyFont="1" applyBorder="1" applyAlignment="1">
      <alignment vertical="top"/>
    </xf>
    <xf numFmtId="3" fontId="130" fillId="0" borderId="7" xfId="0" applyNumberFormat="1" applyFont="1" applyBorder="1"/>
    <xf numFmtId="3" fontId="130" fillId="0" borderId="3" xfId="0" applyNumberFormat="1" applyFont="1" applyBorder="1"/>
    <xf numFmtId="2" fontId="130" fillId="0" borderId="4" xfId="0" applyNumberFormat="1" applyFont="1" applyBorder="1"/>
    <xf numFmtId="3" fontId="130" fillId="0" borderId="4" xfId="0" applyNumberFormat="1" applyFont="1" applyBorder="1" applyAlignment="1">
      <alignment horizontal="right"/>
    </xf>
    <xf numFmtId="3" fontId="130" fillId="0" borderId="4" xfId="11" applyNumberFormat="1" applyFont="1" applyBorder="1" applyAlignment="1">
      <alignment vertical="top"/>
    </xf>
    <xf numFmtId="3" fontId="130" fillId="0" borderId="4" xfId="0" applyNumberFormat="1" applyFont="1" applyBorder="1"/>
    <xf numFmtId="2" fontId="130" fillId="0" borderId="0" xfId="0" applyNumberFormat="1" applyFont="1"/>
    <xf numFmtId="3" fontId="130" fillId="0" borderId="0" xfId="0" applyNumberFormat="1" applyFont="1" applyAlignment="1">
      <alignment horizontal="right"/>
    </xf>
    <xf numFmtId="2" fontId="130" fillId="0" borderId="8" xfId="0" applyNumberFormat="1" applyFont="1" applyBorder="1"/>
    <xf numFmtId="3" fontId="130" fillId="0" borderId="8" xfId="0" applyNumberFormat="1" applyFont="1" applyBorder="1" applyAlignment="1">
      <alignment horizontal="right"/>
    </xf>
    <xf numFmtId="2" fontId="130" fillId="0" borderId="6" xfId="0" applyNumberFormat="1" applyFont="1" applyBorder="1"/>
    <xf numFmtId="3" fontId="130" fillId="0" borderId="6" xfId="0" applyNumberFormat="1" applyFont="1" applyBorder="1" applyAlignment="1">
      <alignment horizontal="right"/>
    </xf>
    <xf numFmtId="3" fontId="130" fillId="0" borderId="6" xfId="11" applyNumberFormat="1" applyFont="1" applyBorder="1" applyAlignment="1">
      <alignment vertical="top"/>
    </xf>
    <xf numFmtId="3" fontId="130" fillId="0" borderId="6" xfId="0" applyNumberFormat="1" applyFont="1" applyBorder="1"/>
    <xf numFmtId="3" fontId="133" fillId="0" borderId="3" xfId="11" applyNumberFormat="1" applyFont="1" applyBorder="1" applyAlignment="1">
      <alignment vertical="center"/>
    </xf>
    <xf numFmtId="3" fontId="133" fillId="0" borderId="4" xfId="11" applyNumberFormat="1" applyFont="1" applyBorder="1" applyAlignment="1">
      <alignment vertical="center"/>
    </xf>
    <xf numFmtId="0" fontId="135" fillId="8" borderId="17" xfId="0" applyFont="1" applyFill="1" applyBorder="1" applyAlignment="1">
      <alignment horizontal="left" vertical="center"/>
    </xf>
    <xf numFmtId="0" fontId="139" fillId="0" borderId="0" xfId="11" applyFont="1" applyAlignment="1">
      <alignment vertical="center"/>
    </xf>
    <xf numFmtId="0" fontId="135" fillId="7" borderId="10" xfId="0" applyFont="1" applyFill="1" applyBorder="1" applyAlignment="1">
      <alignment horizontal="left" vertical="center"/>
    </xf>
    <xf numFmtId="0" fontId="135" fillId="0" borderId="10" xfId="0" applyFont="1" applyBorder="1" applyAlignment="1">
      <alignment vertical="center"/>
    </xf>
    <xf numFmtId="168" fontId="136" fillId="0" borderId="10" xfId="1" applyNumberFormat="1" applyFont="1" applyFill="1" applyBorder="1" applyAlignment="1" applyProtection="1">
      <alignment horizontal="right" vertical="center"/>
    </xf>
    <xf numFmtId="3" fontId="136" fillId="0" borderId="10" xfId="0" applyNumberFormat="1" applyFont="1" applyBorder="1" applyAlignment="1">
      <alignment vertical="center"/>
    </xf>
    <xf numFmtId="172" fontId="138" fillId="0" borderId="10" xfId="11" applyNumberFormat="1" applyFont="1" applyBorder="1" applyAlignment="1">
      <alignment horizontal="right" vertical="center"/>
    </xf>
    <xf numFmtId="3" fontId="136" fillId="0" borderId="10" xfId="11" applyNumberFormat="1" applyFont="1" applyBorder="1" applyAlignment="1">
      <alignment horizontal="right" vertical="center"/>
    </xf>
    <xf numFmtId="49" fontId="135" fillId="4" borderId="10" xfId="0" applyNumberFormat="1" applyFont="1" applyFill="1" applyBorder="1" applyAlignment="1">
      <alignment horizontal="left" vertical="center"/>
    </xf>
    <xf numFmtId="0" fontId="135" fillId="6" borderId="10" xfId="0" applyFont="1" applyFill="1" applyBorder="1" applyAlignment="1">
      <alignment horizontal="left" vertical="center"/>
    </xf>
    <xf numFmtId="172" fontId="138" fillId="0" borderId="10" xfId="11" applyNumberFormat="1" applyFont="1" applyBorder="1" applyAlignment="1">
      <alignment vertical="center"/>
    </xf>
    <xf numFmtId="3" fontId="136" fillId="0" borderId="10" xfId="11" applyNumberFormat="1" applyFont="1" applyBorder="1" applyAlignment="1">
      <alignment vertical="center"/>
    </xf>
    <xf numFmtId="49" fontId="135" fillId="3" borderId="10" xfId="0" applyNumberFormat="1" applyFont="1" applyFill="1" applyBorder="1" applyAlignment="1">
      <alignment horizontal="left" vertical="center"/>
    </xf>
    <xf numFmtId="0" fontId="101" fillId="0" borderId="1" xfId="0" applyFont="1" applyBorder="1" applyAlignment="1">
      <alignment vertical="center"/>
    </xf>
    <xf numFmtId="49" fontId="101" fillId="0" borderId="1" xfId="0" applyNumberFormat="1" applyFont="1" applyBorder="1" applyAlignment="1">
      <alignment horizontal="left" vertical="center"/>
    </xf>
    <xf numFmtId="172" fontId="106" fillId="0" borderId="17" xfId="1" applyNumberFormat="1" applyFont="1" applyFill="1" applyBorder="1" applyAlignment="1" applyProtection="1">
      <alignment horizontal="right" vertical="center"/>
    </xf>
    <xf numFmtId="49" fontId="101" fillId="0" borderId="17" xfId="11" applyNumberFormat="1" applyFont="1" applyBorder="1" applyAlignment="1">
      <alignment horizontal="left" vertical="center"/>
    </xf>
    <xf numFmtId="172" fontId="94" fillId="0" borderId="12" xfId="11" applyNumberFormat="1" applyFont="1" applyBorder="1" applyAlignment="1">
      <alignment vertical="center"/>
    </xf>
    <xf numFmtId="172" fontId="96" fillId="0" borderId="12" xfId="11" applyNumberFormat="1" applyFont="1" applyBorder="1" applyAlignment="1">
      <alignment vertical="center"/>
    </xf>
    <xf numFmtId="172" fontId="94" fillId="12" borderId="12" xfId="11" applyNumberFormat="1" applyFont="1" applyFill="1" applyBorder="1" applyAlignment="1">
      <alignment vertical="center"/>
    </xf>
    <xf numFmtId="172" fontId="96" fillId="0" borderId="17" xfId="11" applyNumberFormat="1" applyFont="1" applyBorder="1" applyAlignment="1">
      <alignment vertical="center"/>
    </xf>
    <xf numFmtId="172" fontId="97" fillId="0" borderId="17" xfId="11" applyNumberFormat="1" applyFont="1" applyBorder="1" applyAlignment="1">
      <alignment vertical="center"/>
    </xf>
    <xf numFmtId="49" fontId="91" fillId="0" borderId="21" xfId="11" applyNumberFormat="1" applyFont="1" applyBorder="1" applyAlignment="1">
      <alignment horizontal="left" vertical="center"/>
    </xf>
    <xf numFmtId="0" fontId="91" fillId="0" borderId="21" xfId="11" applyFont="1" applyBorder="1" applyAlignment="1">
      <alignment vertical="center"/>
    </xf>
    <xf numFmtId="172" fontId="98" fillId="0" borderId="11" xfId="11" applyNumberFormat="1" applyFont="1" applyBorder="1" applyAlignment="1">
      <alignment vertical="center"/>
    </xf>
    <xf numFmtId="3" fontId="88" fillId="0" borderId="12" xfId="11" applyNumberFormat="1" applyFont="1" applyBorder="1" applyAlignment="1">
      <alignment vertical="center"/>
    </xf>
    <xf numFmtId="2" fontId="140" fillId="0" borderId="21" xfId="11" applyNumberFormat="1" applyFont="1" applyBorder="1" applyAlignment="1">
      <alignment horizontal="right" wrapText="1"/>
    </xf>
    <xf numFmtId="2" fontId="140" fillId="0" borderId="0" xfId="11" applyNumberFormat="1" applyFont="1" applyAlignment="1">
      <alignment horizontal="right" textRotation="90" wrapText="1"/>
    </xf>
    <xf numFmtId="2" fontId="140" fillId="0" borderId="0" xfId="11" applyNumberFormat="1" applyFont="1" applyAlignment="1">
      <alignment horizontal="right" wrapText="1"/>
    </xf>
    <xf numFmtId="3" fontId="28" fillId="0" borderId="7" xfId="0" applyNumberFormat="1" applyFont="1" applyBorder="1" applyAlignment="1">
      <alignment vertical="center" wrapText="1"/>
    </xf>
    <xf numFmtId="9" fontId="142" fillId="0" borderId="2" xfId="1" applyFont="1" applyFill="1" applyBorder="1" applyAlignment="1"/>
    <xf numFmtId="10" fontId="146" fillId="0" borderId="26" xfId="0" applyNumberFormat="1" applyFont="1" applyBorder="1" applyAlignment="1">
      <alignment horizontal="right" vertical="center" wrapText="1"/>
    </xf>
    <xf numFmtId="10" fontId="146" fillId="0" borderId="27" xfId="0" applyNumberFormat="1" applyFont="1" applyBorder="1" applyAlignment="1">
      <alignment horizontal="right" vertical="center" wrapText="1"/>
    </xf>
    <xf numFmtId="9" fontId="146" fillId="0" borderId="27" xfId="0" applyNumberFormat="1" applyFont="1" applyBorder="1" applyAlignment="1">
      <alignment horizontal="right" vertical="center" wrapText="1"/>
    </xf>
    <xf numFmtId="9" fontId="130" fillId="0" borderId="27" xfId="0" applyNumberFormat="1" applyFont="1" applyBorder="1" applyAlignment="1">
      <alignment horizontal="right" vertical="center" wrapText="1"/>
    </xf>
    <xf numFmtId="10" fontId="130" fillId="0" borderId="27" xfId="0" applyNumberFormat="1" applyFont="1" applyBorder="1" applyAlignment="1">
      <alignment horizontal="right" vertical="center" wrapText="1"/>
    </xf>
    <xf numFmtId="10" fontId="6" fillId="0" borderId="0" xfId="11" applyNumberFormat="1"/>
    <xf numFmtId="9" fontId="146" fillId="0" borderId="26" xfId="0" applyNumberFormat="1" applyFont="1" applyBorder="1" applyAlignment="1">
      <alignment horizontal="right" vertical="center" wrapText="1"/>
    </xf>
    <xf numFmtId="168" fontId="146" fillId="0" borderId="27" xfId="0" applyNumberFormat="1" applyFont="1" applyBorder="1" applyAlignment="1">
      <alignment horizontal="right" vertical="center" wrapText="1"/>
    </xf>
    <xf numFmtId="168" fontId="130" fillId="0" borderId="27" xfId="0" applyNumberFormat="1" applyFont="1" applyBorder="1" applyAlignment="1">
      <alignment horizontal="right" vertical="center" wrapText="1"/>
    </xf>
    <xf numFmtId="3" fontId="74" fillId="0" borderId="4" xfId="0" applyNumberFormat="1" applyFont="1" applyBorder="1"/>
    <xf numFmtId="3" fontId="60" fillId="0" borderId="0" xfId="2" applyNumberFormat="1" applyFont="1" applyAlignment="1"/>
    <xf numFmtId="0" fontId="200" fillId="0" borderId="0" xfId="25" applyAlignment="1">
      <alignment vertical="top"/>
    </xf>
    <xf numFmtId="0" fontId="200" fillId="0" borderId="0" xfId="25" applyBorder="1" applyAlignment="1">
      <alignment horizontal="left" vertical="top" wrapText="1"/>
    </xf>
    <xf numFmtId="0" fontId="200" fillId="0" borderId="0" xfId="25" applyBorder="1" applyAlignment="1"/>
    <xf numFmtId="0" fontId="36" fillId="0" borderId="0" xfId="9" applyNumberFormat="1" applyFont="1" applyAlignment="1">
      <alignment horizontal="left" vertical="center" indent="3"/>
    </xf>
    <xf numFmtId="0" fontId="36" fillId="0" borderId="0" xfId="9" quotePrefix="1" applyNumberFormat="1" applyFont="1" applyAlignment="1">
      <alignment horizontal="left" vertical="center" indent="3"/>
    </xf>
    <xf numFmtId="1" fontId="60" fillId="0" borderId="3" xfId="0" applyNumberFormat="1" applyFont="1" applyBorder="1"/>
    <xf numFmtId="0" fontId="52" fillId="0" borderId="3" xfId="0" applyFont="1" applyBorder="1" applyAlignment="1">
      <alignment vertical="center"/>
    </xf>
    <xf numFmtId="0" fontId="109" fillId="0" borderId="0" xfId="9" applyNumberFormat="1" applyFont="1" applyBorder="1" applyAlignment="1">
      <alignment horizontal="left" vertical="center"/>
    </xf>
    <xf numFmtId="167" fontId="18" fillId="0" borderId="1" xfId="17" applyFont="1" applyBorder="1">
      <alignment vertical="center"/>
    </xf>
    <xf numFmtId="0" fontId="109" fillId="0" borderId="6" xfId="9" applyNumberFormat="1" applyFont="1" applyBorder="1" applyAlignment="1">
      <alignment horizontal="left" vertical="center"/>
    </xf>
    <xf numFmtId="0" fontId="16" fillId="0" borderId="1" xfId="9" applyNumberFormat="1" applyFont="1" applyBorder="1" applyAlignment="1">
      <alignment horizontal="left" vertical="center"/>
    </xf>
    <xf numFmtId="0" fontId="35" fillId="0" borderId="6" xfId="0" applyFont="1" applyBorder="1" applyAlignment="1">
      <alignment wrapText="1"/>
    </xf>
    <xf numFmtId="0" fontId="52" fillId="0" borderId="8" xfId="0" applyFont="1" applyBorder="1" applyAlignment="1">
      <alignment vertical="center"/>
    </xf>
    <xf numFmtId="0" fontId="35" fillId="0" borderId="3" xfId="0" applyFont="1" applyBorder="1" applyAlignment="1">
      <alignment wrapText="1"/>
    </xf>
    <xf numFmtId="167" fontId="18" fillId="0" borderId="6" xfId="17" applyFont="1" applyBorder="1" applyAlignment="1">
      <alignment horizontal="right" vertical="center"/>
    </xf>
    <xf numFmtId="167" fontId="118" fillId="0" borderId="3" xfId="17" applyFont="1" applyBorder="1">
      <alignment vertical="center"/>
    </xf>
    <xf numFmtId="167" fontId="35" fillId="0" borderId="1" xfId="17" applyBorder="1">
      <alignment vertical="center"/>
    </xf>
    <xf numFmtId="0" fontId="35" fillId="0" borderId="0" xfId="0" applyFont="1" applyAlignment="1">
      <alignment wrapText="1"/>
    </xf>
    <xf numFmtId="3" fontId="60" fillId="0" borderId="4" xfId="0" applyNumberFormat="1" applyFont="1" applyBorder="1"/>
    <xf numFmtId="0" fontId="118" fillId="0" borderId="4" xfId="0" applyFont="1" applyBorder="1" applyAlignment="1">
      <alignment vertical="center"/>
    </xf>
    <xf numFmtId="0" fontId="149" fillId="0" borderId="4" xfId="0" applyFont="1" applyBorder="1" applyAlignment="1">
      <alignment vertical="center"/>
    </xf>
    <xf numFmtId="3" fontId="118" fillId="0" borderId="4" xfId="0" applyNumberFormat="1" applyFont="1" applyBorder="1" applyAlignment="1">
      <alignment vertical="center" wrapText="1"/>
    </xf>
    <xf numFmtId="3" fontId="118" fillId="0" borderId="4" xfId="0" applyNumberFormat="1" applyFont="1" applyBorder="1" applyAlignment="1">
      <alignment vertical="center"/>
    </xf>
    <xf numFmtId="0" fontId="120" fillId="0" borderId="1" xfId="11" applyFont="1" applyBorder="1" applyAlignment="1">
      <alignment wrapText="1"/>
    </xf>
    <xf numFmtId="0" fontId="151" fillId="0" borderId="4" xfId="0" applyFont="1" applyBorder="1" applyAlignment="1">
      <alignment vertical="center"/>
    </xf>
    <xf numFmtId="3" fontId="151" fillId="13" borderId="4" xfId="0" applyNumberFormat="1" applyFont="1" applyFill="1" applyBorder="1" applyAlignment="1" applyProtection="1">
      <alignment vertical="center" wrapText="1"/>
      <protection locked="0"/>
    </xf>
    <xf numFmtId="3" fontId="151" fillId="0" borderId="4" xfId="0" applyNumberFormat="1" applyFont="1" applyBorder="1" applyAlignment="1">
      <alignment vertical="center" wrapText="1"/>
    </xf>
    <xf numFmtId="3" fontId="151" fillId="0" borderId="4" xfId="0" applyNumberFormat="1" applyFont="1" applyBorder="1" applyAlignment="1">
      <alignment vertical="center"/>
    </xf>
    <xf numFmtId="2" fontId="151" fillId="0" borderId="0" xfId="0" applyNumberFormat="1" applyFont="1" applyAlignment="1">
      <alignment wrapText="1"/>
    </xf>
    <xf numFmtId="0" fontId="151" fillId="0" borderId="0" xfId="11" applyFont="1" applyAlignment="1">
      <alignment wrapText="1"/>
    </xf>
    <xf numFmtId="0" fontId="32" fillId="0" borderId="1" xfId="10" applyFont="1" applyFill="1" applyBorder="1"/>
    <xf numFmtId="0" fontId="32" fillId="0" borderId="1" xfId="10" applyFont="1" applyFill="1" applyBorder="1" applyAlignment="1">
      <alignment wrapText="1"/>
    </xf>
    <xf numFmtId="0" fontId="32" fillId="0" borderId="7" xfId="21" applyBorder="1"/>
    <xf numFmtId="0" fontId="32" fillId="0" borderId="7" xfId="21" applyBorder="1" applyAlignment="1">
      <alignment wrapText="1"/>
    </xf>
    <xf numFmtId="0" fontId="32" fillId="0" borderId="0" xfId="21" applyBorder="1"/>
    <xf numFmtId="0" fontId="19" fillId="0" borderId="14" xfId="0" applyFont="1" applyBorder="1"/>
    <xf numFmtId="0" fontId="19" fillId="0" borderId="14" xfId="0" applyFont="1" applyBorder="1" applyAlignment="1">
      <alignment wrapText="1"/>
    </xf>
    <xf numFmtId="0" fontId="18" fillId="0" borderId="29" xfId="0" applyFont="1" applyBorder="1" applyAlignment="1">
      <alignment vertical="center"/>
    </xf>
    <xf numFmtId="0" fontId="23" fillId="0" borderId="29" xfId="0" applyFont="1" applyBorder="1" applyAlignment="1">
      <alignment vertical="center"/>
    </xf>
    <xf numFmtId="3" fontId="26" fillId="0" borderId="29" xfId="0" applyNumberFormat="1" applyFont="1" applyBorder="1" applyAlignment="1">
      <alignment vertical="center" wrapText="1"/>
    </xf>
    <xf numFmtId="3" fontId="20" fillId="0" borderId="29" xfId="0" applyNumberFormat="1" applyFont="1" applyBorder="1" applyAlignment="1">
      <alignment vertical="center"/>
    </xf>
    <xf numFmtId="0" fontId="60" fillId="0" borderId="7" xfId="0" applyFont="1" applyBorder="1" applyAlignment="1">
      <alignment horizontal="left" vertical="center"/>
    </xf>
    <xf numFmtId="0" fontId="60" fillId="0" borderId="8" xfId="0" applyFont="1" applyBorder="1" applyAlignment="1">
      <alignment horizontal="left" vertical="center"/>
    </xf>
    <xf numFmtId="49" fontId="18" fillId="0" borderId="0" xfId="0" applyNumberFormat="1" applyFont="1" applyAlignment="1">
      <alignment vertical="center" wrapText="1"/>
    </xf>
    <xf numFmtId="49" fontId="18" fillId="0" borderId="1" xfId="0" applyNumberFormat="1" applyFont="1" applyBorder="1" applyAlignment="1">
      <alignment vertical="center" wrapText="1"/>
    </xf>
    <xf numFmtId="49" fontId="154" fillId="0" borderId="0" xfId="26" applyNumberFormat="1" applyFont="1" applyBorder="1" applyAlignment="1">
      <alignment vertical="center" wrapText="1"/>
    </xf>
    <xf numFmtId="0" fontId="18" fillId="0" borderId="8" xfId="3" applyFont="1" applyBorder="1" applyProtection="1">
      <protection locked="0"/>
    </xf>
    <xf numFmtId="9" fontId="35" fillId="0" borderId="7" xfId="1" applyFont="1" applyBorder="1" applyProtection="1">
      <protection locked="0"/>
    </xf>
    <xf numFmtId="10" fontId="165" fillId="0" borderId="4" xfId="1" applyNumberFormat="1" applyFont="1" applyFill="1" applyBorder="1" applyAlignment="1" applyProtection="1">
      <alignment horizontal="right" vertical="top"/>
    </xf>
    <xf numFmtId="49" fontId="165" fillId="0" borderId="4" xfId="11" applyNumberFormat="1" applyFont="1" applyBorder="1" applyAlignment="1">
      <alignment horizontal="left" vertical="top" indent="1"/>
    </xf>
    <xf numFmtId="0" fontId="165" fillId="0" borderId="4" xfId="11" applyFont="1" applyBorder="1" applyAlignment="1">
      <alignment vertical="top"/>
    </xf>
    <xf numFmtId="10" fontId="165" fillId="0" borderId="4" xfId="1" applyNumberFormat="1" applyFont="1" applyFill="1" applyBorder="1" applyAlignment="1" applyProtection="1">
      <alignment vertical="top"/>
    </xf>
    <xf numFmtId="172" fontId="165" fillId="0" borderId="4" xfId="11" applyNumberFormat="1" applyFont="1" applyBorder="1" applyAlignment="1">
      <alignment vertical="top"/>
    </xf>
    <xf numFmtId="3" fontId="165" fillId="0" borderId="4" xfId="0" applyNumberFormat="1" applyFont="1" applyBorder="1"/>
    <xf numFmtId="0" fontId="166" fillId="0" borderId="0" xfId="11" applyFont="1" applyAlignment="1">
      <alignment vertical="top"/>
    </xf>
    <xf numFmtId="10" fontId="167" fillId="0" borderId="4" xfId="1" applyNumberFormat="1" applyFont="1" applyFill="1" applyBorder="1" applyAlignment="1" applyProtection="1">
      <alignment vertical="top"/>
    </xf>
    <xf numFmtId="172" fontId="167" fillId="0" borderId="4" xfId="11" applyNumberFormat="1" applyFont="1" applyBorder="1" applyAlignment="1">
      <alignment vertical="top"/>
    </xf>
    <xf numFmtId="3" fontId="167" fillId="0" borderId="4" xfId="0" applyNumberFormat="1" applyFont="1" applyBorder="1"/>
    <xf numFmtId="49" fontId="165" fillId="0" borderId="3" xfId="11" applyNumberFormat="1" applyFont="1" applyBorder="1" applyAlignment="1">
      <alignment horizontal="left" vertical="top" indent="1"/>
    </xf>
    <xf numFmtId="0" fontId="165" fillId="0" borderId="3" xfId="11" applyFont="1" applyBorder="1" applyAlignment="1">
      <alignment vertical="top"/>
    </xf>
    <xf numFmtId="10" fontId="165" fillId="0" borderId="3" xfId="1" applyNumberFormat="1" applyFont="1" applyFill="1" applyBorder="1" applyAlignment="1" applyProtection="1">
      <alignment horizontal="right" vertical="top"/>
    </xf>
    <xf numFmtId="10" fontId="167" fillId="0" borderId="3" xfId="1" applyNumberFormat="1" applyFont="1" applyFill="1" applyBorder="1" applyAlignment="1" applyProtection="1">
      <alignment vertical="top"/>
    </xf>
    <xf numFmtId="10" fontId="165" fillId="0" borderId="3" xfId="1" applyNumberFormat="1" applyFont="1" applyFill="1" applyBorder="1" applyAlignment="1" applyProtection="1">
      <alignment vertical="top"/>
    </xf>
    <xf numFmtId="172" fontId="165" fillId="0" borderId="3" xfId="11" applyNumberFormat="1" applyFont="1" applyBorder="1" applyAlignment="1">
      <alignment vertical="top"/>
    </xf>
    <xf numFmtId="3" fontId="165" fillId="0" borderId="3" xfId="0" applyNumberFormat="1" applyFont="1" applyBorder="1"/>
    <xf numFmtId="49" fontId="165" fillId="0" borderId="6" xfId="11" applyNumberFormat="1" applyFont="1" applyBorder="1" applyAlignment="1">
      <alignment horizontal="left" vertical="top" indent="1"/>
    </xf>
    <xf numFmtId="0" fontId="165" fillId="0" borderId="6" xfId="11" applyFont="1" applyBorder="1" applyAlignment="1">
      <alignment vertical="top"/>
    </xf>
    <xf numFmtId="10" fontId="165" fillId="0" borderId="6" xfId="1" applyNumberFormat="1" applyFont="1" applyFill="1" applyBorder="1" applyAlignment="1" applyProtection="1">
      <alignment horizontal="right" vertical="top"/>
    </xf>
    <xf numFmtId="10" fontId="165" fillId="0" borderId="6" xfId="1" applyNumberFormat="1" applyFont="1" applyFill="1" applyBorder="1" applyAlignment="1" applyProtection="1">
      <alignment vertical="top"/>
    </xf>
    <xf numFmtId="172" fontId="165" fillId="0" borderId="6" xfId="11" applyNumberFormat="1" applyFont="1" applyBorder="1" applyAlignment="1">
      <alignment vertical="top"/>
    </xf>
    <xf numFmtId="3" fontId="165" fillId="0" borderId="6" xfId="0" applyNumberFormat="1" applyFont="1" applyBorder="1"/>
    <xf numFmtId="10" fontId="167" fillId="0" borderId="6" xfId="1" applyNumberFormat="1" applyFont="1" applyFill="1" applyBorder="1" applyAlignment="1" applyProtection="1">
      <alignment vertical="top"/>
    </xf>
    <xf numFmtId="0" fontId="88" fillId="0" borderId="0" xfId="11" applyFont="1" applyAlignment="1">
      <alignment horizontal="left" vertical="center"/>
    </xf>
    <xf numFmtId="16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49" fontId="169" fillId="0" borderId="0" xfId="0" applyNumberFormat="1" applyFont="1" applyAlignment="1">
      <alignment horizontal="left" vertical="center"/>
    </xf>
    <xf numFmtId="0" fontId="170" fillId="0" borderId="0" xfId="11" applyFont="1" applyAlignment="1">
      <alignment vertical="center"/>
    </xf>
    <xf numFmtId="49" fontId="169" fillId="0" borderId="0" xfId="11" applyNumberFormat="1" applyFont="1" applyAlignment="1">
      <alignment horizontal="left" vertical="center"/>
    </xf>
    <xf numFmtId="49" fontId="171" fillId="0" borderId="0" xfId="11" applyNumberFormat="1" applyFont="1" applyAlignment="1">
      <alignment horizontal="left" vertical="center"/>
    </xf>
    <xf numFmtId="0" fontId="172" fillId="0" borderId="0" xfId="11" applyFont="1" applyAlignment="1">
      <alignment vertical="center"/>
    </xf>
    <xf numFmtId="49" fontId="171" fillId="0" borderId="17" xfId="11" applyNumberFormat="1" applyFont="1" applyBorder="1" applyAlignment="1">
      <alignment horizontal="left" vertical="center"/>
    </xf>
    <xf numFmtId="172" fontId="120" fillId="0" borderId="3" xfId="11" applyNumberFormat="1" applyFont="1" applyBorder="1" applyAlignment="1">
      <alignment vertical="top"/>
    </xf>
    <xf numFmtId="0" fontId="35" fillId="0" borderId="30" xfId="0" applyFont="1" applyBorder="1"/>
    <xf numFmtId="0" fontId="52" fillId="0" borderId="30" xfId="0" applyFont="1" applyBorder="1" applyAlignment="1">
      <alignment vertical="center"/>
    </xf>
    <xf numFmtId="0" fontId="33" fillId="0" borderId="30" xfId="12" applyBorder="1" applyAlignment="1">
      <alignment vertical="center"/>
    </xf>
    <xf numFmtId="0" fontId="33" fillId="0" borderId="30" xfId="12" applyBorder="1" applyAlignment="1"/>
    <xf numFmtId="0" fontId="25" fillId="0" borderId="4" xfId="11" applyFont="1" applyBorder="1" applyAlignment="1">
      <alignment wrapText="1"/>
    </xf>
    <xf numFmtId="0" fontId="60" fillId="0" borderId="4" xfId="0" applyFont="1" applyBorder="1" applyAlignment="1">
      <alignment horizontal="left" vertical="center"/>
    </xf>
    <xf numFmtId="3" fontId="141" fillId="0" borderId="3" xfId="11" applyNumberFormat="1" applyFont="1" applyBorder="1" applyAlignment="1">
      <alignment vertical="center"/>
    </xf>
    <xf numFmtId="0" fontId="140" fillId="0" borderId="4" xfId="11" applyFont="1" applyBorder="1" applyAlignment="1">
      <alignment horizontal="left" vertical="center"/>
    </xf>
    <xf numFmtId="0" fontId="88" fillId="0" borderId="16" xfId="11" applyFont="1" applyBorder="1" applyAlignment="1">
      <alignment horizontal="left" vertical="center"/>
    </xf>
    <xf numFmtId="168" fontId="88" fillId="0" borderId="16" xfId="1" applyNumberFormat="1" applyFont="1" applyFill="1" applyBorder="1" applyAlignment="1" applyProtection="1">
      <alignment vertical="center"/>
    </xf>
    <xf numFmtId="3" fontId="88" fillId="0" borderId="16" xfId="0" applyNumberFormat="1" applyFont="1" applyBorder="1" applyAlignment="1">
      <alignment vertical="center"/>
    </xf>
    <xf numFmtId="172" fontId="168" fillId="0" borderId="16" xfId="11" applyNumberFormat="1" applyFont="1" applyBorder="1" applyAlignment="1">
      <alignment vertical="center"/>
    </xf>
    <xf numFmtId="3" fontId="141" fillId="0" borderId="16" xfId="11" applyNumberFormat="1" applyFont="1" applyBorder="1" applyAlignment="1">
      <alignment vertical="center"/>
    </xf>
    <xf numFmtId="49" fontId="88" fillId="0" borderId="17" xfId="11" applyNumberFormat="1" applyFont="1" applyBorder="1" applyAlignment="1">
      <alignment horizontal="left" vertical="center"/>
    </xf>
    <xf numFmtId="3" fontId="167" fillId="0" borderId="6" xfId="0" applyNumberFormat="1" applyFont="1" applyBorder="1"/>
    <xf numFmtId="172" fontId="148" fillId="0" borderId="4" xfId="11" applyNumberFormat="1" applyFont="1" applyBorder="1" applyAlignment="1">
      <alignment vertical="top"/>
    </xf>
    <xf numFmtId="172" fontId="173" fillId="0" borderId="4" xfId="11" applyNumberFormat="1" applyFont="1" applyBorder="1" applyAlignment="1">
      <alignment vertical="top"/>
    </xf>
    <xf numFmtId="172" fontId="173" fillId="0" borderId="6" xfId="11" applyNumberFormat="1" applyFont="1" applyBorder="1" applyAlignment="1">
      <alignment vertical="top"/>
    </xf>
    <xf numFmtId="172" fontId="174" fillId="0" borderId="4" xfId="11" applyNumberFormat="1" applyFont="1" applyBorder="1" applyAlignment="1">
      <alignment vertical="top"/>
    </xf>
    <xf numFmtId="172" fontId="174" fillId="0" borderId="3" xfId="11" applyNumberFormat="1" applyFont="1" applyBorder="1" applyAlignment="1">
      <alignment vertical="top"/>
    </xf>
    <xf numFmtId="172" fontId="174" fillId="0" borderId="6" xfId="11" applyNumberFormat="1" applyFont="1" applyBorder="1" applyAlignment="1">
      <alignment vertical="top"/>
    </xf>
    <xf numFmtId="0" fontId="14" fillId="0" borderId="1" xfId="11" applyFont="1" applyBorder="1" applyAlignment="1">
      <alignment vertical="top"/>
    </xf>
    <xf numFmtId="49" fontId="165" fillId="0" borderId="1" xfId="11" applyNumberFormat="1" applyFont="1" applyBorder="1" applyAlignment="1">
      <alignment horizontal="left" vertical="top" indent="1"/>
    </xf>
    <xf numFmtId="0" fontId="165" fillId="0" borderId="1" xfId="11" applyFont="1" applyBorder="1" applyAlignment="1">
      <alignment vertical="top"/>
    </xf>
    <xf numFmtId="10" fontId="165" fillId="0" borderId="1" xfId="1" applyNumberFormat="1" applyFont="1" applyFill="1" applyBorder="1" applyAlignment="1" applyProtection="1">
      <alignment horizontal="right" vertical="top"/>
    </xf>
    <xf numFmtId="10" fontId="18" fillId="0" borderId="1" xfId="1" applyNumberFormat="1" applyFont="1" applyFill="1" applyBorder="1" applyAlignment="1" applyProtection="1">
      <alignment vertical="top"/>
    </xf>
    <xf numFmtId="172" fontId="120" fillId="0" borderId="1" xfId="11" applyNumberFormat="1" applyFont="1" applyBorder="1" applyAlignment="1">
      <alignment vertical="top"/>
    </xf>
    <xf numFmtId="3" fontId="167" fillId="0" borderId="1" xfId="0" applyNumberFormat="1" applyFont="1" applyBorder="1"/>
    <xf numFmtId="3" fontId="167" fillId="0" borderId="3" xfId="0" applyNumberFormat="1" applyFont="1" applyBorder="1"/>
    <xf numFmtId="0" fontId="14" fillId="0" borderId="7" xfId="11" applyFont="1" applyBorder="1" applyAlignment="1">
      <alignment vertical="top"/>
    </xf>
    <xf numFmtId="0" fontId="14" fillId="0" borderId="4" xfId="11" applyFont="1" applyBorder="1" applyAlignment="1">
      <alignment vertical="top"/>
    </xf>
    <xf numFmtId="3" fontId="175" fillId="0" borderId="0" xfId="11" applyNumberFormat="1" applyFont="1"/>
    <xf numFmtId="0" fontId="175" fillId="0" borderId="0" xfId="11" applyFont="1"/>
    <xf numFmtId="0" fontId="175" fillId="0" borderId="0" xfId="11" applyFont="1" applyAlignment="1">
      <alignment vertical="top"/>
    </xf>
    <xf numFmtId="0" fontId="175" fillId="0" borderId="7" xfId="11" applyFont="1" applyBorder="1" applyAlignment="1">
      <alignment vertical="top"/>
    </xf>
    <xf numFmtId="0" fontId="175" fillId="0" borderId="4" xfId="11" applyFont="1" applyBorder="1" applyAlignment="1">
      <alignment vertical="top"/>
    </xf>
    <xf numFmtId="0" fontId="175" fillId="0" borderId="1" xfId="11" applyFont="1" applyBorder="1" applyAlignment="1">
      <alignment vertical="top"/>
    </xf>
    <xf numFmtId="0" fontId="176" fillId="0" borderId="0" xfId="11" applyFont="1" applyAlignment="1">
      <alignment vertical="top"/>
    </xf>
    <xf numFmtId="0" fontId="177" fillId="0" borderId="0" xfId="11" applyFont="1" applyAlignment="1">
      <alignment vertical="top"/>
    </xf>
    <xf numFmtId="172" fontId="173" fillId="0" borderId="3" xfId="11" applyNumberFormat="1" applyFont="1" applyBorder="1" applyAlignment="1">
      <alignment vertical="top"/>
    </xf>
    <xf numFmtId="0" fontId="74" fillId="0" borderId="3" xfId="0" applyFont="1" applyBorder="1" applyAlignment="1">
      <alignment horizontal="left" vertical="center"/>
    </xf>
    <xf numFmtId="10" fontId="35" fillId="0" borderId="0" xfId="1" applyNumberFormat="1" applyFont="1" applyFill="1" applyBorder="1" applyAlignment="1">
      <alignment vertical="center"/>
    </xf>
    <xf numFmtId="10" fontId="35" fillId="0" borderId="0" xfId="1" applyNumberFormat="1" applyFont="1" applyBorder="1"/>
    <xf numFmtId="10" fontId="167" fillId="0" borderId="1" xfId="1" applyNumberFormat="1" applyFont="1" applyFill="1" applyBorder="1" applyAlignment="1" applyProtection="1">
      <alignment vertical="top"/>
    </xf>
    <xf numFmtId="172" fontId="173" fillId="0" borderId="1" xfId="11" applyNumberFormat="1" applyFont="1" applyBorder="1" applyAlignment="1">
      <alignment vertical="top"/>
    </xf>
    <xf numFmtId="0" fontId="6" fillId="0" borderId="4" xfId="11" applyBorder="1"/>
    <xf numFmtId="0" fontId="103" fillId="0" borderId="7" xfId="9" applyNumberFormat="1" applyFont="1" applyBorder="1" applyAlignment="1">
      <alignment horizontal="left" vertical="center" indent="2"/>
    </xf>
    <xf numFmtId="0" fontId="103" fillId="0" borderId="4" xfId="9" applyNumberFormat="1" applyFont="1" applyBorder="1" applyAlignment="1">
      <alignment horizontal="left" vertical="center" indent="2"/>
    </xf>
    <xf numFmtId="0" fontId="103" fillId="0" borderId="6" xfId="9" applyNumberFormat="1" applyFont="1" applyBorder="1" applyAlignment="1">
      <alignment horizontal="left" vertical="center" indent="2"/>
    </xf>
    <xf numFmtId="0" fontId="109" fillId="0" borderId="3" xfId="9" applyNumberFormat="1" applyFont="1" applyBorder="1" applyAlignment="1">
      <alignment horizontal="left" vertical="center"/>
    </xf>
    <xf numFmtId="3" fontId="60" fillId="0" borderId="3" xfId="0" applyNumberFormat="1" applyFont="1" applyBorder="1"/>
    <xf numFmtId="0" fontId="33" fillId="0" borderId="0" xfId="12" applyBorder="1" applyAlignment="1">
      <alignment vertical="center"/>
    </xf>
    <xf numFmtId="9" fontId="14" fillId="0" borderId="0" xfId="11" applyNumberFormat="1" applyFont="1" applyAlignment="1">
      <alignment vertical="top"/>
    </xf>
    <xf numFmtId="0" fontId="118" fillId="0" borderId="0" xfId="11" applyFont="1" applyAlignment="1">
      <alignment horizontal="left"/>
    </xf>
    <xf numFmtId="0" fontId="118" fillId="0" borderId="0" xfId="11" applyFont="1"/>
    <xf numFmtId="9" fontId="118" fillId="0" borderId="0" xfId="1" applyFont="1"/>
    <xf numFmtId="0" fontId="141" fillId="0" borderId="0" xfId="11" applyFont="1" applyAlignment="1">
      <alignment horizontal="left"/>
    </xf>
    <xf numFmtId="0" fontId="141" fillId="0" borderId="0" xfId="11" applyFont="1"/>
    <xf numFmtId="9" fontId="141" fillId="0" borderId="0" xfId="1" applyFont="1"/>
    <xf numFmtId="0" fontId="97" fillId="0" borderId="0" xfId="11" applyFont="1" applyAlignment="1">
      <alignment horizontal="left"/>
    </xf>
    <xf numFmtId="49" fontId="99" fillId="0" borderId="17" xfId="11" applyNumberFormat="1" applyFont="1" applyBorder="1" applyAlignment="1">
      <alignment horizontal="left" vertical="center"/>
    </xf>
    <xf numFmtId="0" fontId="140" fillId="0" borderId="3" xfId="11" applyFont="1" applyBorder="1" applyAlignment="1">
      <alignment horizontal="left" vertical="center"/>
    </xf>
    <xf numFmtId="172" fontId="168" fillId="0" borderId="3" xfId="11" applyNumberFormat="1" applyFont="1" applyBorder="1" applyAlignment="1">
      <alignment vertical="center"/>
    </xf>
    <xf numFmtId="3" fontId="178" fillId="0" borderId="17" xfId="11" applyNumberFormat="1" applyFont="1" applyBorder="1" applyAlignment="1">
      <alignment vertical="center"/>
    </xf>
    <xf numFmtId="3" fontId="87" fillId="0" borderId="17" xfId="11" applyNumberFormat="1" applyFont="1" applyBorder="1" applyAlignment="1">
      <alignment vertical="center"/>
    </xf>
    <xf numFmtId="0" fontId="89" fillId="0" borderId="17" xfId="11" applyFont="1" applyBorder="1" applyAlignment="1">
      <alignment horizontal="right" vertical="center"/>
    </xf>
    <xf numFmtId="0" fontId="97" fillId="0" borderId="17" xfId="11" applyFont="1" applyBorder="1" applyAlignment="1">
      <alignment horizontal="right" vertical="center"/>
    </xf>
    <xf numFmtId="3" fontId="98" fillId="0" borderId="1" xfId="11" applyNumberFormat="1" applyFont="1" applyBorder="1" applyAlignment="1">
      <alignment horizontal="right" textRotation="90" wrapText="1"/>
    </xf>
    <xf numFmtId="10" fontId="86" fillId="0" borderId="0" xfId="1" applyNumberFormat="1" applyFont="1" applyBorder="1" applyAlignment="1" applyProtection="1">
      <alignment horizontal="right" vertical="center"/>
    </xf>
    <xf numFmtId="2" fontId="179" fillId="0" borderId="3" xfId="11" applyNumberFormat="1" applyFont="1" applyBorder="1" applyAlignment="1">
      <alignment horizontal="left" vertical="center"/>
    </xf>
    <xf numFmtId="0" fontId="179" fillId="0" borderId="4" xfId="11" applyFont="1" applyBorder="1" applyAlignment="1">
      <alignment horizontal="left" vertical="center"/>
    </xf>
    <xf numFmtId="168" fontId="179" fillId="0" borderId="4" xfId="1" applyNumberFormat="1" applyFont="1" applyFill="1" applyBorder="1" applyAlignment="1" applyProtection="1">
      <alignment vertical="center"/>
    </xf>
    <xf numFmtId="3" fontId="179" fillId="0" borderId="4" xfId="0" applyNumberFormat="1" applyFont="1" applyBorder="1" applyAlignment="1">
      <alignment vertical="center"/>
    </xf>
    <xf numFmtId="3" fontId="180" fillId="0" borderId="4" xfId="11" applyNumberFormat="1" applyFont="1" applyBorder="1" applyAlignment="1">
      <alignment vertical="center"/>
    </xf>
    <xf numFmtId="172" fontId="181" fillId="0" borderId="4" xfId="11" applyNumberFormat="1" applyFont="1" applyBorder="1" applyAlignment="1">
      <alignment vertical="center"/>
    </xf>
    <xf numFmtId="3" fontId="179" fillId="0" borderId="4" xfId="11" applyNumberFormat="1" applyFont="1" applyBorder="1" applyAlignment="1">
      <alignment vertical="center"/>
    </xf>
    <xf numFmtId="3" fontId="179" fillId="0" borderId="4" xfId="11" applyNumberFormat="1" applyFont="1" applyBorder="1" applyAlignment="1">
      <alignment horizontal="left" vertical="center"/>
    </xf>
    <xf numFmtId="3" fontId="179" fillId="0" borderId="17" xfId="11" applyNumberFormat="1" applyFont="1" applyBorder="1" applyAlignment="1">
      <alignment horizontal="left" vertical="center"/>
    </xf>
    <xf numFmtId="168" fontId="179" fillId="0" borderId="17" xfId="1" applyNumberFormat="1" applyFont="1" applyFill="1" applyBorder="1" applyAlignment="1" applyProtection="1">
      <alignment vertical="center"/>
    </xf>
    <xf numFmtId="3" fontId="179" fillId="0" borderId="17" xfId="0" applyNumberFormat="1" applyFont="1" applyBorder="1" applyAlignment="1">
      <alignment vertical="center"/>
    </xf>
    <xf numFmtId="172" fontId="181" fillId="0" borderId="17" xfId="11" applyNumberFormat="1" applyFont="1" applyBorder="1" applyAlignment="1">
      <alignment vertical="center"/>
    </xf>
    <xf numFmtId="3" fontId="179" fillId="0" borderId="11" xfId="11" applyNumberFormat="1" applyFont="1" applyBorder="1" applyAlignment="1">
      <alignment vertical="center"/>
    </xf>
    <xf numFmtId="0" fontId="141" fillId="0" borderId="0" xfId="11" applyFont="1" applyAlignment="1">
      <alignment horizontal="left" vertical="center"/>
    </xf>
    <xf numFmtId="168" fontId="141" fillId="0" borderId="0" xfId="1" applyNumberFormat="1" applyFont="1" applyFill="1" applyBorder="1" applyAlignment="1" applyProtection="1">
      <alignment vertical="center"/>
    </xf>
    <xf numFmtId="3" fontId="141" fillId="0" borderId="0" xfId="0" applyNumberFormat="1" applyFont="1" applyAlignment="1">
      <alignment vertical="center"/>
    </xf>
    <xf numFmtId="0" fontId="183" fillId="0" borderId="0" xfId="11" applyFont="1" applyAlignment="1">
      <alignment horizontal="left" vertical="center"/>
    </xf>
    <xf numFmtId="168" fontId="183" fillId="0" borderId="0" xfId="1" applyNumberFormat="1" applyFont="1" applyFill="1" applyBorder="1" applyAlignment="1" applyProtection="1">
      <alignment vertical="center"/>
    </xf>
    <xf numFmtId="3" fontId="183" fillId="0" borderId="0" xfId="0" applyNumberFormat="1" applyFont="1" applyAlignment="1">
      <alignment vertical="center"/>
    </xf>
    <xf numFmtId="3" fontId="183" fillId="0" borderId="4" xfId="11" applyNumberFormat="1" applyFont="1" applyBorder="1" applyAlignment="1">
      <alignment vertical="center"/>
    </xf>
    <xf numFmtId="172" fontId="184" fillId="0" borderId="11" xfId="11" applyNumberFormat="1" applyFont="1" applyBorder="1" applyAlignment="1">
      <alignment vertical="center"/>
    </xf>
    <xf numFmtId="2" fontId="179" fillId="0" borderId="17" xfId="11" applyNumberFormat="1" applyFont="1" applyBorder="1" applyAlignment="1">
      <alignment horizontal="left" vertical="center"/>
    </xf>
    <xf numFmtId="0" fontId="179" fillId="0" borderId="11" xfId="11" applyFont="1" applyBorder="1" applyAlignment="1">
      <alignment horizontal="left" vertical="center"/>
    </xf>
    <xf numFmtId="168" fontId="179" fillId="0" borderId="11" xfId="1" applyNumberFormat="1" applyFont="1" applyFill="1" applyBorder="1" applyAlignment="1" applyProtection="1">
      <alignment vertical="center"/>
    </xf>
    <xf numFmtId="3" fontId="179" fillId="0" borderId="11" xfId="0" applyNumberFormat="1" applyFont="1" applyBorder="1" applyAlignment="1">
      <alignment vertical="center"/>
    </xf>
    <xf numFmtId="172" fontId="181" fillId="0" borderId="11" xfId="11" applyNumberFormat="1" applyFont="1" applyBorder="1" applyAlignment="1">
      <alignment vertical="center"/>
    </xf>
    <xf numFmtId="0" fontId="185" fillId="0" borderId="3" xfId="11" applyFont="1" applyBorder="1" applyAlignment="1">
      <alignment horizontal="left" vertical="center"/>
    </xf>
    <xf numFmtId="2" fontId="186" fillId="0" borderId="3" xfId="11" applyNumberFormat="1" applyFont="1" applyBorder="1" applyAlignment="1">
      <alignment horizontal="left" vertical="center"/>
    </xf>
    <xf numFmtId="2" fontId="187" fillId="0" borderId="3" xfId="11" applyNumberFormat="1" applyFont="1" applyBorder="1" applyAlignment="1">
      <alignment horizontal="left" vertical="center"/>
    </xf>
    <xf numFmtId="2" fontId="187" fillId="0" borderId="17" xfId="11" applyNumberFormat="1" applyFont="1" applyBorder="1" applyAlignment="1">
      <alignment horizontal="left" vertical="center"/>
    </xf>
    <xf numFmtId="3" fontId="188" fillId="0" borderId="3" xfId="11" applyNumberFormat="1" applyFont="1" applyBorder="1" applyAlignment="1">
      <alignment vertical="center"/>
    </xf>
    <xf numFmtId="3" fontId="188" fillId="0" borderId="4" xfId="11" applyNumberFormat="1" applyFont="1" applyBorder="1" applyAlignment="1">
      <alignment vertical="center"/>
    </xf>
    <xf numFmtId="3" fontId="187" fillId="0" borderId="4" xfId="11" applyNumberFormat="1" applyFont="1" applyBorder="1" applyAlignment="1">
      <alignment vertical="center"/>
    </xf>
    <xf numFmtId="3" fontId="187" fillId="0" borderId="11" xfId="11" applyNumberFormat="1" applyFont="1" applyBorder="1" applyAlignment="1">
      <alignment vertical="center"/>
    </xf>
    <xf numFmtId="3" fontId="185" fillId="0" borderId="3" xfId="11" applyNumberFormat="1" applyFont="1" applyBorder="1" applyAlignment="1">
      <alignment vertical="center"/>
    </xf>
    <xf numFmtId="0" fontId="189" fillId="0" borderId="0" xfId="11" applyFont="1" applyAlignment="1">
      <alignment horizontal="left" vertical="center"/>
    </xf>
    <xf numFmtId="172" fontId="190" fillId="0" borderId="3" xfId="11" applyNumberFormat="1" applyFont="1" applyBorder="1" applyAlignment="1">
      <alignment vertical="center"/>
    </xf>
    <xf numFmtId="172" fontId="191" fillId="0" borderId="4" xfId="11" applyNumberFormat="1" applyFont="1" applyBorder="1" applyAlignment="1">
      <alignment vertical="center"/>
    </xf>
    <xf numFmtId="172" fontId="191" fillId="0" borderId="11" xfId="11" applyNumberFormat="1" applyFont="1" applyBorder="1" applyAlignment="1">
      <alignment vertical="center"/>
    </xf>
    <xf numFmtId="172" fontId="192" fillId="0" borderId="17" xfId="11" applyNumberFormat="1" applyFont="1" applyBorder="1" applyAlignment="1">
      <alignment vertical="center"/>
    </xf>
    <xf numFmtId="2" fontId="179" fillId="0" borderId="4" xfId="11" applyNumberFormat="1" applyFont="1" applyBorder="1" applyAlignment="1">
      <alignment horizontal="left" vertical="center"/>
    </xf>
    <xf numFmtId="3" fontId="189" fillId="0" borderId="3" xfId="11" applyNumberFormat="1" applyFont="1" applyBorder="1" applyAlignment="1">
      <alignment vertical="center"/>
    </xf>
    <xf numFmtId="172" fontId="184" fillId="0" borderId="17" xfId="11" applyNumberFormat="1" applyFont="1" applyBorder="1" applyAlignment="1">
      <alignment vertical="center"/>
    </xf>
    <xf numFmtId="2" fontId="179" fillId="0" borderId="11" xfId="11" applyNumberFormat="1" applyFont="1" applyBorder="1" applyAlignment="1">
      <alignment horizontal="left" vertical="center"/>
    </xf>
    <xf numFmtId="0" fontId="141" fillId="0" borderId="16" xfId="11" applyFont="1" applyBorder="1" applyAlignment="1">
      <alignment horizontal="left" vertical="center"/>
    </xf>
    <xf numFmtId="168" fontId="141" fillId="0" borderId="16" xfId="1" applyNumberFormat="1" applyFont="1" applyFill="1" applyBorder="1" applyAlignment="1" applyProtection="1">
      <alignment vertical="center"/>
    </xf>
    <xf numFmtId="3" fontId="141" fillId="0" borderId="16" xfId="0" applyNumberFormat="1" applyFont="1" applyBorder="1" applyAlignment="1">
      <alignment vertical="center"/>
    </xf>
    <xf numFmtId="168" fontId="140" fillId="0" borderId="3" xfId="1" applyNumberFormat="1" applyFont="1" applyFill="1" applyBorder="1" applyAlignment="1" applyProtection="1">
      <alignment vertical="center"/>
    </xf>
    <xf numFmtId="3" fontId="140" fillId="0" borderId="3" xfId="0" applyNumberFormat="1" applyFont="1" applyBorder="1" applyAlignment="1">
      <alignment vertical="center"/>
    </xf>
    <xf numFmtId="168" fontId="140" fillId="0" borderId="4" xfId="1" applyNumberFormat="1" applyFont="1" applyFill="1" applyBorder="1" applyAlignment="1" applyProtection="1">
      <alignment vertical="center"/>
    </xf>
    <xf numFmtId="3" fontId="140" fillId="0" borderId="4" xfId="0" applyNumberFormat="1" applyFont="1" applyBorder="1" applyAlignment="1">
      <alignment vertical="center"/>
    </xf>
    <xf numFmtId="168" fontId="128" fillId="0" borderId="4" xfId="1" applyNumberFormat="1" applyFont="1" applyFill="1" applyBorder="1" applyAlignment="1" applyProtection="1">
      <alignment vertical="center"/>
    </xf>
    <xf numFmtId="3" fontId="128" fillId="0" borderId="4" xfId="0" applyNumberFormat="1" applyFont="1" applyBorder="1" applyAlignment="1">
      <alignment vertical="center"/>
    </xf>
    <xf numFmtId="0" fontId="128" fillId="0" borderId="11" xfId="11" applyFont="1" applyBorder="1" applyAlignment="1">
      <alignment horizontal="left" vertical="center"/>
    </xf>
    <xf numFmtId="168" fontId="128" fillId="0" borderId="11" xfId="1" applyNumberFormat="1" applyFont="1" applyFill="1" applyBorder="1" applyAlignment="1" applyProtection="1">
      <alignment vertical="center"/>
    </xf>
    <xf numFmtId="3" fontId="128" fillId="0" borderId="11" xfId="0" applyNumberFormat="1" applyFont="1" applyBorder="1" applyAlignment="1">
      <alignment vertical="center"/>
    </xf>
    <xf numFmtId="0" fontId="185" fillId="0" borderId="16" xfId="11" applyFont="1" applyBorder="1" applyAlignment="1">
      <alignment horizontal="left" vertical="center"/>
    </xf>
    <xf numFmtId="3" fontId="186" fillId="0" borderId="3" xfId="11" applyNumberFormat="1" applyFont="1" applyBorder="1" applyAlignment="1">
      <alignment vertical="center"/>
    </xf>
    <xf numFmtId="3" fontId="186" fillId="0" borderId="4" xfId="11" applyNumberFormat="1" applyFont="1" applyBorder="1" applyAlignment="1">
      <alignment vertical="center"/>
    </xf>
    <xf numFmtId="172" fontId="196" fillId="0" borderId="3" xfId="11" applyNumberFormat="1" applyFont="1" applyBorder="1" applyAlignment="1">
      <alignment vertical="center"/>
    </xf>
    <xf numFmtId="172" fontId="197" fillId="0" borderId="4" xfId="11" applyNumberFormat="1" applyFont="1" applyBorder="1" applyAlignment="1">
      <alignment vertical="center"/>
    </xf>
    <xf numFmtId="0" fontId="179" fillId="0" borderId="3" xfId="11" applyFont="1" applyBorder="1" applyAlignment="1">
      <alignment horizontal="left" vertical="center"/>
    </xf>
    <xf numFmtId="168" fontId="179" fillId="0" borderId="3" xfId="1" applyNumberFormat="1" applyFont="1" applyFill="1" applyBorder="1" applyAlignment="1" applyProtection="1">
      <alignment vertical="center"/>
    </xf>
    <xf numFmtId="3" fontId="179" fillId="0" borderId="3" xfId="0" applyNumberFormat="1" applyFont="1" applyBorder="1" applyAlignment="1">
      <alignment vertical="center"/>
    </xf>
    <xf numFmtId="3" fontId="179" fillId="0" borderId="3" xfId="11" applyNumberFormat="1" applyFont="1" applyBorder="1" applyAlignment="1">
      <alignment vertical="center"/>
    </xf>
    <xf numFmtId="2" fontId="179" fillId="0" borderId="1" xfId="11" applyNumberFormat="1" applyFont="1" applyBorder="1" applyAlignment="1">
      <alignment horizontal="right" textRotation="90" wrapText="1"/>
    </xf>
    <xf numFmtId="0" fontId="179" fillId="0" borderId="1" xfId="11" applyFont="1" applyBorder="1" applyAlignment="1">
      <alignment horizontal="right" textRotation="90" wrapText="1"/>
    </xf>
    <xf numFmtId="3" fontId="179" fillId="0" borderId="1" xfId="11" applyNumberFormat="1" applyFont="1" applyBorder="1" applyAlignment="1">
      <alignment horizontal="right" textRotation="90" wrapText="1"/>
    </xf>
    <xf numFmtId="3" fontId="179" fillId="0" borderId="12" xfId="11" applyNumberFormat="1" applyFont="1" applyBorder="1" applyAlignment="1">
      <alignment vertical="center"/>
    </xf>
    <xf numFmtId="3" fontId="179" fillId="12" borderId="12" xfId="11" applyNumberFormat="1" applyFont="1" applyFill="1" applyBorder="1" applyAlignment="1">
      <alignment vertical="center"/>
    </xf>
    <xf numFmtId="10" fontId="179" fillId="0" borderId="0" xfId="1" applyNumberFormat="1" applyFont="1" applyBorder="1" applyAlignment="1" applyProtection="1">
      <alignment horizontal="right" vertical="center"/>
    </xf>
    <xf numFmtId="3" fontId="88" fillId="12" borderId="12" xfId="11" applyNumberFormat="1" applyFont="1" applyFill="1" applyBorder="1" applyAlignment="1">
      <alignment vertical="center"/>
    </xf>
    <xf numFmtId="3" fontId="99" fillId="0" borderId="17" xfId="11" applyNumberFormat="1" applyFont="1" applyBorder="1" applyAlignment="1">
      <alignment vertical="center"/>
    </xf>
    <xf numFmtId="172" fontId="198" fillId="0" borderId="17" xfId="11" applyNumberFormat="1" applyFont="1" applyBorder="1" applyAlignment="1">
      <alignment vertical="center"/>
    </xf>
    <xf numFmtId="172" fontId="181" fillId="0" borderId="12" xfId="11" applyNumberFormat="1" applyFont="1" applyBorder="1" applyAlignment="1">
      <alignment vertical="center"/>
    </xf>
    <xf numFmtId="172" fontId="181" fillId="12" borderId="12" xfId="11" applyNumberFormat="1" applyFont="1" applyFill="1" applyBorder="1" applyAlignment="1">
      <alignment vertical="center"/>
    </xf>
    <xf numFmtId="3" fontId="108" fillId="13" borderId="4" xfId="0" applyNumberFormat="1" applyFont="1" applyFill="1" applyBorder="1" applyAlignment="1" applyProtection="1">
      <alignment wrapText="1"/>
      <protection locked="0"/>
    </xf>
    <xf numFmtId="0" fontId="18" fillId="13" borderId="4" xfId="0" applyFont="1" applyFill="1" applyBorder="1" applyAlignment="1" applyProtection="1">
      <alignment vertical="center"/>
      <protection locked="0"/>
    </xf>
    <xf numFmtId="0" fontId="26" fillId="13" borderId="3" xfId="0" applyFont="1" applyFill="1" applyBorder="1" applyAlignment="1" applyProtection="1">
      <alignment vertical="center" wrapText="1"/>
      <protection locked="0"/>
    </xf>
    <xf numFmtId="0" fontId="41" fillId="13" borderId="4" xfId="0" applyFont="1" applyFill="1" applyBorder="1" applyAlignment="1" applyProtection="1">
      <alignment vertical="center"/>
      <protection locked="0"/>
    </xf>
    <xf numFmtId="168" fontId="117" fillId="13" borderId="0" xfId="1" applyNumberFormat="1" applyFont="1" applyFill="1" applyBorder="1" applyAlignment="1" applyProtection="1">
      <alignment vertical="center"/>
      <protection locked="0"/>
    </xf>
    <xf numFmtId="168" fontId="117" fillId="13" borderId="3" xfId="1" applyNumberFormat="1" applyFont="1" applyFill="1" applyBorder="1" applyAlignment="1" applyProtection="1">
      <alignment vertical="center"/>
      <protection locked="0"/>
    </xf>
    <xf numFmtId="168" fontId="108" fillId="13" borderId="0" xfId="1" applyNumberFormat="1" applyFont="1" applyFill="1" applyBorder="1" applyAlignment="1" applyProtection="1">
      <alignment vertical="center"/>
      <protection locked="0"/>
    </xf>
    <xf numFmtId="168" fontId="108" fillId="13" borderId="3" xfId="1" applyNumberFormat="1" applyFont="1" applyFill="1" applyBorder="1" applyAlignment="1" applyProtection="1">
      <alignment vertical="center"/>
      <protection locked="0"/>
    </xf>
    <xf numFmtId="3" fontId="129" fillId="13" borderId="2" xfId="11" applyNumberFormat="1" applyFont="1" applyFill="1" applyBorder="1" applyAlignment="1" applyProtection="1">
      <alignment vertical="center"/>
      <protection locked="0"/>
    </xf>
    <xf numFmtId="3" fontId="129" fillId="13" borderId="7" xfId="11" applyNumberFormat="1" applyFont="1" applyFill="1" applyBorder="1" applyAlignment="1" applyProtection="1">
      <alignment vertical="center"/>
      <protection locked="0"/>
    </xf>
    <xf numFmtId="3" fontId="129" fillId="13" borderId="4" xfId="11" applyNumberFormat="1" applyFont="1" applyFill="1" applyBorder="1" applyAlignment="1" applyProtection="1">
      <alignment vertical="center"/>
      <protection locked="0"/>
    </xf>
    <xf numFmtId="3" fontId="129" fillId="13" borderId="6" xfId="11" applyNumberFormat="1" applyFont="1" applyFill="1" applyBorder="1" applyAlignment="1" applyProtection="1">
      <alignment vertical="center"/>
      <protection locked="0"/>
    </xf>
    <xf numFmtId="3" fontId="129" fillId="13" borderId="23" xfId="11" applyNumberFormat="1" applyFont="1" applyFill="1" applyBorder="1" applyAlignment="1" applyProtection="1">
      <alignment vertical="center"/>
      <protection locked="0"/>
    </xf>
    <xf numFmtId="3" fontId="129" fillId="13" borderId="24" xfId="11" applyNumberFormat="1" applyFont="1" applyFill="1" applyBorder="1" applyAlignment="1" applyProtection="1">
      <alignment vertical="center"/>
      <protection locked="0"/>
    </xf>
    <xf numFmtId="3" fontId="131" fillId="13" borderId="23" xfId="11" applyNumberFormat="1" applyFont="1" applyFill="1" applyBorder="1" applyAlignment="1" applyProtection="1">
      <alignment vertical="top"/>
      <protection locked="0"/>
    </xf>
    <xf numFmtId="3" fontId="131" fillId="13" borderId="24" xfId="11" applyNumberFormat="1" applyFont="1" applyFill="1" applyBorder="1" applyAlignment="1" applyProtection="1">
      <alignment vertical="top"/>
      <protection locked="0"/>
    </xf>
    <xf numFmtId="3" fontId="131" fillId="13" borderId="25" xfId="11" applyNumberFormat="1" applyFont="1" applyFill="1" applyBorder="1" applyAlignment="1" applyProtection="1">
      <alignment vertical="top"/>
      <protection locked="0"/>
    </xf>
    <xf numFmtId="3" fontId="25" fillId="13" borderId="7" xfId="11" applyNumberFormat="1" applyFont="1" applyFill="1" applyBorder="1" applyAlignment="1" applyProtection="1">
      <alignment vertical="center"/>
      <protection locked="0"/>
    </xf>
    <xf numFmtId="3" fontId="25" fillId="13" borderId="4" xfId="11" applyNumberFormat="1" applyFont="1" applyFill="1" applyBorder="1" applyAlignment="1" applyProtection="1">
      <alignment vertical="center"/>
      <protection locked="0"/>
    </xf>
    <xf numFmtId="3" fontId="130" fillId="13" borderId="7" xfId="11" applyNumberFormat="1" applyFont="1" applyFill="1" applyBorder="1" applyAlignment="1" applyProtection="1">
      <alignment vertical="top"/>
      <protection locked="0"/>
    </xf>
    <xf numFmtId="3" fontId="130" fillId="13" borderId="4" xfId="11" applyNumberFormat="1" applyFont="1" applyFill="1" applyBorder="1" applyAlignment="1" applyProtection="1">
      <alignment vertical="top"/>
      <protection locked="0"/>
    </xf>
    <xf numFmtId="3" fontId="130" fillId="13" borderId="6" xfId="11" applyNumberFormat="1" applyFont="1" applyFill="1" applyBorder="1" applyAlignment="1" applyProtection="1">
      <alignment vertical="top"/>
      <protection locked="0"/>
    </xf>
    <xf numFmtId="9" fontId="17" fillId="13" borderId="7" xfId="1" applyFont="1" applyFill="1" applyBorder="1" applyAlignment="1" applyProtection="1">
      <protection locked="0"/>
    </xf>
    <xf numFmtId="9" fontId="17" fillId="13" borderId="4" xfId="1" applyFont="1" applyFill="1" applyBorder="1" applyAlignment="1" applyProtection="1">
      <protection locked="0"/>
    </xf>
    <xf numFmtId="0" fontId="38" fillId="13" borderId="7" xfId="9" applyNumberFormat="1" applyFont="1" applyFill="1" applyBorder="1" applyAlignment="1" applyProtection="1">
      <protection locked="0"/>
    </xf>
    <xf numFmtId="0" fontId="38" fillId="13" borderId="4" xfId="9" applyNumberFormat="1" applyFont="1" applyFill="1" applyBorder="1" applyAlignment="1" applyProtection="1">
      <protection locked="0"/>
    </xf>
    <xf numFmtId="0" fontId="38" fillId="13" borderId="6" xfId="9" applyNumberFormat="1" applyFont="1" applyFill="1" applyBorder="1" applyAlignment="1" applyProtection="1">
      <protection locked="0"/>
    </xf>
    <xf numFmtId="3" fontId="137" fillId="0" borderId="10" xfId="11" applyNumberFormat="1" applyFont="1" applyBorder="1" applyAlignment="1" applyProtection="1">
      <alignment horizontal="right" vertical="center"/>
      <protection locked="0"/>
    </xf>
    <xf numFmtId="3" fontId="144" fillId="13" borderId="12" xfId="11" applyNumberFormat="1" applyFont="1" applyFill="1" applyBorder="1" applyAlignment="1" applyProtection="1">
      <alignment vertical="center"/>
      <protection locked="0"/>
    </xf>
    <xf numFmtId="3" fontId="133" fillId="0" borderId="3" xfId="11" applyNumberFormat="1" applyFont="1" applyBorder="1" applyAlignment="1" applyProtection="1">
      <alignment vertical="center"/>
      <protection locked="0"/>
    </xf>
    <xf numFmtId="3" fontId="133" fillId="0" borderId="4" xfId="11" applyNumberFormat="1" applyFont="1" applyBorder="1" applyAlignment="1" applyProtection="1">
      <alignment vertical="center"/>
      <protection locked="0"/>
    </xf>
    <xf numFmtId="3" fontId="180" fillId="0" borderId="4" xfId="11" applyNumberFormat="1" applyFont="1" applyBorder="1" applyAlignment="1" applyProtection="1">
      <alignment vertical="center"/>
      <protection locked="0"/>
    </xf>
    <xf numFmtId="3" fontId="180" fillId="0" borderId="11" xfId="11" applyNumberFormat="1" applyFont="1" applyBorder="1" applyAlignment="1" applyProtection="1">
      <alignment vertical="center"/>
      <protection locked="0"/>
    </xf>
    <xf numFmtId="3" fontId="144" fillId="13" borderId="1" xfId="11" applyNumberFormat="1" applyFont="1" applyFill="1" applyBorder="1" applyAlignment="1" applyProtection="1">
      <alignment vertical="center"/>
      <protection locked="0"/>
    </xf>
    <xf numFmtId="1" fontId="137" fillId="0" borderId="10" xfId="11" applyNumberFormat="1" applyFont="1" applyBorder="1" applyAlignment="1" applyProtection="1">
      <alignment vertical="center"/>
      <protection locked="0"/>
    </xf>
    <xf numFmtId="3" fontId="145" fillId="13" borderId="12" xfId="11" applyNumberFormat="1" applyFont="1" applyFill="1" applyBorder="1" applyAlignment="1" applyProtection="1">
      <alignment vertical="center"/>
      <protection locked="0"/>
    </xf>
    <xf numFmtId="3" fontId="180" fillId="0" borderId="17" xfId="11" applyNumberFormat="1" applyFont="1" applyBorder="1" applyAlignment="1" applyProtection="1">
      <alignment vertical="center"/>
      <protection locked="0"/>
    </xf>
    <xf numFmtId="1" fontId="132" fillId="0" borderId="12" xfId="1" applyNumberFormat="1" applyFont="1" applyFill="1" applyBorder="1" applyAlignment="1" applyProtection="1">
      <alignment horizontal="right" vertical="center"/>
      <protection locked="0"/>
    </xf>
    <xf numFmtId="3" fontId="145" fillId="13" borderId="3" xfId="11" applyNumberFormat="1" applyFont="1" applyFill="1" applyBorder="1" applyAlignment="1" applyProtection="1">
      <alignment vertical="center"/>
      <protection locked="0"/>
    </xf>
    <xf numFmtId="3" fontId="145" fillId="13" borderId="11" xfId="11" applyNumberFormat="1" applyFont="1" applyFill="1" applyBorder="1" applyAlignment="1" applyProtection="1">
      <alignment vertical="center"/>
      <protection locked="0"/>
    </xf>
    <xf numFmtId="3" fontId="182" fillId="13" borderId="11" xfId="11" applyNumberFormat="1" applyFont="1" applyFill="1" applyBorder="1" applyAlignment="1" applyProtection="1">
      <alignment vertical="center"/>
      <protection locked="0"/>
    </xf>
    <xf numFmtId="1" fontId="144" fillId="13" borderId="12" xfId="1" applyNumberFormat="1" applyFont="1" applyFill="1" applyBorder="1" applyAlignment="1" applyProtection="1">
      <alignment horizontal="right" vertical="center"/>
      <protection locked="0"/>
    </xf>
    <xf numFmtId="3" fontId="134" fillId="0" borderId="4" xfId="11" applyNumberFormat="1" applyFont="1" applyBorder="1" applyAlignment="1" applyProtection="1">
      <alignment vertical="center"/>
      <protection locked="0"/>
    </xf>
    <xf numFmtId="3" fontId="134" fillId="0" borderId="11" xfId="11" applyNumberFormat="1" applyFont="1" applyBorder="1" applyAlignment="1" applyProtection="1">
      <alignment vertical="center"/>
      <protection locked="0"/>
    </xf>
    <xf numFmtId="3" fontId="145" fillId="13" borderId="17" xfId="11" applyNumberFormat="1" applyFont="1" applyFill="1" applyBorder="1" applyAlignment="1" applyProtection="1">
      <alignment vertical="center"/>
      <protection locked="0"/>
    </xf>
    <xf numFmtId="3" fontId="193" fillId="0" borderId="3" xfId="11" applyNumberFormat="1" applyFont="1" applyBorder="1" applyAlignment="1" applyProtection="1">
      <alignment vertical="center"/>
      <protection locked="0"/>
    </xf>
    <xf numFmtId="3" fontId="193" fillId="0" borderId="4" xfId="11" applyNumberFormat="1" applyFont="1" applyBorder="1" applyAlignment="1" applyProtection="1">
      <alignment vertical="center"/>
      <protection locked="0"/>
    </xf>
    <xf numFmtId="3" fontId="182" fillId="13" borderId="17" xfId="11" applyNumberFormat="1" applyFont="1" applyFill="1" applyBorder="1" applyAlignment="1" applyProtection="1">
      <alignment vertical="center"/>
      <protection locked="0"/>
    </xf>
    <xf numFmtId="3" fontId="145" fillId="13" borderId="0" xfId="11" applyNumberFormat="1" applyFont="1" applyFill="1" applyAlignment="1" applyProtection="1">
      <alignment vertical="center"/>
      <protection locked="0"/>
    </xf>
    <xf numFmtId="3" fontId="133" fillId="0" borderId="16" xfId="11" applyNumberFormat="1" applyFont="1" applyBorder="1" applyAlignment="1" applyProtection="1">
      <alignment vertical="center"/>
      <protection locked="0"/>
    </xf>
    <xf numFmtId="3" fontId="182" fillId="13" borderId="16" xfId="11" applyNumberFormat="1" applyFont="1" applyFill="1" applyBorder="1" applyAlignment="1" applyProtection="1">
      <alignment vertical="center"/>
      <protection locked="0"/>
    </xf>
    <xf numFmtId="3" fontId="194" fillId="0" borderId="3" xfId="11" applyNumberFormat="1" applyFont="1" applyBorder="1" applyAlignment="1" applyProtection="1">
      <alignment vertical="center"/>
      <protection locked="0"/>
    </xf>
    <xf numFmtId="3" fontId="194" fillId="0" borderId="4" xfId="11" applyNumberFormat="1" applyFont="1" applyBorder="1" applyAlignment="1" applyProtection="1">
      <alignment vertical="center"/>
      <protection locked="0"/>
    </xf>
    <xf numFmtId="3" fontId="195" fillId="0" borderId="4" xfId="11" applyNumberFormat="1" applyFont="1" applyBorder="1" applyAlignment="1" applyProtection="1">
      <alignment vertical="center"/>
      <protection locked="0"/>
    </xf>
    <xf numFmtId="3" fontId="145" fillId="13" borderId="16" xfId="11" applyNumberFormat="1" applyFont="1" applyFill="1" applyBorder="1" applyAlignment="1" applyProtection="1">
      <alignment vertical="center"/>
      <protection locked="0"/>
    </xf>
    <xf numFmtId="3" fontId="180" fillId="0" borderId="3" xfId="11" applyNumberFormat="1" applyFont="1" applyBorder="1" applyAlignment="1" applyProtection="1">
      <alignment vertical="center"/>
      <protection locked="0"/>
    </xf>
    <xf numFmtId="0" fontId="18" fillId="0" borderId="0" xfId="24" applyFont="1" applyProtection="1">
      <protection locked="0"/>
    </xf>
    <xf numFmtId="0" fontId="18" fillId="0" borderId="0" xfId="24" applyFont="1" applyAlignment="1" applyProtection="1">
      <alignment wrapText="1"/>
      <protection locked="0"/>
    </xf>
    <xf numFmtId="0" fontId="85" fillId="0" borderId="0" xfId="0" applyFont="1" applyAlignment="1" applyProtection="1">
      <alignment horizontal="right"/>
      <protection locked="0"/>
    </xf>
    <xf numFmtId="0" fontId="85" fillId="0" borderId="4" xfId="0" applyFont="1" applyBorder="1" applyProtection="1">
      <protection locked="0"/>
    </xf>
    <xf numFmtId="0" fontId="20" fillId="0" borderId="4" xfId="0" applyFont="1" applyBorder="1" applyProtection="1">
      <protection locked="0"/>
    </xf>
    <xf numFmtId="0" fontId="19" fillId="0" borderId="0" xfId="24" applyFont="1" applyProtection="1">
      <protection locked="0"/>
    </xf>
    <xf numFmtId="0" fontId="19" fillId="0" borderId="0" xfId="24" applyFont="1" applyAlignment="1" applyProtection="1">
      <alignment wrapText="1"/>
      <protection locked="0"/>
    </xf>
    <xf numFmtId="49" fontId="85" fillId="0" borderId="4" xfId="0" applyNumberFormat="1" applyFont="1" applyBorder="1" applyProtection="1">
      <protection locked="0"/>
    </xf>
    <xf numFmtId="49" fontId="20" fillId="0" borderId="4" xfId="0" applyNumberFormat="1" applyFont="1" applyBorder="1" applyProtection="1">
      <protection locked="0"/>
    </xf>
    <xf numFmtId="0" fontId="200" fillId="0" borderId="0" xfId="25" applyAlignment="1" applyProtection="1">
      <alignment horizontal="left" wrapText="1"/>
      <protection locked="0"/>
    </xf>
    <xf numFmtId="0" fontId="20" fillId="0" borderId="0" xfId="24" applyFont="1" applyProtection="1">
      <protection locked="0"/>
    </xf>
    <xf numFmtId="0" fontId="20" fillId="0" borderId="0" xfId="24" applyFont="1" applyAlignment="1" applyProtection="1">
      <alignment wrapText="1"/>
      <protection locked="0"/>
    </xf>
    <xf numFmtId="0" fontId="18" fillId="0" borderId="0" xfId="24" applyFont="1" applyAlignment="1" applyProtection="1">
      <alignment horizontal="right" vertical="top" indent="1"/>
      <protection locked="0"/>
    </xf>
    <xf numFmtId="49" fontId="18" fillId="0" borderId="0" xfId="24" applyNumberFormat="1" applyFont="1" applyAlignment="1" applyProtection="1">
      <alignment wrapText="1"/>
      <protection locked="0"/>
    </xf>
    <xf numFmtId="14" fontId="85" fillId="0" borderId="0" xfId="0" applyNumberFormat="1" applyFont="1" applyAlignment="1" applyProtection="1">
      <alignment horizontal="right"/>
      <protection locked="0"/>
    </xf>
    <xf numFmtId="14" fontId="85" fillId="0" borderId="4" xfId="0" applyNumberFormat="1" applyFont="1" applyBorder="1" applyAlignment="1" applyProtection="1">
      <alignment horizontal="left"/>
      <protection locked="0"/>
    </xf>
    <xf numFmtId="14" fontId="20" fillId="0" borderId="4" xfId="0" applyNumberFormat="1" applyFont="1" applyBorder="1" applyAlignment="1" applyProtection="1">
      <alignment horizontal="left"/>
      <protection locked="0"/>
    </xf>
    <xf numFmtId="0" fontId="20" fillId="0" borderId="0" xfId="24" applyFont="1" applyAlignment="1" applyProtection="1">
      <alignment horizontal="right" vertical="top" indent="1"/>
      <protection locked="0"/>
    </xf>
    <xf numFmtId="49" fontId="20" fillId="0" borderId="0" xfId="24" applyNumberFormat="1" applyFont="1" applyAlignment="1" applyProtection="1">
      <alignment horizontal="left" vertical="top" wrapText="1"/>
      <protection locked="0"/>
    </xf>
    <xf numFmtId="0" fontId="200" fillId="0" borderId="0" xfId="25" applyAlignment="1" applyProtection="1">
      <alignment vertical="center" wrapText="1"/>
      <protection locked="0"/>
    </xf>
    <xf numFmtId="0" fontId="33" fillId="0" borderId="0" xfId="24" applyFont="1" applyAlignment="1" applyProtection="1">
      <alignment vertical="center"/>
      <protection locked="0"/>
    </xf>
    <xf numFmtId="0" fontId="33" fillId="0" borderId="0" xfId="24" applyFont="1" applyAlignment="1" applyProtection="1">
      <alignment vertical="center" wrapText="1"/>
      <protection locked="0"/>
    </xf>
    <xf numFmtId="0" fontId="20" fillId="0" borderId="0" xfId="24" applyFont="1" applyAlignment="1" applyProtection="1">
      <alignment horizontal="left"/>
      <protection locked="0"/>
    </xf>
    <xf numFmtId="2" fontId="20" fillId="0" borderId="0" xfId="24" applyNumberFormat="1" applyFont="1" applyAlignment="1" applyProtection="1">
      <alignment wrapText="1"/>
      <protection locked="0"/>
    </xf>
    <xf numFmtId="2" fontId="22" fillId="0" borderId="0" xfId="24" applyNumberFormat="1" applyFont="1" applyProtection="1">
      <protection locked="0"/>
    </xf>
    <xf numFmtId="2" fontId="22" fillId="0" borderId="0" xfId="24" applyNumberFormat="1" applyFont="1" applyAlignment="1" applyProtection="1">
      <alignment wrapText="1"/>
      <protection locked="0"/>
    </xf>
    <xf numFmtId="0" fontId="85" fillId="0" borderId="1" xfId="11" applyFont="1" applyBorder="1" applyAlignment="1" applyProtection="1">
      <alignment horizontal="left"/>
      <protection locked="0"/>
    </xf>
    <xf numFmtId="0" fontId="85" fillId="0" borderId="1" xfId="11" applyFont="1" applyBorder="1" applyAlignment="1" applyProtection="1">
      <alignment wrapText="1"/>
      <protection locked="0"/>
    </xf>
    <xf numFmtId="0" fontId="104" fillId="0" borderId="1" xfId="11" applyFont="1" applyBorder="1" applyAlignment="1" applyProtection="1">
      <alignment wrapText="1"/>
      <protection locked="0"/>
    </xf>
    <xf numFmtId="0" fontId="104" fillId="0" borderId="0" xfId="11" applyFont="1" applyAlignment="1" applyProtection="1">
      <alignment wrapText="1"/>
      <protection locked="0"/>
    </xf>
    <xf numFmtId="0" fontId="14" fillId="0" borderId="0" xfId="11" applyFont="1" applyProtection="1">
      <protection locked="0"/>
    </xf>
    <xf numFmtId="49" fontId="155" fillId="5" borderId="10" xfId="24" applyNumberFormat="1" applyFont="1" applyFill="1" applyBorder="1" applyAlignment="1" applyProtection="1">
      <alignment horizontal="left" vertical="center"/>
      <protection locked="0"/>
    </xf>
    <xf numFmtId="0" fontId="155" fillId="0" borderId="10" xfId="24" applyFont="1" applyBorder="1" applyAlignment="1" applyProtection="1">
      <alignment vertical="center" wrapText="1"/>
      <protection locked="0"/>
    </xf>
    <xf numFmtId="3" fontId="156" fillId="0" borderId="13" xfId="11" applyNumberFormat="1" applyFont="1" applyBorder="1" applyAlignment="1" applyProtection="1">
      <alignment horizontal="center" vertical="center"/>
      <protection locked="0"/>
    </xf>
    <xf numFmtId="3" fontId="156" fillId="0" borderId="13" xfId="11" applyNumberFormat="1" applyFont="1" applyBorder="1" applyAlignment="1" applyProtection="1">
      <alignment horizontal="right" vertical="center" wrapText="1"/>
      <protection locked="0"/>
    </xf>
    <xf numFmtId="3" fontId="156" fillId="0" borderId="13" xfId="11" applyNumberFormat="1" applyFont="1" applyBorder="1" applyAlignment="1" applyProtection="1">
      <alignment horizontal="right" vertical="center"/>
      <protection locked="0"/>
    </xf>
    <xf numFmtId="0" fontId="147" fillId="0" borderId="0" xfId="11" applyFont="1" applyAlignment="1" applyProtection="1">
      <alignment vertical="center"/>
      <protection locked="0"/>
    </xf>
    <xf numFmtId="0" fontId="157" fillId="0" borderId="12" xfId="24" applyFont="1" applyBorder="1" applyAlignment="1" applyProtection="1">
      <alignment horizontal="left" vertical="center"/>
      <protection locked="0"/>
    </xf>
    <xf numFmtId="0" fontId="157" fillId="0" borderId="12" xfId="24" applyFont="1" applyBorder="1" applyAlignment="1" applyProtection="1">
      <alignment horizontal="left" vertical="center" wrapText="1"/>
      <protection locked="0"/>
    </xf>
    <xf numFmtId="3" fontId="104" fillId="0" borderId="12" xfId="11" applyNumberFormat="1" applyFont="1" applyBorder="1" applyAlignment="1" applyProtection="1">
      <alignment horizontal="right" vertical="top"/>
      <protection locked="0"/>
    </xf>
    <xf numFmtId="3" fontId="104" fillId="0" borderId="12" xfId="11" applyNumberFormat="1" applyFont="1" applyBorder="1" applyAlignment="1" applyProtection="1">
      <alignment horizontal="left" vertical="top" wrapText="1"/>
      <protection locked="0"/>
    </xf>
    <xf numFmtId="3" fontId="104" fillId="0" borderId="12" xfId="11" applyNumberFormat="1" applyFont="1" applyBorder="1" applyAlignment="1" applyProtection="1">
      <alignment vertical="top"/>
      <protection locked="0"/>
    </xf>
    <xf numFmtId="3" fontId="104" fillId="0" borderId="12" xfId="11" applyNumberFormat="1" applyFont="1" applyBorder="1" applyAlignment="1" applyProtection="1">
      <alignment vertical="top" wrapText="1"/>
      <protection locked="0"/>
    </xf>
    <xf numFmtId="0" fontId="35" fillId="0" borderId="0" xfId="11" applyFont="1" applyAlignment="1" applyProtection="1">
      <alignment vertical="center"/>
      <protection locked="0"/>
    </xf>
    <xf numFmtId="49" fontId="158" fillId="3" borderId="10" xfId="24" applyNumberFormat="1" applyFont="1" applyFill="1" applyBorder="1" applyAlignment="1" applyProtection="1">
      <alignment horizontal="left" vertical="center"/>
      <protection locked="0"/>
    </xf>
    <xf numFmtId="0" fontId="158" fillId="0" borderId="10" xfId="24" applyFont="1" applyBorder="1" applyAlignment="1" applyProtection="1">
      <alignment vertical="center" wrapText="1"/>
      <protection locked="0"/>
    </xf>
    <xf numFmtId="3" fontId="104" fillId="0" borderId="10" xfId="11" applyNumberFormat="1" applyFont="1" applyBorder="1" applyAlignment="1" applyProtection="1">
      <alignment horizontal="right" vertical="top"/>
      <protection locked="0"/>
    </xf>
    <xf numFmtId="3" fontId="104" fillId="0" borderId="10" xfId="11" applyNumberFormat="1" applyFont="1" applyBorder="1" applyAlignment="1" applyProtection="1">
      <alignment horizontal="left" vertical="top" wrapText="1"/>
      <protection locked="0"/>
    </xf>
    <xf numFmtId="3" fontId="104" fillId="0" borderId="10" xfId="11" applyNumberFormat="1" applyFont="1" applyBorder="1" applyAlignment="1" applyProtection="1">
      <alignment horizontal="right" vertical="top" wrapText="1"/>
      <protection locked="0"/>
    </xf>
    <xf numFmtId="0" fontId="14" fillId="0" borderId="0" xfId="11" applyFont="1" applyAlignment="1" applyProtection="1">
      <alignment vertical="center"/>
      <protection locked="0"/>
    </xf>
    <xf numFmtId="49" fontId="157" fillId="0" borderId="12" xfId="24" applyNumberFormat="1" applyFont="1" applyBorder="1" applyAlignment="1" applyProtection="1">
      <alignment horizontal="left" vertical="center"/>
      <protection locked="0"/>
    </xf>
    <xf numFmtId="0" fontId="157" fillId="0" borderId="12" xfId="24" applyFont="1" applyBorder="1" applyAlignment="1" applyProtection="1">
      <alignment vertical="center" wrapText="1"/>
      <protection locked="0"/>
    </xf>
    <xf numFmtId="0" fontId="72" fillId="0" borderId="0" xfId="11" applyFont="1" applyAlignment="1" applyProtection="1">
      <alignment vertical="center"/>
      <protection locked="0"/>
    </xf>
    <xf numFmtId="49" fontId="157" fillId="0" borderId="1" xfId="24" applyNumberFormat="1" applyFont="1" applyBorder="1" applyAlignment="1" applyProtection="1">
      <alignment horizontal="left" vertical="center"/>
      <protection locked="0"/>
    </xf>
    <xf numFmtId="0" fontId="157" fillId="0" borderId="1" xfId="24" applyFont="1" applyBorder="1" applyAlignment="1" applyProtection="1">
      <alignment vertical="center" wrapText="1"/>
      <protection locked="0"/>
    </xf>
    <xf numFmtId="3" fontId="104" fillId="0" borderId="3" xfId="11" applyNumberFormat="1" applyFont="1" applyBorder="1" applyAlignment="1" applyProtection="1">
      <alignment horizontal="right" vertical="top"/>
      <protection locked="0"/>
    </xf>
    <xf numFmtId="3" fontId="104" fillId="0" borderId="3" xfId="11" applyNumberFormat="1" applyFont="1" applyBorder="1" applyAlignment="1" applyProtection="1">
      <alignment vertical="top"/>
      <protection locked="0"/>
    </xf>
    <xf numFmtId="0" fontId="158" fillId="6" borderId="10" xfId="24" applyFont="1" applyFill="1" applyBorder="1" applyAlignment="1" applyProtection="1">
      <alignment horizontal="left" vertical="center"/>
      <protection locked="0"/>
    </xf>
    <xf numFmtId="3" fontId="104" fillId="0" borderId="10" xfId="11" applyNumberFormat="1" applyFont="1" applyBorder="1" applyAlignment="1" applyProtection="1">
      <alignment vertical="top"/>
      <protection locked="0"/>
    </xf>
    <xf numFmtId="3" fontId="104" fillId="0" borderId="10" xfId="11" applyNumberFormat="1" applyFont="1" applyBorder="1" applyAlignment="1" applyProtection="1">
      <alignment vertical="top" wrapText="1"/>
      <protection locked="0"/>
    </xf>
    <xf numFmtId="0" fontId="104" fillId="0" borderId="0" xfId="11" applyFont="1" applyAlignment="1" applyProtection="1">
      <alignment vertical="top"/>
      <protection locked="0"/>
    </xf>
    <xf numFmtId="0" fontId="104" fillId="0" borderId="0" xfId="11" applyFont="1" applyAlignment="1" applyProtection="1">
      <alignment horizontal="left" vertical="top"/>
      <protection locked="0"/>
    </xf>
    <xf numFmtId="0" fontId="104" fillId="0" borderId="0" xfId="11" applyFont="1" applyAlignment="1" applyProtection="1">
      <alignment vertical="top" wrapText="1"/>
      <protection locked="0"/>
    </xf>
    <xf numFmtId="49" fontId="104" fillId="0" borderId="21" xfId="11" applyNumberFormat="1" applyFont="1" applyBorder="1" applyAlignment="1" applyProtection="1">
      <alignment horizontal="left" vertical="center"/>
      <protection locked="0"/>
    </xf>
    <xf numFmtId="0" fontId="104" fillId="0" borderId="3" xfId="11" applyFont="1" applyBorder="1" applyAlignment="1" applyProtection="1">
      <alignment horizontal="left" vertical="center" wrapText="1"/>
      <protection locked="0"/>
    </xf>
    <xf numFmtId="0" fontId="25" fillId="0" borderId="0" xfId="11" applyFont="1" applyAlignment="1" applyProtection="1">
      <alignment vertical="center"/>
      <protection locked="0"/>
    </xf>
    <xf numFmtId="49" fontId="157" fillId="0" borderId="12" xfId="11" applyNumberFormat="1" applyFont="1" applyBorder="1" applyAlignment="1" applyProtection="1">
      <alignment horizontal="left" vertical="center"/>
      <protection locked="0"/>
    </xf>
    <xf numFmtId="0" fontId="157" fillId="0" borderId="12" xfId="11" applyFont="1" applyBorder="1" applyAlignment="1" applyProtection="1">
      <alignment vertical="center"/>
      <protection locked="0"/>
    </xf>
    <xf numFmtId="0" fontId="159" fillId="0" borderId="0" xfId="11" applyFont="1" applyAlignment="1" applyProtection="1">
      <alignment vertical="top"/>
      <protection locked="0"/>
    </xf>
    <xf numFmtId="0" fontId="159" fillId="0" borderId="0" xfId="11" applyFont="1" applyAlignment="1" applyProtection="1">
      <alignment horizontal="left" vertical="top"/>
      <protection locked="0"/>
    </xf>
    <xf numFmtId="0" fontId="159" fillId="0" borderId="0" xfId="11" applyFont="1" applyAlignment="1" applyProtection="1">
      <alignment vertical="top" wrapText="1"/>
      <protection locked="0"/>
    </xf>
    <xf numFmtId="3" fontId="104" fillId="0" borderId="3" xfId="11" applyNumberFormat="1" applyFont="1" applyBorder="1" applyAlignment="1" applyProtection="1">
      <alignment horizontal="left" vertical="top" wrapText="1"/>
      <protection locked="0"/>
    </xf>
    <xf numFmtId="3" fontId="104" fillId="0" borderId="16" xfId="11" applyNumberFormat="1" applyFont="1" applyBorder="1" applyAlignment="1" applyProtection="1">
      <alignment vertical="top" wrapText="1"/>
      <protection locked="0"/>
    </xf>
    <xf numFmtId="49" fontId="104" fillId="0" borderId="3" xfId="11" applyNumberFormat="1" applyFont="1" applyBorder="1" applyAlignment="1" applyProtection="1">
      <alignment horizontal="left" vertical="center"/>
      <protection locked="0"/>
    </xf>
    <xf numFmtId="0" fontId="104" fillId="0" borderId="4" xfId="11" applyFont="1" applyBorder="1" applyAlignment="1" applyProtection="1">
      <alignment horizontal="left" vertical="center" wrapText="1"/>
      <protection locked="0"/>
    </xf>
    <xf numFmtId="3" fontId="104" fillId="0" borderId="11" xfId="11" applyNumberFormat="1" applyFont="1" applyBorder="1" applyAlignment="1" applyProtection="1">
      <alignment horizontal="right" vertical="top"/>
      <protection locked="0"/>
    </xf>
    <xf numFmtId="3" fontId="104" fillId="0" borderId="11" xfId="11" applyNumberFormat="1" applyFont="1" applyBorder="1" applyAlignment="1" applyProtection="1">
      <alignment horizontal="left" vertical="top" wrapText="1"/>
      <protection locked="0"/>
    </xf>
    <xf numFmtId="3" fontId="104" fillId="0" borderId="11" xfId="11" applyNumberFormat="1" applyFont="1" applyBorder="1" applyAlignment="1" applyProtection="1">
      <alignment vertical="top"/>
      <protection locked="0"/>
    </xf>
    <xf numFmtId="3" fontId="104" fillId="0" borderId="17" xfId="11" applyNumberFormat="1" applyFont="1" applyBorder="1" applyAlignment="1" applyProtection="1">
      <alignment vertical="top" wrapText="1"/>
      <protection locked="0"/>
    </xf>
    <xf numFmtId="3" fontId="104" fillId="0" borderId="16" xfId="11" applyNumberFormat="1" applyFont="1" applyBorder="1" applyAlignment="1" applyProtection="1">
      <alignment horizontal="right" vertical="top"/>
      <protection locked="0"/>
    </xf>
    <xf numFmtId="3" fontId="104" fillId="0" borderId="16" xfId="11" applyNumberFormat="1" applyFont="1" applyBorder="1" applyAlignment="1" applyProtection="1">
      <alignment horizontal="left" vertical="top" wrapText="1"/>
      <protection locked="0"/>
    </xf>
    <xf numFmtId="3" fontId="104" fillId="0" borderId="16" xfId="11" applyNumberFormat="1" applyFont="1" applyBorder="1" applyAlignment="1" applyProtection="1">
      <alignment vertical="top"/>
      <protection locked="0"/>
    </xf>
    <xf numFmtId="49" fontId="104" fillId="0" borderId="0" xfId="11" applyNumberFormat="1" applyFont="1" applyAlignment="1" applyProtection="1">
      <alignment vertical="top" textRotation="90"/>
      <protection locked="0"/>
    </xf>
    <xf numFmtId="2" fontId="161" fillId="0" borderId="3" xfId="11" quotePrefix="1" applyNumberFormat="1" applyFont="1" applyBorder="1" applyAlignment="1" applyProtection="1">
      <alignment horizontal="left" vertical="center" wrapText="1"/>
      <protection locked="0"/>
    </xf>
    <xf numFmtId="2" fontId="161" fillId="0" borderId="3" xfId="11" quotePrefix="1" applyNumberFormat="1" applyFont="1" applyBorder="1" applyAlignment="1" applyProtection="1">
      <alignment horizontal="right" vertical="top"/>
      <protection locked="0"/>
    </xf>
    <xf numFmtId="2" fontId="161" fillId="0" borderId="3" xfId="11" quotePrefix="1" applyNumberFormat="1" applyFont="1" applyBorder="1" applyAlignment="1" applyProtection="1">
      <alignment horizontal="left" vertical="top"/>
      <protection locked="0"/>
    </xf>
    <xf numFmtId="3" fontId="161" fillId="0" borderId="3" xfId="11" applyNumberFormat="1" applyFont="1" applyBorder="1" applyAlignment="1" applyProtection="1">
      <alignment vertical="top"/>
      <protection locked="0"/>
    </xf>
    <xf numFmtId="3" fontId="161" fillId="0" borderId="4" xfId="11" applyNumberFormat="1" applyFont="1" applyBorder="1" applyAlignment="1" applyProtection="1">
      <alignment vertical="top" wrapText="1"/>
      <protection locked="0"/>
    </xf>
    <xf numFmtId="2" fontId="161" fillId="0" borderId="11" xfId="11" quotePrefix="1" applyNumberFormat="1" applyFont="1" applyBorder="1" applyAlignment="1" applyProtection="1">
      <alignment horizontal="right" vertical="top"/>
      <protection locked="0"/>
    </xf>
    <xf numFmtId="2" fontId="161" fillId="0" borderId="11" xfId="11" quotePrefix="1" applyNumberFormat="1" applyFont="1" applyBorder="1" applyAlignment="1" applyProtection="1">
      <alignment horizontal="left" vertical="top"/>
      <protection locked="0"/>
    </xf>
    <xf numFmtId="3" fontId="161" fillId="0" borderId="11" xfId="11" applyNumberFormat="1" applyFont="1" applyBorder="1" applyAlignment="1" applyProtection="1">
      <alignment vertical="top"/>
      <protection locked="0"/>
    </xf>
    <xf numFmtId="3" fontId="161" fillId="0" borderId="17" xfId="11" applyNumberFormat="1" applyFont="1" applyBorder="1" applyAlignment="1" applyProtection="1">
      <alignment vertical="top" wrapText="1"/>
      <protection locked="0"/>
    </xf>
    <xf numFmtId="49" fontId="158" fillId="4" borderId="10" xfId="24" applyNumberFormat="1" applyFont="1" applyFill="1" applyBorder="1" applyAlignment="1" applyProtection="1">
      <alignment horizontal="left" vertical="center"/>
      <protection locked="0"/>
    </xf>
    <xf numFmtId="0" fontId="158" fillId="0" borderId="10" xfId="24" applyFont="1" applyBorder="1" applyAlignment="1" applyProtection="1">
      <alignment vertical="center"/>
      <protection locked="0"/>
    </xf>
    <xf numFmtId="3" fontId="157" fillId="0" borderId="12" xfId="11" applyNumberFormat="1" applyFont="1" applyBorder="1" applyAlignment="1" applyProtection="1">
      <alignment vertical="center" wrapText="1"/>
      <protection locked="0"/>
    </xf>
    <xf numFmtId="49" fontId="157" fillId="0" borderId="1" xfId="11" applyNumberFormat="1" applyFont="1" applyBorder="1" applyAlignment="1" applyProtection="1">
      <alignment horizontal="left" vertical="center"/>
      <protection locked="0"/>
    </xf>
    <xf numFmtId="3" fontId="157" fillId="0" borderId="1" xfId="11" applyNumberFormat="1" applyFont="1" applyBorder="1" applyAlignment="1" applyProtection="1">
      <alignment vertical="center" wrapText="1"/>
      <protection locked="0"/>
    </xf>
    <xf numFmtId="3" fontId="104" fillId="0" borderId="1" xfId="11" applyNumberFormat="1" applyFont="1" applyBorder="1" applyAlignment="1" applyProtection="1">
      <alignment horizontal="right" vertical="top"/>
      <protection locked="0"/>
    </xf>
    <xf numFmtId="3" fontId="104" fillId="0" borderId="1" xfId="11" applyNumberFormat="1" applyFont="1" applyBorder="1" applyAlignment="1" applyProtection="1">
      <alignment vertical="top"/>
      <protection locked="0"/>
    </xf>
    <xf numFmtId="0" fontId="158" fillId="7" borderId="10" xfId="24" applyFont="1" applyFill="1" applyBorder="1" applyAlignment="1" applyProtection="1">
      <alignment horizontal="left" vertical="center"/>
      <protection locked="0"/>
    </xf>
    <xf numFmtId="3" fontId="157" fillId="0" borderId="12" xfId="11" applyNumberFormat="1" applyFont="1" applyBorder="1" applyAlignment="1" applyProtection="1">
      <alignment vertical="center"/>
      <protection locked="0"/>
    </xf>
    <xf numFmtId="49" fontId="104" fillId="0" borderId="28" xfId="11" applyNumberFormat="1" applyFont="1" applyBorder="1" applyAlignment="1" applyProtection="1">
      <alignment vertical="top" textRotation="90"/>
      <protection locked="0"/>
    </xf>
    <xf numFmtId="2" fontId="104" fillId="0" borderId="28" xfId="11" applyNumberFormat="1" applyFont="1" applyBorder="1" applyAlignment="1" applyProtection="1">
      <alignment horizontal="left" vertical="center" wrapText="1"/>
      <protection locked="0"/>
    </xf>
    <xf numFmtId="3" fontId="104" fillId="0" borderId="28" xfId="11" applyNumberFormat="1" applyFont="1" applyBorder="1" applyAlignment="1" applyProtection="1">
      <alignment horizontal="right" vertical="top"/>
      <protection locked="0"/>
    </xf>
    <xf numFmtId="3" fontId="104" fillId="0" borderId="28" xfId="11" applyNumberFormat="1" applyFont="1" applyBorder="1" applyAlignment="1" applyProtection="1">
      <alignment horizontal="left" vertical="top" wrapText="1"/>
      <protection locked="0"/>
    </xf>
    <xf numFmtId="3" fontId="104" fillId="0" borderId="28" xfId="11" applyNumberFormat="1" applyFont="1" applyBorder="1" applyAlignment="1" applyProtection="1">
      <alignment vertical="top"/>
      <protection locked="0"/>
    </xf>
    <xf numFmtId="3" fontId="104" fillId="0" borderId="28" xfId="11" applyNumberFormat="1" applyFont="1" applyBorder="1" applyAlignment="1" applyProtection="1">
      <alignment vertical="top" wrapText="1"/>
      <protection locked="0"/>
    </xf>
    <xf numFmtId="0" fontId="158" fillId="8" borderId="17" xfId="24" applyFont="1" applyFill="1" applyBorder="1" applyAlignment="1" applyProtection="1">
      <alignment horizontal="left" vertical="center"/>
      <protection locked="0"/>
    </xf>
    <xf numFmtId="0" fontId="158" fillId="0" borderId="17" xfId="24" applyFont="1" applyBorder="1" applyAlignment="1" applyProtection="1">
      <alignment vertical="center" wrapText="1"/>
      <protection locked="0"/>
    </xf>
    <xf numFmtId="3" fontId="104" fillId="0" borderId="17" xfId="11" applyNumberFormat="1" applyFont="1" applyBorder="1" applyAlignment="1" applyProtection="1">
      <alignment horizontal="right" vertical="top"/>
      <protection locked="0"/>
    </xf>
    <xf numFmtId="3" fontId="104" fillId="0" borderId="17" xfId="11" applyNumberFormat="1" applyFont="1" applyBorder="1" applyAlignment="1" applyProtection="1">
      <alignment horizontal="left" vertical="top" wrapText="1"/>
      <protection locked="0"/>
    </xf>
    <xf numFmtId="3" fontId="104" fillId="0" borderId="17" xfId="11" applyNumberFormat="1" applyFont="1" applyBorder="1" applyAlignment="1" applyProtection="1">
      <alignment horizontal="right" vertical="top" wrapText="1"/>
      <protection locked="0"/>
    </xf>
    <xf numFmtId="0" fontId="157" fillId="0" borderId="12" xfId="11" applyFont="1" applyBorder="1" applyAlignment="1" applyProtection="1">
      <alignment horizontal="left" vertical="center" wrapText="1"/>
      <protection locked="0"/>
    </xf>
    <xf numFmtId="49" fontId="157" fillId="0" borderId="28" xfId="11" applyNumberFormat="1" applyFont="1" applyBorder="1" applyAlignment="1" applyProtection="1">
      <alignment horizontal="left" vertical="center"/>
      <protection locked="0"/>
    </xf>
    <xf numFmtId="0" fontId="157" fillId="0" borderId="28" xfId="11" applyFont="1" applyBorder="1" applyAlignment="1" applyProtection="1">
      <alignment horizontal="left" vertical="center" wrapText="1"/>
      <protection locked="0"/>
    </xf>
    <xf numFmtId="0" fontId="158" fillId="9" borderId="17" xfId="24" applyFont="1" applyFill="1" applyBorder="1" applyAlignment="1" applyProtection="1">
      <alignment horizontal="left" vertical="center"/>
      <protection locked="0"/>
    </xf>
    <xf numFmtId="0" fontId="158" fillId="0" borderId="17" xfId="24" applyFont="1" applyBorder="1" applyAlignment="1" applyProtection="1">
      <alignment vertical="center"/>
      <protection locked="0"/>
    </xf>
    <xf numFmtId="3" fontId="104" fillId="0" borderId="17" xfId="11" applyNumberFormat="1" applyFont="1" applyBorder="1" applyAlignment="1" applyProtection="1">
      <alignment vertical="top"/>
      <protection locked="0"/>
    </xf>
    <xf numFmtId="49" fontId="157" fillId="0" borderId="17" xfId="11" applyNumberFormat="1" applyFont="1" applyBorder="1" applyAlignment="1" applyProtection="1">
      <alignment horizontal="left" vertical="center"/>
      <protection locked="0"/>
    </xf>
    <xf numFmtId="0" fontId="157" fillId="0" borderId="17" xfId="11" applyFont="1" applyBorder="1" applyAlignment="1" applyProtection="1">
      <alignment horizontal="left" vertical="center" wrapText="1"/>
      <protection locked="0"/>
    </xf>
    <xf numFmtId="0" fontId="85" fillId="0" borderId="0" xfId="11" applyFont="1" applyAlignment="1" applyProtection="1">
      <alignment horizontal="left" vertical="top"/>
      <protection locked="0"/>
    </xf>
    <xf numFmtId="0" fontId="85" fillId="0" borderId="0" xfId="11" applyFont="1" applyAlignment="1" applyProtection="1">
      <alignment vertical="top" wrapText="1"/>
      <protection locked="0"/>
    </xf>
    <xf numFmtId="3" fontId="85" fillId="0" borderId="1" xfId="24" applyNumberFormat="1" applyFont="1" applyBorder="1" applyProtection="1">
      <protection locked="0"/>
    </xf>
    <xf numFmtId="3" fontId="85" fillId="0" borderId="1" xfId="24" applyNumberFormat="1" applyFont="1" applyBorder="1" applyAlignment="1" applyProtection="1">
      <alignment wrapText="1"/>
      <protection locked="0"/>
    </xf>
    <xf numFmtId="0" fontId="14" fillId="0" borderId="0" xfId="11" applyFont="1" applyAlignment="1" applyProtection="1">
      <alignment vertical="top"/>
      <protection locked="0"/>
    </xf>
    <xf numFmtId="0" fontId="85" fillId="0" borderId="2" xfId="11" applyFont="1" applyBorder="1" applyAlignment="1" applyProtection="1">
      <alignment horizontal="left" vertical="top"/>
      <protection locked="0"/>
    </xf>
    <xf numFmtId="0" fontId="85" fillId="0" borderId="2" xfId="11" applyFont="1" applyBorder="1" applyAlignment="1" applyProtection="1">
      <alignment vertical="top" wrapText="1"/>
      <protection locked="0"/>
    </xf>
    <xf numFmtId="170" fontId="162" fillId="0" borderId="2" xfId="6" applyNumberFormat="1" applyFont="1" applyFill="1" applyBorder="1" applyAlignment="1" applyProtection="1">
      <alignment horizontal="right" vertical="top"/>
      <protection locked="0"/>
    </xf>
    <xf numFmtId="170" fontId="162" fillId="0" borderId="2" xfId="6" applyNumberFormat="1" applyFont="1" applyFill="1" applyBorder="1" applyAlignment="1" applyProtection="1">
      <alignment horizontal="right" vertical="top" wrapText="1"/>
      <protection locked="0"/>
    </xf>
    <xf numFmtId="9" fontId="162" fillId="0" borderId="2" xfId="1" applyFont="1" applyFill="1" applyBorder="1" applyAlignment="1" applyProtection="1">
      <alignment horizontal="right" vertical="top"/>
      <protection locked="0"/>
    </xf>
    <xf numFmtId="0" fontId="86" fillId="0" borderId="0" xfId="11" applyFont="1" applyAlignment="1" applyProtection="1">
      <alignment horizontal="left" vertical="top"/>
      <protection locked="0"/>
    </xf>
    <xf numFmtId="0" fontId="86" fillId="0" borderId="0" xfId="11" applyFont="1" applyAlignment="1" applyProtection="1">
      <alignment vertical="top" wrapText="1"/>
      <protection locked="0"/>
    </xf>
    <xf numFmtId="10" fontId="86" fillId="0" borderId="0" xfId="1" applyNumberFormat="1" applyFont="1" applyFill="1" applyAlignment="1" applyProtection="1">
      <alignment vertical="top"/>
      <protection locked="0"/>
    </xf>
    <xf numFmtId="10" fontId="86" fillId="0" borderId="0" xfId="1" applyNumberFormat="1" applyFont="1" applyFill="1" applyAlignment="1" applyProtection="1">
      <alignment vertical="top" wrapText="1"/>
      <protection locked="0"/>
    </xf>
    <xf numFmtId="0" fontId="18" fillId="0" borderId="0" xfId="11" applyFont="1" applyAlignment="1" applyProtection="1">
      <alignment horizontal="left" vertical="top"/>
      <protection locked="0"/>
    </xf>
    <xf numFmtId="0" fontId="18" fillId="0" borderId="0" xfId="11" applyFont="1" applyAlignment="1" applyProtection="1">
      <alignment vertical="top" wrapText="1"/>
      <protection locked="0"/>
    </xf>
    <xf numFmtId="10" fontId="18" fillId="0" borderId="0" xfId="1" applyNumberFormat="1" applyFont="1" applyFill="1" applyAlignment="1" applyProtection="1">
      <alignment vertical="top"/>
      <protection locked="0"/>
    </xf>
    <xf numFmtId="10" fontId="18" fillId="0" borderId="0" xfId="1" applyNumberFormat="1" applyFont="1" applyFill="1" applyAlignment="1" applyProtection="1">
      <alignment vertical="top" wrapText="1"/>
      <protection locked="0"/>
    </xf>
    <xf numFmtId="0" fontId="18" fillId="0" borderId="0" xfId="11" applyFont="1" applyAlignment="1" applyProtection="1">
      <alignment vertical="top"/>
      <protection locked="0"/>
    </xf>
    <xf numFmtId="0" fontId="14" fillId="0" borderId="0" xfId="11" applyFont="1" applyAlignment="1" applyProtection="1">
      <alignment horizontal="left"/>
      <protection locked="0"/>
    </xf>
    <xf numFmtId="0" fontId="14" fillId="0" borderId="0" xfId="11" applyFont="1" applyAlignment="1" applyProtection="1">
      <alignment wrapText="1"/>
      <protection locked="0"/>
    </xf>
    <xf numFmtId="9" fontId="14" fillId="0" borderId="0" xfId="1" applyFont="1" applyProtection="1">
      <protection locked="0"/>
    </xf>
    <xf numFmtId="9" fontId="14" fillId="0" borderId="0" xfId="1" applyFont="1" applyAlignment="1" applyProtection="1">
      <alignment wrapText="1"/>
      <protection locked="0"/>
    </xf>
    <xf numFmtId="9" fontId="14" fillId="0" borderId="0" xfId="11" applyNumberFormat="1" applyFont="1" applyProtection="1">
      <protection locked="0"/>
    </xf>
    <xf numFmtId="0" fontId="85" fillId="0" borderId="0" xfId="24" applyFont="1" applyAlignment="1" applyProtection="1">
      <alignment wrapText="1"/>
      <protection locked="0"/>
    </xf>
    <xf numFmtId="0" fontId="164" fillId="0" borderId="0" xfId="25" applyFont="1" applyAlignment="1" applyProtection="1">
      <alignment horizontal="left" wrapText="1"/>
      <protection locked="0"/>
    </xf>
    <xf numFmtId="3" fontId="157" fillId="0" borderId="12" xfId="11" applyNumberFormat="1" applyFont="1" applyBorder="1" applyAlignment="1" applyProtection="1">
      <alignment horizontal="center" vertical="center"/>
      <protection locked="0"/>
    </xf>
    <xf numFmtId="9" fontId="157" fillId="0" borderId="12" xfId="1" applyFont="1" applyBorder="1" applyAlignment="1" applyProtection="1">
      <alignment vertical="center" wrapText="1"/>
      <protection locked="0"/>
    </xf>
    <xf numFmtId="49" fontId="85" fillId="0" borderId="0" xfId="11" applyNumberFormat="1" applyFont="1" applyAlignment="1" applyProtection="1">
      <alignment horizontal="left" vertical="center"/>
      <protection locked="0"/>
    </xf>
    <xf numFmtId="3" fontId="104" fillId="0" borderId="3" xfId="11" applyNumberFormat="1" applyFont="1" applyBorder="1" applyAlignment="1" applyProtection="1">
      <alignment horizontal="right" vertical="center"/>
      <protection locked="0"/>
    </xf>
    <xf numFmtId="3" fontId="104" fillId="0" borderId="3" xfId="11" applyNumberFormat="1" applyFont="1" applyBorder="1" applyAlignment="1" applyProtection="1">
      <alignment vertical="center" wrapText="1"/>
      <protection locked="0"/>
    </xf>
    <xf numFmtId="3" fontId="104" fillId="0" borderId="3" xfId="11" applyNumberFormat="1" applyFont="1" applyBorder="1" applyAlignment="1" applyProtection="1">
      <alignment vertical="center"/>
      <protection locked="0"/>
    </xf>
    <xf numFmtId="0" fontId="104" fillId="0" borderId="8" xfId="11" applyFont="1" applyBorder="1" applyAlignment="1" applyProtection="1">
      <alignment horizontal="left" vertical="center" wrapText="1"/>
      <protection locked="0"/>
    </xf>
    <xf numFmtId="3" fontId="104" fillId="0" borderId="8" xfId="11" applyNumberFormat="1" applyFont="1" applyBorder="1" applyAlignment="1" applyProtection="1">
      <alignment horizontal="right" vertical="center"/>
      <protection locked="0"/>
    </xf>
    <xf numFmtId="3" fontId="104" fillId="0" borderId="8" xfId="11" applyNumberFormat="1" applyFont="1" applyBorder="1" applyAlignment="1" applyProtection="1">
      <alignment vertical="center" wrapText="1"/>
      <protection locked="0"/>
    </xf>
    <xf numFmtId="3" fontId="104" fillId="0" borderId="8" xfId="11" applyNumberFormat="1" applyFont="1" applyBorder="1" applyAlignment="1" applyProtection="1">
      <alignment vertical="center"/>
      <protection locked="0"/>
    </xf>
    <xf numFmtId="3" fontId="157" fillId="0" borderId="12" xfId="11" applyNumberFormat="1" applyFont="1" applyBorder="1" applyAlignment="1" applyProtection="1">
      <alignment horizontal="right" vertical="center"/>
      <protection locked="0"/>
    </xf>
    <xf numFmtId="49" fontId="158" fillId="3" borderId="13" xfId="24" applyNumberFormat="1" applyFont="1" applyFill="1" applyBorder="1" applyAlignment="1" applyProtection="1">
      <alignment horizontal="left" vertical="center"/>
      <protection locked="0"/>
    </xf>
    <xf numFmtId="0" fontId="158" fillId="0" borderId="13" xfId="24" applyFont="1" applyBorder="1" applyAlignment="1" applyProtection="1">
      <alignment vertical="center" wrapText="1"/>
      <protection locked="0"/>
    </xf>
    <xf numFmtId="0" fontId="158" fillId="6" borderId="13" xfId="24" applyFont="1" applyFill="1" applyBorder="1" applyAlignment="1" applyProtection="1">
      <alignment horizontal="left" vertical="center"/>
      <protection locked="0"/>
    </xf>
    <xf numFmtId="3" fontId="156" fillId="0" borderId="13" xfId="11" applyNumberFormat="1" applyFont="1" applyBorder="1" applyAlignment="1" applyProtection="1">
      <alignment vertical="center" wrapText="1"/>
      <protection locked="0"/>
    </xf>
    <xf numFmtId="3" fontId="156" fillId="0" borderId="13" xfId="11" applyNumberFormat="1" applyFont="1" applyBorder="1" applyAlignment="1" applyProtection="1">
      <alignment vertical="center"/>
      <protection locked="0"/>
    </xf>
    <xf numFmtId="0" fontId="159" fillId="0" borderId="13" xfId="11" applyFont="1" applyBorder="1" applyAlignment="1" applyProtection="1">
      <alignment vertical="center"/>
      <protection locked="0"/>
    </xf>
    <xf numFmtId="0" fontId="157" fillId="0" borderId="12" xfId="11" applyFont="1" applyBorder="1" applyAlignment="1" applyProtection="1">
      <alignment vertical="center" wrapText="1"/>
      <protection locked="0"/>
    </xf>
    <xf numFmtId="49" fontId="104" fillId="0" borderId="0" xfId="11" applyNumberFormat="1" applyFont="1" applyAlignment="1" applyProtection="1">
      <alignment horizontal="left" vertical="center"/>
      <protection locked="0"/>
    </xf>
    <xf numFmtId="0" fontId="104" fillId="0" borderId="0" xfId="11" applyFont="1" applyAlignment="1" applyProtection="1">
      <alignment horizontal="left" vertical="center" wrapText="1"/>
      <protection locked="0"/>
    </xf>
    <xf numFmtId="3" fontId="104" fillId="0" borderId="4" xfId="11" applyNumberFormat="1" applyFont="1" applyBorder="1" applyAlignment="1" applyProtection="1">
      <alignment horizontal="right" vertical="center"/>
      <protection locked="0"/>
    </xf>
    <xf numFmtId="3" fontId="104" fillId="0" borderId="0" xfId="11" applyNumberFormat="1" applyFont="1" applyAlignment="1" applyProtection="1">
      <alignment vertical="center" wrapText="1"/>
      <protection locked="0"/>
    </xf>
    <xf numFmtId="3" fontId="104" fillId="0" borderId="4" xfId="11" applyNumberFormat="1" applyFont="1" applyBorder="1" applyAlignment="1" applyProtection="1">
      <alignment vertical="center"/>
      <protection locked="0"/>
    </xf>
    <xf numFmtId="3" fontId="104" fillId="0" borderId="16" xfId="11" applyNumberFormat="1" applyFont="1" applyBorder="1" applyAlignment="1" applyProtection="1">
      <alignment vertical="center" wrapText="1"/>
      <protection locked="0"/>
    </xf>
    <xf numFmtId="49" fontId="158" fillId="4" borderId="13" xfId="24" applyNumberFormat="1" applyFont="1" applyFill="1" applyBorder="1" applyAlignment="1" applyProtection="1">
      <alignment horizontal="left" vertical="center"/>
      <protection locked="0"/>
    </xf>
    <xf numFmtId="0" fontId="158" fillId="7" borderId="13" xfId="24" applyFont="1" applyFill="1" applyBorder="1" applyAlignment="1" applyProtection="1">
      <alignment horizontal="left" vertical="center"/>
      <protection locked="0"/>
    </xf>
    <xf numFmtId="3" fontId="104" fillId="0" borderId="16" xfId="11" applyNumberFormat="1" applyFont="1" applyBorder="1" applyAlignment="1" applyProtection="1">
      <alignment horizontal="right" vertical="center"/>
      <protection locked="0"/>
    </xf>
    <xf numFmtId="3" fontId="104" fillId="0" borderId="16" xfId="11" applyNumberFormat="1" applyFont="1" applyBorder="1" applyAlignment="1" applyProtection="1">
      <alignment vertical="center"/>
      <protection locked="0"/>
    </xf>
    <xf numFmtId="3" fontId="104" fillId="0" borderId="4" xfId="11" applyNumberFormat="1" applyFont="1" applyBorder="1" applyAlignment="1" applyProtection="1">
      <alignment vertical="top" wrapText="1"/>
      <protection locked="0"/>
    </xf>
    <xf numFmtId="3" fontId="104" fillId="0" borderId="0" xfId="11" applyNumberFormat="1" applyFont="1" applyAlignment="1" applyProtection="1">
      <alignment vertical="center"/>
      <protection locked="0"/>
    </xf>
    <xf numFmtId="0" fontId="104" fillId="0" borderId="12" xfId="11" applyFont="1" applyBorder="1" applyAlignment="1" applyProtection="1">
      <alignment vertical="center"/>
      <protection locked="0"/>
    </xf>
    <xf numFmtId="0" fontId="104" fillId="0" borderId="16" xfId="11" applyFont="1" applyBorder="1" applyAlignment="1" applyProtection="1">
      <alignment horizontal="left" vertical="center" wrapText="1"/>
      <protection locked="0"/>
    </xf>
    <xf numFmtId="0" fontId="158" fillId="8" borderId="13" xfId="24" applyFont="1" applyFill="1" applyBorder="1" applyAlignment="1" applyProtection="1">
      <alignment horizontal="left" vertical="center"/>
      <protection locked="0"/>
    </xf>
    <xf numFmtId="0" fontId="158" fillId="9" borderId="13" xfId="24" applyFont="1" applyFill="1" applyBorder="1" applyAlignment="1" applyProtection="1">
      <alignment horizontal="left" vertical="center"/>
      <protection locked="0"/>
    </xf>
    <xf numFmtId="0" fontId="158" fillId="0" borderId="13" xfId="24" applyFont="1" applyBorder="1" applyAlignment="1" applyProtection="1">
      <alignment vertical="center"/>
      <protection locked="0"/>
    </xf>
    <xf numFmtId="0" fontId="163" fillId="0" borderId="13" xfId="11" applyFont="1" applyBorder="1" applyAlignment="1" applyProtection="1">
      <alignment vertical="center"/>
      <protection locked="0"/>
    </xf>
    <xf numFmtId="49" fontId="85" fillId="0" borderId="1" xfId="11" applyNumberFormat="1" applyFont="1" applyBorder="1" applyAlignment="1" applyProtection="1">
      <alignment horizontal="left" vertical="center"/>
      <protection locked="0"/>
    </xf>
    <xf numFmtId="0" fontId="104" fillId="0" borderId="6" xfId="11" applyFont="1" applyBorder="1" applyAlignment="1" applyProtection="1">
      <alignment horizontal="left" vertical="center" wrapText="1"/>
      <protection locked="0"/>
    </xf>
    <xf numFmtId="3" fontId="104" fillId="0" borderId="6" xfId="11" applyNumberFormat="1" applyFont="1" applyBorder="1" applyAlignment="1" applyProtection="1">
      <alignment horizontal="right" vertical="center"/>
      <protection locked="0"/>
    </xf>
    <xf numFmtId="3" fontId="104" fillId="0" borderId="6" xfId="11" applyNumberFormat="1" applyFont="1" applyBorder="1" applyAlignment="1" applyProtection="1">
      <alignment vertical="center" wrapText="1"/>
      <protection locked="0"/>
    </xf>
    <xf numFmtId="3" fontId="104" fillId="0" borderId="6" xfId="11" applyNumberFormat="1" applyFont="1" applyBorder="1" applyAlignment="1" applyProtection="1">
      <alignment vertical="center"/>
      <protection locked="0"/>
    </xf>
    <xf numFmtId="3" fontId="85" fillId="0" borderId="13" xfId="24" applyNumberFormat="1" applyFont="1" applyBorder="1" applyProtection="1">
      <protection locked="0"/>
    </xf>
    <xf numFmtId="3" fontId="85" fillId="0" borderId="13" xfId="24" applyNumberFormat="1" applyFont="1" applyBorder="1" applyAlignment="1" applyProtection="1">
      <alignment wrapText="1"/>
      <protection locked="0"/>
    </xf>
    <xf numFmtId="10" fontId="85" fillId="0" borderId="0" xfId="1" applyNumberFormat="1" applyFont="1" applyFill="1" applyAlignment="1" applyProtection="1">
      <alignment vertical="top"/>
      <protection locked="0"/>
    </xf>
    <xf numFmtId="10" fontId="85" fillId="0" borderId="0" xfId="1" applyNumberFormat="1" applyFont="1" applyFill="1" applyAlignment="1" applyProtection="1">
      <alignment vertical="top" wrapText="1"/>
      <protection locked="0"/>
    </xf>
    <xf numFmtId="0" fontId="33" fillId="0" borderId="0" xfId="0" applyFont="1" applyAlignment="1" applyProtection="1">
      <alignment vertical="center"/>
      <protection locked="0"/>
    </xf>
    <xf numFmtId="0" fontId="37" fillId="10" borderId="7" xfId="3" applyFont="1" applyFill="1" applyBorder="1" applyProtection="1">
      <protection locked="0"/>
    </xf>
    <xf numFmtId="0" fontId="37" fillId="10" borderId="4" xfId="3" applyFont="1" applyFill="1" applyBorder="1" applyProtection="1">
      <protection locked="0"/>
    </xf>
    <xf numFmtId="0" fontId="37" fillId="10" borderId="8" xfId="3" applyFont="1" applyFill="1" applyBorder="1" applyProtection="1">
      <protection locked="0"/>
    </xf>
    <xf numFmtId="0" fontId="37" fillId="10" borderId="6" xfId="3" applyFont="1" applyFill="1" applyBorder="1" applyProtection="1">
      <protection locked="0"/>
    </xf>
    <xf numFmtId="0" fontId="42" fillId="0" borderId="1" xfId="3" applyFont="1" applyBorder="1" applyAlignment="1" applyProtection="1">
      <alignment horizontal="right" vertical="top" wrapText="1"/>
      <protection locked="0"/>
    </xf>
    <xf numFmtId="3" fontId="37" fillId="0" borderId="7" xfId="3" applyNumberFormat="1" applyFont="1" applyBorder="1" applyProtection="1">
      <protection locked="0"/>
    </xf>
    <xf numFmtId="4" fontId="18" fillId="0" borderId="7" xfId="3" applyNumberFormat="1" applyFont="1" applyBorder="1" applyProtection="1">
      <protection locked="0"/>
    </xf>
    <xf numFmtId="4" fontId="35" fillId="0" borderId="7" xfId="3" applyNumberFormat="1" applyFont="1" applyBorder="1" applyProtection="1">
      <protection locked="0"/>
    </xf>
    <xf numFmtId="0" fontId="37" fillId="0" borderId="4" xfId="3" applyFont="1" applyBorder="1" applyAlignment="1" applyProtection="1">
      <alignment horizontal="left"/>
      <protection locked="0"/>
    </xf>
    <xf numFmtId="3" fontId="37" fillId="0" borderId="4" xfId="3" applyNumberFormat="1" applyFont="1" applyBorder="1" applyProtection="1">
      <protection locked="0"/>
    </xf>
    <xf numFmtId="4" fontId="18" fillId="0" borderId="4" xfId="3" applyNumberFormat="1" applyFont="1" applyBorder="1" applyProtection="1">
      <protection locked="0"/>
    </xf>
    <xf numFmtId="4" fontId="35" fillId="0" borderId="4" xfId="3" applyNumberFormat="1" applyFont="1" applyBorder="1" applyProtection="1">
      <protection locked="0"/>
    </xf>
    <xf numFmtId="0" fontId="37" fillId="0" borderId="6" xfId="3" applyFont="1" applyBorder="1" applyAlignment="1" applyProtection="1">
      <alignment horizontal="left"/>
      <protection locked="0"/>
    </xf>
    <xf numFmtId="4" fontId="37" fillId="0" borderId="6" xfId="3" applyNumberFormat="1" applyFont="1" applyBorder="1" applyProtection="1">
      <protection locked="0"/>
    </xf>
    <xf numFmtId="0" fontId="37" fillId="0" borderId="1" xfId="3" applyFont="1" applyBorder="1" applyAlignment="1" applyProtection="1">
      <alignment horizontal="left"/>
      <protection locked="0"/>
    </xf>
    <xf numFmtId="4" fontId="37" fillId="0" borderId="1" xfId="3" applyNumberFormat="1" applyFont="1" applyBorder="1" applyProtection="1">
      <protection locked="0"/>
    </xf>
    <xf numFmtId="0" fontId="42" fillId="0" borderId="1" xfId="3" applyFont="1" applyBorder="1" applyAlignment="1" applyProtection="1">
      <alignment horizontal="center" vertical="top" wrapText="1"/>
      <protection locked="0"/>
    </xf>
    <xf numFmtId="0" fontId="42" fillId="0" borderId="1" xfId="3" applyFont="1" applyBorder="1" applyAlignment="1" applyProtection="1">
      <alignment horizontal="left" vertical="top" wrapText="1"/>
      <protection locked="0"/>
    </xf>
    <xf numFmtId="166" fontId="37" fillId="10" borderId="7" xfId="3" applyNumberFormat="1" applyFont="1" applyFill="1" applyBorder="1" applyProtection="1">
      <protection locked="0"/>
    </xf>
    <xf numFmtId="166" fontId="37" fillId="10" borderId="3" xfId="3" applyNumberFormat="1" applyFont="1" applyFill="1" applyBorder="1" applyProtection="1">
      <protection locked="0"/>
    </xf>
    <xf numFmtId="0" fontId="42" fillId="0" borderId="13" xfId="3" applyFont="1" applyBorder="1" applyProtection="1">
      <protection locked="0"/>
    </xf>
    <xf numFmtId="166" fontId="37" fillId="0" borderId="3" xfId="3" applyNumberFormat="1" applyFont="1" applyBorder="1" applyProtection="1">
      <protection locked="0"/>
    </xf>
    <xf numFmtId="166" fontId="44" fillId="0" borderId="0" xfId="3" applyNumberFormat="1" applyFont="1" applyProtection="1">
      <protection locked="0"/>
    </xf>
    <xf numFmtId="0" fontId="40" fillId="0" borderId="1" xfId="3" applyFont="1" applyBorder="1" applyAlignment="1" applyProtection="1">
      <alignment horizontal="right" vertical="top" wrapText="1"/>
      <protection locked="0"/>
    </xf>
    <xf numFmtId="3" fontId="37" fillId="10" borderId="4" xfId="3" applyNumberFormat="1" applyFont="1" applyFill="1" applyBorder="1" applyProtection="1">
      <protection locked="0"/>
    </xf>
    <xf numFmtId="3" fontId="37" fillId="10" borderId="7" xfId="3" applyNumberFormat="1" applyFont="1" applyFill="1" applyBorder="1" applyProtection="1">
      <protection locked="0"/>
    </xf>
    <xf numFmtId="4" fontId="37" fillId="0" borderId="7" xfId="3" applyNumberFormat="1" applyFont="1" applyBorder="1" applyProtection="1">
      <protection locked="0"/>
    </xf>
    <xf numFmtId="4" fontId="48" fillId="0" borderId="7" xfId="3" applyNumberFormat="1" applyFont="1" applyBorder="1" applyProtection="1">
      <protection locked="0"/>
    </xf>
    <xf numFmtId="4" fontId="37" fillId="0" borderId="4" xfId="3" applyNumberFormat="1" applyFont="1" applyBorder="1" applyProtection="1">
      <protection locked="0"/>
    </xf>
    <xf numFmtId="4" fontId="48" fillId="0" borderId="4" xfId="3" applyNumberFormat="1" applyFont="1" applyBorder="1" applyProtection="1">
      <protection locked="0"/>
    </xf>
    <xf numFmtId="3" fontId="37" fillId="0" borderId="6" xfId="3" applyNumberFormat="1" applyFont="1" applyBorder="1" applyProtection="1">
      <protection locked="0"/>
    </xf>
    <xf numFmtId="3" fontId="37" fillId="10" borderId="6" xfId="3" applyNumberFormat="1" applyFont="1" applyFill="1" applyBorder="1" applyProtection="1">
      <protection locked="0"/>
    </xf>
    <xf numFmtId="4" fontId="48" fillId="0" borderId="6" xfId="3" applyNumberFormat="1" applyFont="1" applyBorder="1" applyProtection="1">
      <protection locked="0"/>
    </xf>
    <xf numFmtId="0" fontId="48" fillId="0" borderId="13" xfId="3" applyFont="1" applyBorder="1" applyProtection="1">
      <protection locked="0"/>
    </xf>
    <xf numFmtId="3" fontId="48" fillId="0" borderId="0" xfId="3" applyNumberFormat="1" applyFont="1" applyProtection="1">
      <protection locked="0"/>
    </xf>
    <xf numFmtId="4" fontId="48" fillId="0" borderId="0" xfId="3" applyNumberFormat="1" applyFont="1" applyProtection="1">
      <protection locked="0"/>
    </xf>
    <xf numFmtId="4" fontId="37" fillId="0" borderId="0" xfId="3" applyNumberFormat="1" applyFont="1" applyProtection="1">
      <protection locked="0"/>
    </xf>
    <xf numFmtId="3" fontId="42" fillId="0" borderId="2" xfId="3" applyNumberFormat="1" applyFont="1" applyBorder="1" applyProtection="1">
      <protection locked="0"/>
    </xf>
    <xf numFmtId="0" fontId="37" fillId="0" borderId="4" xfId="3" applyFont="1" applyBorder="1" applyAlignment="1" applyProtection="1">
      <alignment wrapText="1"/>
      <protection locked="0"/>
    </xf>
    <xf numFmtId="3" fontId="42" fillId="0" borderId="1" xfId="3" applyNumberFormat="1" applyFont="1" applyBorder="1" applyProtection="1">
      <protection locked="0"/>
    </xf>
    <xf numFmtId="0" fontId="18" fillId="0" borderId="2" xfId="0" applyFont="1" applyBorder="1" applyProtection="1">
      <protection locked="0"/>
    </xf>
    <xf numFmtId="4" fontId="37" fillId="0" borderId="2" xfId="3" applyNumberFormat="1" applyFont="1" applyBorder="1" applyProtection="1">
      <protection locked="0"/>
    </xf>
    <xf numFmtId="3" fontId="37" fillId="0" borderId="2" xfId="3" applyNumberFormat="1" applyFont="1" applyBorder="1" applyProtection="1">
      <protection locked="0"/>
    </xf>
    <xf numFmtId="0" fontId="42" fillId="0" borderId="1" xfId="3" applyFont="1" applyBorder="1" applyProtection="1">
      <protection locked="0"/>
    </xf>
    <xf numFmtId="4" fontId="42" fillId="0" borderId="1" xfId="3" applyNumberFormat="1" applyFont="1" applyBorder="1" applyProtection="1">
      <protection locked="0"/>
    </xf>
    <xf numFmtId="4" fontId="37" fillId="0" borderId="14" xfId="3" applyNumberFormat="1" applyFont="1" applyBorder="1" applyProtection="1">
      <protection locked="0"/>
    </xf>
    <xf numFmtId="3" fontId="37" fillId="0" borderId="14" xfId="3" applyNumberFormat="1" applyFont="1" applyBorder="1" applyProtection="1">
      <protection locked="0"/>
    </xf>
    <xf numFmtId="0" fontId="42" fillId="0" borderId="15" xfId="3" applyFont="1" applyBorder="1" applyProtection="1">
      <protection locked="0"/>
    </xf>
    <xf numFmtId="4" fontId="42" fillId="0" borderId="15" xfId="3" applyNumberFormat="1" applyFont="1" applyBorder="1" applyProtection="1">
      <protection locked="0"/>
    </xf>
    <xf numFmtId="3" fontId="42" fillId="0" borderId="15" xfId="3" applyNumberFormat="1" applyFont="1" applyBorder="1" applyProtection="1">
      <protection locked="0"/>
    </xf>
    <xf numFmtId="4" fontId="42" fillId="0" borderId="1" xfId="3" applyNumberFormat="1" applyFont="1" applyBorder="1" applyAlignment="1" applyProtection="1">
      <alignment horizontal="right"/>
      <protection locked="0"/>
    </xf>
    <xf numFmtId="3" fontId="37" fillId="0" borderId="0" xfId="3" applyNumberFormat="1" applyFont="1" applyProtection="1">
      <protection locked="0"/>
    </xf>
    <xf numFmtId="3" fontId="37" fillId="0" borderId="1" xfId="3" applyNumberFormat="1" applyFont="1" applyBorder="1" applyProtection="1">
      <protection locked="0"/>
    </xf>
    <xf numFmtId="4" fontId="42" fillId="0" borderId="2" xfId="3" applyNumberFormat="1" applyFont="1" applyBorder="1" applyProtection="1">
      <protection locked="0"/>
    </xf>
    <xf numFmtId="4" fontId="52" fillId="0" borderId="2" xfId="3" applyNumberFormat="1" applyFont="1" applyBorder="1" applyProtection="1">
      <protection locked="0"/>
    </xf>
    <xf numFmtId="4" fontId="48" fillId="0" borderId="2" xfId="3" applyNumberFormat="1" applyFont="1" applyBorder="1" applyProtection="1">
      <protection locked="0"/>
    </xf>
    <xf numFmtId="0" fontId="74" fillId="0" borderId="6" xfId="0" applyFont="1" applyBorder="1" applyAlignment="1">
      <alignment horizontal="left" vertical="center" wrapText="1"/>
    </xf>
    <xf numFmtId="0" fontId="74" fillId="0" borderId="6" xfId="0" applyFont="1" applyBorder="1" applyAlignment="1">
      <alignment vertical="center"/>
    </xf>
    <xf numFmtId="0" fontId="18" fillId="0" borderId="6" xfId="0" applyFont="1" applyBorder="1" applyAlignment="1">
      <alignment horizontal="left" vertical="center"/>
    </xf>
    <xf numFmtId="0" fontId="199" fillId="13" borderId="0" xfId="11" applyFont="1" applyFill="1" applyAlignment="1" applyProtection="1">
      <alignment wrapText="1"/>
      <protection locked="0"/>
    </xf>
    <xf numFmtId="0" fontId="199" fillId="13" borderId="4" xfId="0" applyFont="1" applyFill="1" applyBorder="1" applyAlignment="1" applyProtection="1">
      <alignment vertical="center" wrapText="1"/>
      <protection locked="0"/>
    </xf>
    <xf numFmtId="0" fontId="199" fillId="13" borderId="6" xfId="0" applyFont="1" applyFill="1" applyBorder="1" applyAlignment="1" applyProtection="1">
      <alignment vertical="center" wrapText="1"/>
      <protection locked="0"/>
    </xf>
    <xf numFmtId="0" fontId="42" fillId="0" borderId="7" xfId="3" applyFont="1" applyBorder="1" applyProtection="1">
      <protection locked="0"/>
    </xf>
    <xf numFmtId="166" fontId="42" fillId="0" borderId="7" xfId="3" applyNumberFormat="1" applyFont="1" applyBorder="1" applyProtection="1">
      <protection locked="0"/>
    </xf>
    <xf numFmtId="2" fontId="56" fillId="13" borderId="2" xfId="0" applyNumberFormat="1" applyFont="1" applyFill="1" applyBorder="1" applyAlignment="1" applyProtection="1">
      <alignment vertical="center"/>
      <protection locked="0"/>
    </xf>
    <xf numFmtId="49" fontId="32" fillId="0" borderId="0" xfId="21" applyNumberFormat="1" applyBorder="1"/>
    <xf numFmtId="0" fontId="41" fillId="0" borderId="0" xfId="0" applyFont="1" applyAlignment="1" applyProtection="1">
      <alignment vertical="center"/>
      <protection locked="0"/>
    </xf>
    <xf numFmtId="0" fontId="18" fillId="0" borderId="8" xfId="0" applyFont="1" applyBorder="1" applyAlignment="1">
      <alignment vertical="center"/>
    </xf>
    <xf numFmtId="9" fontId="104" fillId="0" borderId="3" xfId="1" applyFont="1" applyBorder="1" applyAlignment="1" applyProtection="1">
      <alignment vertical="center" wrapText="1"/>
      <protection locked="0"/>
    </xf>
    <xf numFmtId="9" fontId="156" fillId="0" borderId="13" xfId="1" applyFont="1" applyBorder="1" applyAlignment="1" applyProtection="1">
      <alignment horizontal="right" vertical="center" wrapText="1"/>
      <protection locked="0"/>
    </xf>
    <xf numFmtId="9" fontId="156" fillId="0" borderId="13" xfId="1" applyFont="1" applyBorder="1" applyAlignment="1" applyProtection="1">
      <alignment vertical="center" wrapText="1"/>
      <protection locked="0"/>
    </xf>
    <xf numFmtId="9" fontId="104" fillId="0" borderId="16" xfId="1" applyFont="1" applyBorder="1" applyAlignment="1" applyProtection="1">
      <alignment vertical="center" wrapText="1"/>
      <protection locked="0"/>
    </xf>
    <xf numFmtId="168" fontId="156" fillId="0" borderId="13" xfId="1" applyNumberFormat="1" applyFont="1" applyBorder="1" applyAlignment="1" applyProtection="1">
      <alignment horizontal="right" vertical="center" wrapText="1"/>
      <protection locked="0"/>
    </xf>
    <xf numFmtId="168" fontId="104" fillId="0" borderId="12" xfId="1" applyNumberFormat="1" applyFont="1" applyBorder="1" applyAlignment="1" applyProtection="1">
      <alignment horizontal="right" vertical="top" wrapText="1"/>
      <protection locked="0"/>
    </xf>
    <xf numFmtId="168" fontId="104" fillId="0" borderId="10" xfId="1" applyNumberFormat="1" applyFont="1" applyBorder="1" applyAlignment="1" applyProtection="1">
      <alignment horizontal="right" vertical="top" wrapText="1"/>
      <protection locked="0"/>
    </xf>
    <xf numFmtId="168" fontId="104" fillId="0" borderId="0" xfId="1" applyNumberFormat="1" applyFont="1" applyAlignment="1" applyProtection="1">
      <alignment horizontal="right" vertical="top"/>
      <protection locked="0"/>
    </xf>
    <xf numFmtId="168" fontId="104" fillId="0" borderId="16" xfId="1" applyNumberFormat="1" applyFont="1" applyBorder="1" applyAlignment="1" applyProtection="1">
      <alignment horizontal="right" vertical="top" wrapText="1"/>
      <protection locked="0"/>
    </xf>
    <xf numFmtId="168" fontId="104" fillId="0" borderId="17" xfId="1" applyNumberFormat="1" applyFont="1" applyBorder="1" applyAlignment="1" applyProtection="1">
      <alignment horizontal="right" vertical="top" wrapText="1"/>
      <protection locked="0"/>
    </xf>
    <xf numFmtId="168" fontId="161" fillId="0" borderId="3" xfId="1" quotePrefix="1" applyNumberFormat="1" applyFont="1" applyBorder="1" applyAlignment="1" applyProtection="1">
      <alignment horizontal="right" vertical="top"/>
      <protection locked="0"/>
    </xf>
    <xf numFmtId="168" fontId="161" fillId="0" borderId="11" xfId="1" quotePrefix="1" applyNumberFormat="1" applyFont="1" applyBorder="1" applyAlignment="1" applyProtection="1">
      <alignment horizontal="right" vertical="top"/>
      <protection locked="0"/>
    </xf>
    <xf numFmtId="168" fontId="104" fillId="0" borderId="28" xfId="1" applyNumberFormat="1" applyFont="1" applyBorder="1" applyAlignment="1" applyProtection="1">
      <alignment horizontal="right" vertical="top" wrapText="1"/>
      <protection locked="0"/>
    </xf>
    <xf numFmtId="168" fontId="85" fillId="0" borderId="1" xfId="1" applyNumberFormat="1" applyFont="1" applyBorder="1" applyAlignment="1" applyProtection="1">
      <alignment horizontal="right" wrapText="1"/>
      <protection locked="0"/>
    </xf>
    <xf numFmtId="3" fontId="115" fillId="0" borderId="2" xfId="0" applyNumberFormat="1" applyFont="1" applyBorder="1" applyAlignment="1">
      <alignment vertical="center" wrapText="1"/>
    </xf>
    <xf numFmtId="0" fontId="200" fillId="0" borderId="0" xfId="25" applyAlignment="1">
      <alignment vertical="center"/>
    </xf>
    <xf numFmtId="0" fontId="200" fillId="0" borderId="0" xfId="25" applyAlignment="1">
      <alignment horizontal="left"/>
    </xf>
    <xf numFmtId="0" fontId="200" fillId="0" borderId="0" xfId="25" applyAlignment="1"/>
    <xf numFmtId="3" fontId="82" fillId="0" borderId="4" xfId="0" applyNumberFormat="1" applyFont="1" applyBorder="1" applyAlignment="1">
      <alignment vertical="center" wrapText="1"/>
    </xf>
    <xf numFmtId="3" fontId="25" fillId="0" borderId="4" xfId="0" applyNumberFormat="1" applyFont="1" applyBorder="1" applyAlignment="1">
      <alignment vertical="center" wrapText="1"/>
    </xf>
    <xf numFmtId="167" fontId="35" fillId="0" borderId="4" xfId="17" applyAlignment="1">
      <alignment vertical="center" wrapText="1"/>
    </xf>
    <xf numFmtId="0" fontId="179" fillId="0" borderId="8" xfId="11" applyFont="1" applyBorder="1" applyAlignment="1">
      <alignment horizontal="left" vertical="center"/>
    </xf>
    <xf numFmtId="0" fontId="179" fillId="0" borderId="0" xfId="11" applyFont="1" applyAlignment="1">
      <alignment horizontal="left" vertical="center"/>
    </xf>
    <xf numFmtId="168" fontId="179" fillId="0" borderId="0" xfId="1" applyNumberFormat="1" applyFont="1" applyFill="1" applyBorder="1" applyAlignment="1" applyProtection="1">
      <alignment vertical="center"/>
    </xf>
    <xf numFmtId="3" fontId="179" fillId="0" borderId="0" xfId="0" applyNumberFormat="1" applyFont="1" applyAlignment="1">
      <alignment vertical="center"/>
    </xf>
    <xf numFmtId="3" fontId="180" fillId="0" borderId="0" xfId="11" applyNumberFormat="1" applyFont="1" applyAlignment="1" applyProtection="1">
      <alignment vertical="center"/>
      <protection locked="0"/>
    </xf>
    <xf numFmtId="172" fontId="181" fillId="0" borderId="8" xfId="11" applyNumberFormat="1" applyFont="1" applyBorder="1" applyAlignment="1">
      <alignment vertical="center"/>
    </xf>
    <xf numFmtId="3" fontId="59" fillId="13" borderId="3" xfId="0" applyNumberFormat="1" applyFont="1" applyFill="1" applyBorder="1" applyAlignment="1" applyProtection="1">
      <alignment vertical="center" wrapText="1"/>
      <protection locked="0"/>
    </xf>
    <xf numFmtId="0" fontId="202" fillId="0" borderId="0" xfId="0" applyFont="1" applyAlignment="1">
      <alignment vertical="center"/>
    </xf>
    <xf numFmtId="0" fontId="203" fillId="0" borderId="0" xfId="11" applyFont="1"/>
    <xf numFmtId="179" fontId="60" fillId="0" borderId="4" xfId="2" applyNumberFormat="1" applyFont="1" applyBorder="1" applyAlignment="1">
      <alignment horizontal="right"/>
    </xf>
    <xf numFmtId="167" fontId="60" fillId="0" borderId="4" xfId="2" applyNumberFormat="1" applyFont="1" applyBorder="1" applyAlignment="1">
      <alignment horizontal="right"/>
    </xf>
    <xf numFmtId="173" fontId="60" fillId="0" borderId="4" xfId="0" applyNumberFormat="1" applyFont="1" applyBorder="1"/>
    <xf numFmtId="167" fontId="60" fillId="0" borderId="4" xfId="2" applyNumberFormat="1" applyFont="1" applyBorder="1"/>
    <xf numFmtId="4" fontId="60" fillId="0" borderId="4" xfId="0" applyNumberFormat="1" applyFont="1" applyBorder="1"/>
    <xf numFmtId="3" fontId="60" fillId="0" borderId="0" xfId="0" applyNumberFormat="1" applyFont="1"/>
    <xf numFmtId="0" fontId="18" fillId="0" borderId="0" xfId="0" applyFont="1" applyAlignment="1">
      <alignment vertical="center" wrapText="1"/>
    </xf>
    <xf numFmtId="0" fontId="74" fillId="0" borderId="0" xfId="0" applyFont="1" applyAlignment="1">
      <alignment vertical="center" wrapText="1"/>
    </xf>
    <xf numFmtId="3" fontId="58" fillId="13" borderId="4" xfId="0" applyNumberFormat="1" applyFont="1" applyFill="1" applyBorder="1" applyAlignment="1" applyProtection="1">
      <alignment vertical="center" wrapText="1"/>
      <protection locked="0"/>
    </xf>
    <xf numFmtId="0" fontId="26" fillId="13" borderId="7" xfId="0" applyFont="1" applyFill="1" applyBorder="1" applyAlignment="1" applyProtection="1">
      <alignment vertical="center" wrapText="1"/>
      <protection locked="0"/>
    </xf>
    <xf numFmtId="0" fontId="26" fillId="13" borderId="3" xfId="0" applyFont="1" applyFill="1" applyBorder="1" applyAlignment="1" applyProtection="1">
      <alignment vertical="center" wrapText="1"/>
      <protection locked="0"/>
    </xf>
    <xf numFmtId="0" fontId="61" fillId="0" borderId="4" xfId="22" applyFill="1" applyBorder="1" applyAlignment="1">
      <alignment vertical="center" wrapText="1"/>
    </xf>
    <xf numFmtId="0" fontId="18" fillId="0" borderId="1" xfId="0" applyFont="1" applyBorder="1" applyAlignment="1">
      <alignment horizontal="left" vertical="center" wrapText="1"/>
    </xf>
    <xf numFmtId="0" fontId="61" fillId="0" borderId="7" xfId="22" applyFill="1" applyBorder="1" applyAlignment="1">
      <alignment vertical="center" wrapText="1"/>
    </xf>
    <xf numFmtId="49" fontId="86" fillId="0" borderId="0" xfId="0" applyNumberFormat="1" applyFont="1" applyAlignment="1">
      <alignment vertical="center" wrapText="1"/>
    </xf>
    <xf numFmtId="49" fontId="88" fillId="0" borderId="21" xfId="11" applyNumberFormat="1" applyFont="1" applyBorder="1" applyAlignment="1">
      <alignment horizontal="left" vertical="top" textRotation="90" wrapText="1"/>
    </xf>
    <xf numFmtId="49" fontId="88" fillId="0" borderId="0" xfId="11" applyNumberFormat="1" applyFont="1" applyAlignment="1">
      <alignment horizontal="left" vertical="top" textRotation="90" wrapText="1"/>
    </xf>
    <xf numFmtId="49" fontId="88" fillId="0" borderId="1" xfId="11" applyNumberFormat="1" applyFont="1" applyBorder="1" applyAlignment="1">
      <alignment horizontal="left" vertical="top" textRotation="90" wrapText="1"/>
    </xf>
    <xf numFmtId="49" fontId="88" fillId="0" borderId="0" xfId="11" applyNumberFormat="1" applyFont="1" applyAlignment="1">
      <alignment horizontal="left" vertical="top" textRotation="90"/>
    </xf>
    <xf numFmtId="49" fontId="88" fillId="0" borderId="17" xfId="11" applyNumberFormat="1" applyFont="1" applyBorder="1" applyAlignment="1">
      <alignment horizontal="left" vertical="top" textRotation="90"/>
    </xf>
    <xf numFmtId="0" fontId="18" fillId="0" borderId="0" xfId="0" applyFont="1" applyAlignment="1">
      <alignment wrapText="1"/>
    </xf>
    <xf numFmtId="49" fontId="88" fillId="0" borderId="0" xfId="11" applyNumberFormat="1" applyFont="1" applyAlignment="1">
      <alignment horizontal="center" vertical="top" textRotation="90" wrapText="1"/>
    </xf>
    <xf numFmtId="49" fontId="88" fillId="0" borderId="17" xfId="11" applyNumberFormat="1" applyFont="1" applyBorder="1" applyAlignment="1">
      <alignment horizontal="left" vertical="top" textRotation="90" wrapText="1"/>
    </xf>
    <xf numFmtId="0" fontId="104" fillId="0" borderId="1" xfId="11" applyFont="1" applyBorder="1" applyAlignment="1" applyProtection="1">
      <alignment wrapText="1"/>
      <protection locked="0"/>
    </xf>
    <xf numFmtId="167" fontId="35" fillId="0" borderId="8" xfId="17" applyBorder="1" applyAlignment="1">
      <alignment vertical="center" wrapText="1"/>
    </xf>
    <xf numFmtId="167" fontId="35" fillId="0" borderId="1" xfId="17" applyBorder="1" applyAlignment="1">
      <alignment vertical="center" wrapText="1"/>
    </xf>
    <xf numFmtId="167" fontId="18" fillId="0" borderId="4" xfId="17" applyFont="1" applyAlignment="1">
      <alignment vertical="center" wrapText="1"/>
    </xf>
    <xf numFmtId="167" fontId="18" fillId="0" borderId="4" xfId="17" applyFont="1">
      <alignment vertical="center"/>
    </xf>
    <xf numFmtId="0" fontId="74" fillId="0" borderId="6" xfId="0" applyFont="1" applyBorder="1" applyAlignment="1">
      <alignment horizontal="left" vertical="center"/>
    </xf>
  </cellXfs>
  <cellStyles count="27">
    <cellStyle name="Besedilo" xfId="9" xr:uid="{00000000-0005-0000-0000-000000000000}"/>
    <cellStyle name="Comma" xfId="2" builtinId="3"/>
    <cellStyle name="Comma 2" xfId="6" xr:uid="{00000000-0005-0000-0000-000002000000}"/>
    <cellStyle name="Comma 3" xfId="16" xr:uid="{00000000-0005-0000-0000-000003000000}"/>
    <cellStyle name="Hyperlink" xfId="26" builtinId="8"/>
    <cellStyle name="Naslov 1" xfId="7" xr:uid="{00000000-0005-0000-0000-000005000000}"/>
    <cellStyle name="Naslov 1 2" xfId="25" xr:uid="{8F296887-1F2E-4B15-A126-7FDFBEF3859F}"/>
    <cellStyle name="Naslov 2" xfId="12" xr:uid="{323514E2-771F-4E44-B55B-C513A9715F7C}"/>
    <cellStyle name="Naslov 3" xfId="21" xr:uid="{23DC87C9-7C4A-48B9-8E1D-38636142BC22}"/>
    <cellStyle name="Naslov 4" xfId="22" xr:uid="{8622617C-EA93-4014-9041-964CD52312D1}"/>
    <cellStyle name="NASLOV IZRAČUN" xfId="10" xr:uid="{00000000-0005-0000-0000-000008000000}"/>
    <cellStyle name="Navadno 2" xfId="3" xr:uid="{00000000-0005-0000-0000-000009000000}"/>
    <cellStyle name="Navadno 2 2" xfId="4" xr:uid="{00000000-0005-0000-0000-00000A000000}"/>
    <cellStyle name="Navadno 2 3" xfId="5" xr:uid="{00000000-0005-0000-0000-00000B000000}"/>
    <cellStyle name="Normal" xfId="0" builtinId="0"/>
    <cellStyle name="Normal 2" xfId="11" xr:uid="{00000000-0005-0000-0000-00000D000000}"/>
    <cellStyle name="Normal 3" xfId="13" xr:uid="{00000000-0005-0000-0000-00000E000000}"/>
    <cellStyle name="Normal 3 2" xfId="20" xr:uid="{00000000-0005-0000-0000-00000F000000}"/>
    <cellStyle name="Normal 4" xfId="15" xr:uid="{00000000-0005-0000-0000-000010000000}"/>
    <cellStyle name="Normal 4 2" xfId="19" xr:uid="{00000000-0005-0000-0000-000011000000}"/>
    <cellStyle name="Normal 5" xfId="23" xr:uid="{44B7A725-9FF3-4CE3-8B8F-F083A3D6FC8A}"/>
    <cellStyle name="Normal 6" xfId="24" xr:uid="{A50ED511-C36F-49A1-AF04-AEFF8D16F4BE}"/>
    <cellStyle name="Percent" xfId="1" builtinId="5"/>
    <cellStyle name="Percent 2" xfId="14" xr:uid="{00000000-0005-0000-0000-000013000000}"/>
    <cellStyle name="Podnaslov" xfId="8" xr:uid="{00000000-0005-0000-0000-000014000000}"/>
    <cellStyle name="Style 1" xfId="17" xr:uid="{00000000-0005-0000-0000-000015000000}"/>
    <cellStyle name="Style 2" xfId="18" xr:uid="{00000000-0005-0000-0000-000016000000}"/>
  </cellStyles>
  <dxfs count="0"/>
  <tableStyles count="0" defaultTableStyle="TableStyleMedium9" defaultPivotStyle="PivotStyleLight16"/>
  <colors>
    <mruColors>
      <color rgb="FFCCECFF"/>
      <color rgb="FF5BD4FF"/>
      <color rgb="FF009999"/>
      <color rgb="FF00CC00"/>
      <color rgb="FFCC0099"/>
      <color rgb="FFFF9999"/>
      <color rgb="FFCCFFCC"/>
      <color rgb="FF99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8135132273973399E-2"/>
          <c:y val="4.0797397844425536E-2"/>
          <c:w val="0.53447869781228663"/>
          <c:h val="0.76556974135559486"/>
        </c:manualLayout>
      </c:layout>
      <c:scatterChart>
        <c:scatterStyle val="lineMarker"/>
        <c:varyColors val="0"/>
        <c:ser>
          <c:idx val="0"/>
          <c:order val="0"/>
          <c:tx>
            <c:strRef>
              <c:f>'NOTRANJA OPREMA'!$C$4</c:f>
              <c:strCache>
                <c:ptCount val="1"/>
                <c:pt idx="0">
                  <c:v>CENOVNI RAZRED I</c:v>
                </c:pt>
              </c:strCache>
            </c:strRef>
          </c:tx>
          <c:spPr>
            <a:ln w="19050" cap="rnd">
              <a:solidFill>
                <a:schemeClr val="accent5">
                  <a:tint val="43000"/>
                </a:schemeClr>
              </a:solidFill>
              <a:round/>
            </a:ln>
            <a:effectLst/>
          </c:spPr>
          <c:marker>
            <c:symbol val="circle"/>
            <c:size val="5"/>
            <c:spPr>
              <a:solidFill>
                <a:schemeClr val="accent5">
                  <a:tint val="43000"/>
                </a:schemeClr>
              </a:solidFill>
              <a:ln w="9525">
                <a:solidFill>
                  <a:schemeClr val="accent5">
                    <a:tint val="43000"/>
                  </a:schemeClr>
                </a:solidFill>
              </a:ln>
              <a:effectLst/>
            </c:spPr>
          </c:marker>
          <c:trendline>
            <c:spPr>
              <a:ln w="19050" cap="rnd">
                <a:solidFill>
                  <a:schemeClr val="accent5">
                    <a:tint val="43000"/>
                  </a:schemeClr>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trendlineLbl>
          </c:trendline>
          <c:xVal>
            <c:numRef>
              <c:f>'NOTRANJA OPREMA'!$B$7:$B$30</c:f>
              <c:numCache>
                <c:formatCode>#,##0_ ;\-#,##0\ </c:formatCode>
                <c:ptCount val="24"/>
                <c:pt idx="0">
                  <c:v>25000</c:v>
                </c:pt>
                <c:pt idx="1">
                  <c:v>35000</c:v>
                </c:pt>
                <c:pt idx="2">
                  <c:v>50000</c:v>
                </c:pt>
                <c:pt idx="3">
                  <c:v>75000</c:v>
                </c:pt>
                <c:pt idx="4">
                  <c:v>100000</c:v>
                </c:pt>
                <c:pt idx="5">
                  <c:v>150000</c:v>
                </c:pt>
                <c:pt idx="6">
                  <c:v>200000</c:v>
                </c:pt>
                <c:pt idx="7">
                  <c:v>300000</c:v>
                </c:pt>
                <c:pt idx="8">
                  <c:v>500000</c:v>
                </c:pt>
                <c:pt idx="9">
                  <c:v>750000</c:v>
                </c:pt>
                <c:pt idx="10">
                  <c:v>1000000</c:v>
                </c:pt>
                <c:pt idx="11">
                  <c:v>1500000</c:v>
                </c:pt>
                <c:pt idx="12">
                  <c:v>2000000</c:v>
                </c:pt>
                <c:pt idx="13">
                  <c:v>3000000</c:v>
                </c:pt>
                <c:pt idx="14">
                  <c:v>5000000</c:v>
                </c:pt>
                <c:pt idx="15">
                  <c:v>7500000</c:v>
                </c:pt>
                <c:pt idx="16">
                  <c:v>10000000</c:v>
                </c:pt>
                <c:pt idx="17">
                  <c:v>15000000</c:v>
                </c:pt>
                <c:pt idx="18">
                  <c:v>20000000</c:v>
                </c:pt>
                <c:pt idx="19">
                  <c:v>25000000</c:v>
                </c:pt>
                <c:pt idx="20">
                  <c:v>50000000</c:v>
                </c:pt>
                <c:pt idx="21">
                  <c:v>100000000</c:v>
                </c:pt>
                <c:pt idx="22">
                  <c:v>150000000</c:v>
                </c:pt>
                <c:pt idx="23">
                  <c:v>200000000</c:v>
                </c:pt>
              </c:numCache>
            </c:numRef>
          </c:xVal>
          <c:yVal>
            <c:numRef>
              <c:f>'NOTRANJA OPREMA'!$C$7:$C$30</c:f>
              <c:numCache>
                <c:formatCode>#,##0_ ;\-#,##0\ </c:formatCode>
                <c:ptCount val="24"/>
                <c:pt idx="0">
                  <c:v>39</c:v>
                </c:pt>
                <c:pt idx="1">
                  <c:v>53</c:v>
                </c:pt>
                <c:pt idx="2">
                  <c:v>73</c:v>
                </c:pt>
                <c:pt idx="3">
                  <c:v>104</c:v>
                </c:pt>
                <c:pt idx="4">
                  <c:v>135</c:v>
                </c:pt>
                <c:pt idx="5">
                  <c:v>194</c:v>
                </c:pt>
                <c:pt idx="6">
                  <c:v>250</c:v>
                </c:pt>
                <c:pt idx="7">
                  <c:v>359</c:v>
                </c:pt>
                <c:pt idx="8">
                  <c:v>565</c:v>
                </c:pt>
                <c:pt idx="9">
                  <c:v>808</c:v>
                </c:pt>
                <c:pt idx="10">
                  <c:v>1040</c:v>
                </c:pt>
                <c:pt idx="11">
                  <c:v>1491</c:v>
                </c:pt>
                <c:pt idx="12">
                  <c:v>1925</c:v>
                </c:pt>
                <c:pt idx="13">
                  <c:v>2752</c:v>
                </c:pt>
                <c:pt idx="14">
                  <c:v>4298</c:v>
                </c:pt>
                <c:pt idx="15">
                  <c:v>6174</c:v>
                </c:pt>
                <c:pt idx="16">
                  <c:v>7978</c:v>
                </c:pt>
                <c:pt idx="17">
                  <c:v>11439</c:v>
                </c:pt>
                <c:pt idx="18">
                  <c:v>14755</c:v>
                </c:pt>
                <c:pt idx="19">
                  <c:v>17961</c:v>
                </c:pt>
                <c:pt idx="20">
                  <c:v>29640</c:v>
                </c:pt>
                <c:pt idx="21">
                  <c:v>46800</c:v>
                </c:pt>
                <c:pt idx="22">
                  <c:v>60840</c:v>
                </c:pt>
                <c:pt idx="23">
                  <c:v>68640</c:v>
                </c:pt>
              </c:numCache>
            </c:numRef>
          </c:yVal>
          <c:smooth val="0"/>
          <c:extLst>
            <c:ext xmlns:c16="http://schemas.microsoft.com/office/drawing/2014/chart" uri="{C3380CC4-5D6E-409C-BE32-E72D297353CC}">
              <c16:uniqueId val="{00000000-B575-4B2F-86F4-32A3B385F188}"/>
            </c:ext>
          </c:extLst>
        </c:ser>
        <c:ser>
          <c:idx val="2"/>
          <c:order val="1"/>
          <c:tx>
            <c:strRef>
              <c:f>'NOTRANJA OPREMA'!$D$4</c:f>
              <c:strCache>
                <c:ptCount val="1"/>
                <c:pt idx="0">
                  <c:v>CENOVNI RAZRED II</c:v>
                </c:pt>
              </c:strCache>
            </c:strRef>
          </c:tx>
          <c:spPr>
            <a:ln w="19050" cap="rnd">
              <a:solidFill>
                <a:schemeClr val="accent5">
                  <a:tint val="69000"/>
                </a:schemeClr>
              </a:solidFill>
              <a:round/>
            </a:ln>
            <a:effectLst/>
          </c:spPr>
          <c:marker>
            <c:symbol val="circle"/>
            <c:size val="5"/>
            <c:spPr>
              <a:solidFill>
                <a:schemeClr val="accent5">
                  <a:tint val="69000"/>
                </a:schemeClr>
              </a:solidFill>
              <a:ln w="9525">
                <a:solidFill>
                  <a:schemeClr val="accent5">
                    <a:tint val="69000"/>
                  </a:schemeClr>
                </a:solidFill>
              </a:ln>
              <a:effectLst/>
            </c:spPr>
          </c:marker>
          <c:trendline>
            <c:spPr>
              <a:ln w="19050" cap="rnd">
                <a:solidFill>
                  <a:schemeClr val="accent5">
                    <a:tint val="69000"/>
                  </a:schemeClr>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trendlineLbl>
          </c:trendline>
          <c:xVal>
            <c:numRef>
              <c:f>'NOTRANJA OPREMA'!$B$7:$B$30</c:f>
              <c:numCache>
                <c:formatCode>#,##0_ ;\-#,##0\ </c:formatCode>
                <c:ptCount val="24"/>
                <c:pt idx="0">
                  <c:v>25000</c:v>
                </c:pt>
                <c:pt idx="1">
                  <c:v>35000</c:v>
                </c:pt>
                <c:pt idx="2">
                  <c:v>50000</c:v>
                </c:pt>
                <c:pt idx="3">
                  <c:v>75000</c:v>
                </c:pt>
                <c:pt idx="4">
                  <c:v>100000</c:v>
                </c:pt>
                <c:pt idx="5">
                  <c:v>150000</c:v>
                </c:pt>
                <c:pt idx="6">
                  <c:v>200000</c:v>
                </c:pt>
                <c:pt idx="7">
                  <c:v>300000</c:v>
                </c:pt>
                <c:pt idx="8">
                  <c:v>500000</c:v>
                </c:pt>
                <c:pt idx="9">
                  <c:v>750000</c:v>
                </c:pt>
                <c:pt idx="10">
                  <c:v>1000000</c:v>
                </c:pt>
                <c:pt idx="11">
                  <c:v>1500000</c:v>
                </c:pt>
                <c:pt idx="12">
                  <c:v>2000000</c:v>
                </c:pt>
                <c:pt idx="13">
                  <c:v>3000000</c:v>
                </c:pt>
                <c:pt idx="14">
                  <c:v>5000000</c:v>
                </c:pt>
                <c:pt idx="15">
                  <c:v>7500000</c:v>
                </c:pt>
                <c:pt idx="16">
                  <c:v>10000000</c:v>
                </c:pt>
                <c:pt idx="17">
                  <c:v>15000000</c:v>
                </c:pt>
                <c:pt idx="18">
                  <c:v>20000000</c:v>
                </c:pt>
                <c:pt idx="19">
                  <c:v>25000000</c:v>
                </c:pt>
                <c:pt idx="20">
                  <c:v>50000000</c:v>
                </c:pt>
                <c:pt idx="21">
                  <c:v>100000000</c:v>
                </c:pt>
                <c:pt idx="22">
                  <c:v>150000000</c:v>
                </c:pt>
                <c:pt idx="23">
                  <c:v>200000000</c:v>
                </c:pt>
              </c:numCache>
            </c:numRef>
          </c:xVal>
          <c:yVal>
            <c:numRef>
              <c:f>'NOTRANJA OPREMA'!$D$7:$D$30</c:f>
              <c:numCache>
                <c:formatCode>#,##0_ ;\-#,##0\ </c:formatCode>
                <c:ptCount val="24"/>
                <c:pt idx="0">
                  <c:v>46</c:v>
                </c:pt>
                <c:pt idx="1">
                  <c:v>62</c:v>
                </c:pt>
                <c:pt idx="2">
                  <c:v>85</c:v>
                </c:pt>
                <c:pt idx="3">
                  <c:v>122</c:v>
                </c:pt>
                <c:pt idx="4">
                  <c:v>158</c:v>
                </c:pt>
                <c:pt idx="5">
                  <c:v>227</c:v>
                </c:pt>
                <c:pt idx="6">
                  <c:v>294</c:v>
                </c:pt>
                <c:pt idx="7">
                  <c:v>421</c:v>
                </c:pt>
                <c:pt idx="8">
                  <c:v>663</c:v>
                </c:pt>
                <c:pt idx="9">
                  <c:v>947</c:v>
                </c:pt>
                <c:pt idx="10">
                  <c:v>1218</c:v>
                </c:pt>
                <c:pt idx="11">
                  <c:v>1748</c:v>
                </c:pt>
                <c:pt idx="12">
                  <c:v>2255</c:v>
                </c:pt>
                <c:pt idx="13">
                  <c:v>3225</c:v>
                </c:pt>
                <c:pt idx="14">
                  <c:v>5037</c:v>
                </c:pt>
                <c:pt idx="15">
                  <c:v>7235</c:v>
                </c:pt>
                <c:pt idx="16">
                  <c:v>9350</c:v>
                </c:pt>
                <c:pt idx="17">
                  <c:v>13405</c:v>
                </c:pt>
                <c:pt idx="18">
                  <c:v>17291</c:v>
                </c:pt>
                <c:pt idx="19">
                  <c:v>21048</c:v>
                </c:pt>
                <c:pt idx="20">
                  <c:v>34960</c:v>
                </c:pt>
                <c:pt idx="21">
                  <c:v>55200</c:v>
                </c:pt>
                <c:pt idx="22">
                  <c:v>71760</c:v>
                </c:pt>
                <c:pt idx="23">
                  <c:v>80960</c:v>
                </c:pt>
              </c:numCache>
            </c:numRef>
          </c:yVal>
          <c:smooth val="0"/>
          <c:extLst>
            <c:ext xmlns:c16="http://schemas.microsoft.com/office/drawing/2014/chart" uri="{C3380CC4-5D6E-409C-BE32-E72D297353CC}">
              <c16:uniqueId val="{00000001-B575-4B2F-86F4-32A3B385F188}"/>
            </c:ext>
          </c:extLst>
        </c:ser>
        <c:ser>
          <c:idx val="4"/>
          <c:order val="2"/>
          <c:tx>
            <c:strRef>
              <c:f>'NOTRANJA OPREMA'!$E$4</c:f>
              <c:strCache>
                <c:ptCount val="1"/>
                <c:pt idx="0">
                  <c:v>CENOVNI RAZRED III</c:v>
                </c:pt>
              </c:strCache>
            </c:strRef>
          </c:tx>
          <c:spPr>
            <a:ln w="19050" cap="rnd">
              <a:solidFill>
                <a:schemeClr val="accent5">
                  <a:tint val="94000"/>
                </a:schemeClr>
              </a:solidFill>
              <a:round/>
            </a:ln>
            <a:effectLst/>
          </c:spPr>
          <c:marker>
            <c:symbol val="circle"/>
            <c:size val="5"/>
            <c:spPr>
              <a:solidFill>
                <a:schemeClr val="accent5">
                  <a:tint val="94000"/>
                </a:schemeClr>
              </a:solidFill>
              <a:ln w="9525">
                <a:solidFill>
                  <a:schemeClr val="accent5">
                    <a:tint val="94000"/>
                  </a:schemeClr>
                </a:solidFill>
              </a:ln>
              <a:effectLst/>
            </c:spPr>
          </c:marker>
          <c:trendline>
            <c:spPr>
              <a:ln w="19050" cap="rnd">
                <a:solidFill>
                  <a:schemeClr val="accent5">
                    <a:tint val="94000"/>
                  </a:schemeClr>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trendlineLbl>
          </c:trendline>
          <c:xVal>
            <c:numRef>
              <c:f>'NOTRANJA OPREMA'!$B$7:$B$30</c:f>
              <c:numCache>
                <c:formatCode>#,##0_ ;\-#,##0\ </c:formatCode>
                <c:ptCount val="24"/>
                <c:pt idx="0">
                  <c:v>25000</c:v>
                </c:pt>
                <c:pt idx="1">
                  <c:v>35000</c:v>
                </c:pt>
                <c:pt idx="2">
                  <c:v>50000</c:v>
                </c:pt>
                <c:pt idx="3">
                  <c:v>75000</c:v>
                </c:pt>
                <c:pt idx="4">
                  <c:v>100000</c:v>
                </c:pt>
                <c:pt idx="5">
                  <c:v>150000</c:v>
                </c:pt>
                <c:pt idx="6">
                  <c:v>200000</c:v>
                </c:pt>
                <c:pt idx="7">
                  <c:v>300000</c:v>
                </c:pt>
                <c:pt idx="8">
                  <c:v>500000</c:v>
                </c:pt>
                <c:pt idx="9">
                  <c:v>750000</c:v>
                </c:pt>
                <c:pt idx="10">
                  <c:v>1000000</c:v>
                </c:pt>
                <c:pt idx="11">
                  <c:v>1500000</c:v>
                </c:pt>
                <c:pt idx="12">
                  <c:v>2000000</c:v>
                </c:pt>
                <c:pt idx="13">
                  <c:v>3000000</c:v>
                </c:pt>
                <c:pt idx="14">
                  <c:v>5000000</c:v>
                </c:pt>
                <c:pt idx="15">
                  <c:v>7500000</c:v>
                </c:pt>
                <c:pt idx="16">
                  <c:v>10000000</c:v>
                </c:pt>
                <c:pt idx="17">
                  <c:v>15000000</c:v>
                </c:pt>
                <c:pt idx="18">
                  <c:v>20000000</c:v>
                </c:pt>
                <c:pt idx="19">
                  <c:v>25000000</c:v>
                </c:pt>
                <c:pt idx="20">
                  <c:v>50000000</c:v>
                </c:pt>
                <c:pt idx="21">
                  <c:v>100000000</c:v>
                </c:pt>
                <c:pt idx="22">
                  <c:v>150000000</c:v>
                </c:pt>
                <c:pt idx="23">
                  <c:v>200000000</c:v>
                </c:pt>
              </c:numCache>
            </c:numRef>
          </c:xVal>
          <c:yVal>
            <c:numRef>
              <c:f>'NOTRANJA OPREMA'!$E$7:$E$30</c:f>
              <c:numCache>
                <c:formatCode>#,##0_ ;\-#,##0\ </c:formatCode>
                <c:ptCount val="24"/>
                <c:pt idx="0">
                  <c:v>54</c:v>
                </c:pt>
                <c:pt idx="1">
                  <c:v>73</c:v>
                </c:pt>
                <c:pt idx="2">
                  <c:v>101</c:v>
                </c:pt>
                <c:pt idx="3">
                  <c:v>145</c:v>
                </c:pt>
                <c:pt idx="4">
                  <c:v>188</c:v>
                </c:pt>
                <c:pt idx="5">
                  <c:v>269</c:v>
                </c:pt>
                <c:pt idx="6">
                  <c:v>348</c:v>
                </c:pt>
                <c:pt idx="7">
                  <c:v>500</c:v>
                </c:pt>
                <c:pt idx="8">
                  <c:v>786</c:v>
                </c:pt>
                <c:pt idx="9">
                  <c:v>1124</c:v>
                </c:pt>
                <c:pt idx="10">
                  <c:v>1446</c:v>
                </c:pt>
                <c:pt idx="11">
                  <c:v>2074</c:v>
                </c:pt>
                <c:pt idx="12">
                  <c:v>2676</c:v>
                </c:pt>
                <c:pt idx="13">
                  <c:v>3827</c:v>
                </c:pt>
                <c:pt idx="14">
                  <c:v>5978</c:v>
                </c:pt>
                <c:pt idx="15">
                  <c:v>8586</c:v>
                </c:pt>
                <c:pt idx="16">
                  <c:v>11095</c:v>
                </c:pt>
                <c:pt idx="17">
                  <c:v>15908</c:v>
                </c:pt>
                <c:pt idx="18">
                  <c:v>20519</c:v>
                </c:pt>
                <c:pt idx="19">
                  <c:v>24977</c:v>
                </c:pt>
                <c:pt idx="20">
                  <c:v>41040</c:v>
                </c:pt>
                <c:pt idx="21">
                  <c:v>64800</c:v>
                </c:pt>
                <c:pt idx="22">
                  <c:v>84240</c:v>
                </c:pt>
                <c:pt idx="23">
                  <c:v>95040</c:v>
                </c:pt>
              </c:numCache>
            </c:numRef>
          </c:yVal>
          <c:smooth val="0"/>
          <c:extLst>
            <c:ext xmlns:c16="http://schemas.microsoft.com/office/drawing/2014/chart" uri="{C3380CC4-5D6E-409C-BE32-E72D297353CC}">
              <c16:uniqueId val="{00000002-B575-4B2F-86F4-32A3B385F188}"/>
            </c:ext>
          </c:extLst>
        </c:ser>
        <c:ser>
          <c:idx val="6"/>
          <c:order val="3"/>
          <c:tx>
            <c:strRef>
              <c:f>'NOTRANJA OPREMA'!$F$4</c:f>
              <c:strCache>
                <c:ptCount val="1"/>
                <c:pt idx="0">
                  <c:v>CENOVNI RAZRED IV</c:v>
                </c:pt>
              </c:strCache>
            </c:strRef>
          </c:tx>
          <c:spPr>
            <a:ln w="19050" cap="rnd">
              <a:solidFill>
                <a:schemeClr val="accent5">
                  <a:shade val="80000"/>
                </a:schemeClr>
              </a:solidFill>
              <a:round/>
            </a:ln>
            <a:effectLst/>
          </c:spPr>
          <c:marker>
            <c:symbol val="circle"/>
            <c:size val="5"/>
            <c:spPr>
              <a:solidFill>
                <a:schemeClr val="accent5">
                  <a:shade val="80000"/>
                </a:schemeClr>
              </a:solidFill>
              <a:ln w="9525">
                <a:solidFill>
                  <a:schemeClr val="accent5">
                    <a:shade val="80000"/>
                  </a:schemeClr>
                </a:solidFill>
              </a:ln>
              <a:effectLst/>
            </c:spPr>
          </c:marker>
          <c:trendline>
            <c:spPr>
              <a:ln w="19050" cap="rnd">
                <a:solidFill>
                  <a:schemeClr val="accent5">
                    <a:shade val="80000"/>
                  </a:schemeClr>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trendlineLbl>
          </c:trendline>
          <c:xVal>
            <c:numRef>
              <c:f>'NOTRANJA OPREMA'!$B$7:$B$30</c:f>
              <c:numCache>
                <c:formatCode>#,##0_ ;\-#,##0\ </c:formatCode>
                <c:ptCount val="24"/>
                <c:pt idx="0">
                  <c:v>25000</c:v>
                </c:pt>
                <c:pt idx="1">
                  <c:v>35000</c:v>
                </c:pt>
                <c:pt idx="2">
                  <c:v>50000</c:v>
                </c:pt>
                <c:pt idx="3">
                  <c:v>75000</c:v>
                </c:pt>
                <c:pt idx="4">
                  <c:v>100000</c:v>
                </c:pt>
                <c:pt idx="5">
                  <c:v>150000</c:v>
                </c:pt>
                <c:pt idx="6">
                  <c:v>200000</c:v>
                </c:pt>
                <c:pt idx="7">
                  <c:v>300000</c:v>
                </c:pt>
                <c:pt idx="8">
                  <c:v>500000</c:v>
                </c:pt>
                <c:pt idx="9">
                  <c:v>750000</c:v>
                </c:pt>
                <c:pt idx="10">
                  <c:v>1000000</c:v>
                </c:pt>
                <c:pt idx="11">
                  <c:v>1500000</c:v>
                </c:pt>
                <c:pt idx="12">
                  <c:v>2000000</c:v>
                </c:pt>
                <c:pt idx="13">
                  <c:v>3000000</c:v>
                </c:pt>
                <c:pt idx="14">
                  <c:v>5000000</c:v>
                </c:pt>
                <c:pt idx="15">
                  <c:v>7500000</c:v>
                </c:pt>
                <c:pt idx="16">
                  <c:v>10000000</c:v>
                </c:pt>
                <c:pt idx="17">
                  <c:v>15000000</c:v>
                </c:pt>
                <c:pt idx="18">
                  <c:v>20000000</c:v>
                </c:pt>
                <c:pt idx="19">
                  <c:v>25000000</c:v>
                </c:pt>
                <c:pt idx="20">
                  <c:v>50000000</c:v>
                </c:pt>
                <c:pt idx="21">
                  <c:v>100000000</c:v>
                </c:pt>
                <c:pt idx="22">
                  <c:v>150000000</c:v>
                </c:pt>
                <c:pt idx="23">
                  <c:v>200000000</c:v>
                </c:pt>
              </c:numCache>
            </c:numRef>
          </c:xVal>
          <c:yVal>
            <c:numRef>
              <c:f>'NOTRANJA OPREMA'!$F$7:$F$30</c:f>
              <c:numCache>
                <c:formatCode>#,##0_ ;\-#,##0\ </c:formatCode>
                <c:ptCount val="24"/>
                <c:pt idx="0">
                  <c:v>68</c:v>
                </c:pt>
                <c:pt idx="1">
                  <c:v>91</c:v>
                </c:pt>
                <c:pt idx="2">
                  <c:v>126</c:v>
                </c:pt>
                <c:pt idx="3">
                  <c:v>181</c:v>
                </c:pt>
                <c:pt idx="4">
                  <c:v>234</c:v>
                </c:pt>
                <c:pt idx="5">
                  <c:v>336</c:v>
                </c:pt>
                <c:pt idx="6">
                  <c:v>434</c:v>
                </c:pt>
                <c:pt idx="7">
                  <c:v>623</c:v>
                </c:pt>
                <c:pt idx="8">
                  <c:v>981</c:v>
                </c:pt>
                <c:pt idx="9">
                  <c:v>1402</c:v>
                </c:pt>
                <c:pt idx="10">
                  <c:v>1803</c:v>
                </c:pt>
                <c:pt idx="11">
                  <c:v>2587</c:v>
                </c:pt>
                <c:pt idx="12">
                  <c:v>3338</c:v>
                </c:pt>
                <c:pt idx="13">
                  <c:v>4773</c:v>
                </c:pt>
                <c:pt idx="14">
                  <c:v>7455</c:v>
                </c:pt>
                <c:pt idx="15">
                  <c:v>10708</c:v>
                </c:pt>
                <c:pt idx="16">
                  <c:v>13838</c:v>
                </c:pt>
                <c:pt idx="17">
                  <c:v>19840</c:v>
                </c:pt>
                <c:pt idx="18">
                  <c:v>25591</c:v>
                </c:pt>
                <c:pt idx="19">
                  <c:v>31151</c:v>
                </c:pt>
                <c:pt idx="20">
                  <c:v>51680</c:v>
                </c:pt>
                <c:pt idx="21">
                  <c:v>81600</c:v>
                </c:pt>
                <c:pt idx="22">
                  <c:v>106080</c:v>
                </c:pt>
                <c:pt idx="23">
                  <c:v>119680</c:v>
                </c:pt>
              </c:numCache>
            </c:numRef>
          </c:yVal>
          <c:smooth val="0"/>
          <c:extLst>
            <c:ext xmlns:c16="http://schemas.microsoft.com/office/drawing/2014/chart" uri="{C3380CC4-5D6E-409C-BE32-E72D297353CC}">
              <c16:uniqueId val="{00000003-B575-4B2F-86F4-32A3B385F188}"/>
            </c:ext>
          </c:extLst>
        </c:ser>
        <c:ser>
          <c:idx val="8"/>
          <c:order val="4"/>
          <c:tx>
            <c:strRef>
              <c:f>'NOTRANJA OPREMA'!$G$4</c:f>
              <c:strCache>
                <c:ptCount val="1"/>
                <c:pt idx="0">
                  <c:v>CENOVNI RAZRED V</c:v>
                </c:pt>
              </c:strCache>
            </c:strRef>
          </c:tx>
          <c:spPr>
            <a:ln w="19050" cap="rnd">
              <a:solidFill>
                <a:schemeClr val="accent5">
                  <a:shade val="55000"/>
                </a:schemeClr>
              </a:solidFill>
              <a:round/>
            </a:ln>
            <a:effectLst/>
          </c:spPr>
          <c:marker>
            <c:symbol val="circle"/>
            <c:size val="5"/>
            <c:spPr>
              <a:solidFill>
                <a:schemeClr val="accent5">
                  <a:shade val="55000"/>
                </a:schemeClr>
              </a:solidFill>
              <a:ln w="9525">
                <a:solidFill>
                  <a:schemeClr val="accent5">
                    <a:shade val="55000"/>
                  </a:schemeClr>
                </a:solidFill>
              </a:ln>
              <a:effectLst/>
            </c:spPr>
          </c:marker>
          <c:trendline>
            <c:spPr>
              <a:ln w="19050" cap="rnd">
                <a:solidFill>
                  <a:schemeClr val="accent5">
                    <a:shade val="55000"/>
                  </a:schemeClr>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trendlineLbl>
          </c:trendline>
          <c:xVal>
            <c:numRef>
              <c:f>'NOTRANJA OPREMA'!$B$7:$B$30</c:f>
              <c:numCache>
                <c:formatCode>#,##0_ ;\-#,##0\ </c:formatCode>
                <c:ptCount val="24"/>
                <c:pt idx="0">
                  <c:v>25000</c:v>
                </c:pt>
                <c:pt idx="1">
                  <c:v>35000</c:v>
                </c:pt>
                <c:pt idx="2">
                  <c:v>50000</c:v>
                </c:pt>
                <c:pt idx="3">
                  <c:v>75000</c:v>
                </c:pt>
                <c:pt idx="4">
                  <c:v>100000</c:v>
                </c:pt>
                <c:pt idx="5">
                  <c:v>150000</c:v>
                </c:pt>
                <c:pt idx="6">
                  <c:v>200000</c:v>
                </c:pt>
                <c:pt idx="7">
                  <c:v>300000</c:v>
                </c:pt>
                <c:pt idx="8">
                  <c:v>500000</c:v>
                </c:pt>
                <c:pt idx="9">
                  <c:v>750000</c:v>
                </c:pt>
                <c:pt idx="10">
                  <c:v>1000000</c:v>
                </c:pt>
                <c:pt idx="11">
                  <c:v>1500000</c:v>
                </c:pt>
                <c:pt idx="12">
                  <c:v>2000000</c:v>
                </c:pt>
                <c:pt idx="13">
                  <c:v>3000000</c:v>
                </c:pt>
                <c:pt idx="14">
                  <c:v>5000000</c:v>
                </c:pt>
                <c:pt idx="15">
                  <c:v>7500000</c:v>
                </c:pt>
                <c:pt idx="16">
                  <c:v>10000000</c:v>
                </c:pt>
                <c:pt idx="17">
                  <c:v>15000000</c:v>
                </c:pt>
                <c:pt idx="18">
                  <c:v>20000000</c:v>
                </c:pt>
                <c:pt idx="19">
                  <c:v>25000000</c:v>
                </c:pt>
                <c:pt idx="20">
                  <c:v>50000000</c:v>
                </c:pt>
                <c:pt idx="21">
                  <c:v>100000000</c:v>
                </c:pt>
                <c:pt idx="22">
                  <c:v>150000000</c:v>
                </c:pt>
                <c:pt idx="23">
                  <c:v>200000000</c:v>
                </c:pt>
              </c:numCache>
            </c:numRef>
          </c:xVal>
          <c:yVal>
            <c:numRef>
              <c:f>'NOTRANJA OPREMA'!$G$7:$G$30</c:f>
              <c:numCache>
                <c:formatCode>#,##0_ ;\-#,##0\ </c:formatCode>
                <c:ptCount val="24"/>
                <c:pt idx="0">
                  <c:v>76</c:v>
                </c:pt>
                <c:pt idx="1">
                  <c:v>103</c:v>
                </c:pt>
                <c:pt idx="2">
                  <c:v>142</c:v>
                </c:pt>
                <c:pt idx="3">
                  <c:v>204</c:v>
                </c:pt>
                <c:pt idx="4">
                  <c:v>263</c:v>
                </c:pt>
                <c:pt idx="5">
                  <c:v>378</c:v>
                </c:pt>
                <c:pt idx="6">
                  <c:v>489</c:v>
                </c:pt>
                <c:pt idx="7">
                  <c:v>702</c:v>
                </c:pt>
                <c:pt idx="8">
                  <c:v>1104</c:v>
                </c:pt>
                <c:pt idx="9">
                  <c:v>1579</c:v>
                </c:pt>
                <c:pt idx="10">
                  <c:v>2031</c:v>
                </c:pt>
                <c:pt idx="11">
                  <c:v>2913</c:v>
                </c:pt>
                <c:pt idx="12">
                  <c:v>3759</c:v>
                </c:pt>
                <c:pt idx="13">
                  <c:v>5375</c:v>
                </c:pt>
                <c:pt idx="14">
                  <c:v>8396</c:v>
                </c:pt>
                <c:pt idx="15">
                  <c:v>12059</c:v>
                </c:pt>
                <c:pt idx="16">
                  <c:v>15583</c:v>
                </c:pt>
                <c:pt idx="17">
                  <c:v>22342</c:v>
                </c:pt>
                <c:pt idx="18">
                  <c:v>28819</c:v>
                </c:pt>
                <c:pt idx="19">
                  <c:v>35080</c:v>
                </c:pt>
                <c:pt idx="20">
                  <c:v>57760</c:v>
                </c:pt>
                <c:pt idx="21">
                  <c:v>91200</c:v>
                </c:pt>
                <c:pt idx="22">
                  <c:v>118560</c:v>
                </c:pt>
                <c:pt idx="23">
                  <c:v>133760</c:v>
                </c:pt>
              </c:numCache>
            </c:numRef>
          </c:yVal>
          <c:smooth val="0"/>
          <c:extLst>
            <c:ext xmlns:c16="http://schemas.microsoft.com/office/drawing/2014/chart" uri="{C3380CC4-5D6E-409C-BE32-E72D297353CC}">
              <c16:uniqueId val="{00000004-B575-4B2F-86F4-32A3B385F188}"/>
            </c:ext>
          </c:extLst>
        </c:ser>
        <c:ser>
          <c:idx val="9"/>
          <c:order val="5"/>
          <c:tx>
            <c:v>CENOVNI RAZRED V VISOKA</c:v>
          </c:tx>
          <c:spPr>
            <a:ln w="19050" cap="rnd">
              <a:solidFill>
                <a:schemeClr val="accent5">
                  <a:shade val="42000"/>
                </a:schemeClr>
              </a:solidFill>
              <a:round/>
            </a:ln>
            <a:effectLst/>
          </c:spPr>
          <c:marker>
            <c:symbol val="circle"/>
            <c:size val="5"/>
            <c:spPr>
              <a:solidFill>
                <a:schemeClr val="accent5">
                  <a:shade val="42000"/>
                </a:schemeClr>
              </a:solidFill>
              <a:ln w="9525">
                <a:solidFill>
                  <a:schemeClr val="accent5">
                    <a:shade val="42000"/>
                  </a:schemeClr>
                </a:solidFill>
              </a:ln>
              <a:effectLst/>
            </c:spPr>
          </c:marker>
          <c:trendline>
            <c:spPr>
              <a:ln w="19050" cap="rnd">
                <a:solidFill>
                  <a:schemeClr val="accent5">
                    <a:shade val="42000"/>
                  </a:schemeClr>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trendlineLbl>
          </c:trendline>
          <c:xVal>
            <c:numRef>
              <c:f>'NOTRANJA OPREMA'!$B$7:$B$30</c:f>
              <c:numCache>
                <c:formatCode>#,##0_ ;\-#,##0\ </c:formatCode>
                <c:ptCount val="24"/>
                <c:pt idx="0">
                  <c:v>25000</c:v>
                </c:pt>
                <c:pt idx="1">
                  <c:v>35000</c:v>
                </c:pt>
                <c:pt idx="2">
                  <c:v>50000</c:v>
                </c:pt>
                <c:pt idx="3">
                  <c:v>75000</c:v>
                </c:pt>
                <c:pt idx="4">
                  <c:v>100000</c:v>
                </c:pt>
                <c:pt idx="5">
                  <c:v>150000</c:v>
                </c:pt>
                <c:pt idx="6">
                  <c:v>200000</c:v>
                </c:pt>
                <c:pt idx="7">
                  <c:v>300000</c:v>
                </c:pt>
                <c:pt idx="8">
                  <c:v>500000</c:v>
                </c:pt>
                <c:pt idx="9">
                  <c:v>750000</c:v>
                </c:pt>
                <c:pt idx="10">
                  <c:v>1000000</c:v>
                </c:pt>
                <c:pt idx="11">
                  <c:v>1500000</c:v>
                </c:pt>
                <c:pt idx="12">
                  <c:v>2000000</c:v>
                </c:pt>
                <c:pt idx="13">
                  <c:v>3000000</c:v>
                </c:pt>
                <c:pt idx="14">
                  <c:v>5000000</c:v>
                </c:pt>
                <c:pt idx="15">
                  <c:v>7500000</c:v>
                </c:pt>
                <c:pt idx="16">
                  <c:v>10000000</c:v>
                </c:pt>
                <c:pt idx="17">
                  <c:v>15000000</c:v>
                </c:pt>
                <c:pt idx="18">
                  <c:v>20000000</c:v>
                </c:pt>
                <c:pt idx="19">
                  <c:v>25000000</c:v>
                </c:pt>
                <c:pt idx="20">
                  <c:v>50000000</c:v>
                </c:pt>
                <c:pt idx="21">
                  <c:v>100000000</c:v>
                </c:pt>
                <c:pt idx="22">
                  <c:v>150000000</c:v>
                </c:pt>
                <c:pt idx="23">
                  <c:v>200000000</c:v>
                </c:pt>
              </c:numCache>
            </c:numRef>
          </c:xVal>
          <c:yVal>
            <c:numRef>
              <c:f>'NOTRANJA OPREMA'!$H$7:$H$30</c:f>
              <c:numCache>
                <c:formatCode>#,##0_ ;\-#,##0\ </c:formatCode>
                <c:ptCount val="24"/>
                <c:pt idx="0">
                  <c:v>83</c:v>
                </c:pt>
                <c:pt idx="1">
                  <c:v>112</c:v>
                </c:pt>
                <c:pt idx="2">
                  <c:v>154</c:v>
                </c:pt>
                <c:pt idx="3">
                  <c:v>222</c:v>
                </c:pt>
                <c:pt idx="4">
                  <c:v>287</c:v>
                </c:pt>
                <c:pt idx="5">
                  <c:v>412</c:v>
                </c:pt>
                <c:pt idx="6">
                  <c:v>532</c:v>
                </c:pt>
                <c:pt idx="7">
                  <c:v>764</c:v>
                </c:pt>
                <c:pt idx="8">
                  <c:v>1201</c:v>
                </c:pt>
                <c:pt idx="9">
                  <c:v>1718</c:v>
                </c:pt>
                <c:pt idx="10">
                  <c:v>2210</c:v>
                </c:pt>
                <c:pt idx="11">
                  <c:v>3169</c:v>
                </c:pt>
                <c:pt idx="12">
                  <c:v>4090</c:v>
                </c:pt>
                <c:pt idx="13">
                  <c:v>5848</c:v>
                </c:pt>
                <c:pt idx="14">
                  <c:v>9134</c:v>
                </c:pt>
                <c:pt idx="15">
                  <c:v>13120</c:v>
                </c:pt>
                <c:pt idx="16">
                  <c:v>16954</c:v>
                </c:pt>
                <c:pt idx="17">
                  <c:v>24308</c:v>
                </c:pt>
                <c:pt idx="18">
                  <c:v>31355</c:v>
                </c:pt>
                <c:pt idx="19">
                  <c:v>38167</c:v>
                </c:pt>
                <c:pt idx="20">
                  <c:v>63080</c:v>
                </c:pt>
                <c:pt idx="21">
                  <c:v>99600</c:v>
                </c:pt>
                <c:pt idx="22">
                  <c:v>129480</c:v>
                </c:pt>
                <c:pt idx="23">
                  <c:v>146080</c:v>
                </c:pt>
              </c:numCache>
            </c:numRef>
          </c:yVal>
          <c:smooth val="0"/>
          <c:extLst>
            <c:ext xmlns:c16="http://schemas.microsoft.com/office/drawing/2014/chart" uri="{C3380CC4-5D6E-409C-BE32-E72D297353CC}">
              <c16:uniqueId val="{00000005-B575-4B2F-86F4-32A3B385F188}"/>
            </c:ext>
          </c:extLst>
        </c:ser>
        <c:dLbls>
          <c:showLegendKey val="0"/>
          <c:showVal val="0"/>
          <c:showCatName val="0"/>
          <c:showSerName val="0"/>
          <c:showPercent val="0"/>
          <c:showBubbleSize val="0"/>
        </c:dLbls>
        <c:axId val="616101352"/>
        <c:axId val="616098728"/>
        <c:extLst/>
      </c:scatterChart>
      <c:valAx>
        <c:axId val="6161013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Inter Light" panose="020B0502030000000004" pitchFamily="34" charset="0"/>
                <a:ea typeface="Inter Light" panose="020B0502030000000004" pitchFamily="34" charset="0"/>
                <a:cs typeface="+mn-cs"/>
              </a:defRPr>
            </a:pPr>
            <a:endParaRPr lang="sl-SI"/>
          </a:p>
        </c:txPr>
        <c:crossAx val="616098728"/>
        <c:crosses val="autoZero"/>
        <c:crossBetween val="midCat"/>
        <c:dispUnits>
          <c:builtInUnit val="million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dispUnitsLbl>
        </c:dispUnits>
      </c:valAx>
      <c:valAx>
        <c:axId val="616098728"/>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Inter Light" panose="020B0502030000000004" pitchFamily="34" charset="0"/>
                <a:ea typeface="Inter Light" panose="020B0502030000000004" pitchFamily="34" charset="0"/>
                <a:cs typeface="+mn-cs"/>
              </a:defRPr>
            </a:pPr>
            <a:endParaRPr lang="sl-SI"/>
          </a:p>
        </c:txPr>
        <c:crossAx val="6161013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Inter Light" panose="020B0502030000000004" pitchFamily="34" charset="0"/>
              <a:ea typeface="Inter Light" panose="020B0502030000000004" pitchFamily="34" charset="0"/>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F$389" lockText="1" noThreeD="1"/>
</file>

<file path=xl/ctrlProps/ctrlProp2.xml><?xml version="1.0" encoding="utf-8"?>
<formControlPr xmlns="http://schemas.microsoft.com/office/spreadsheetml/2009/9/main" objectType="CheckBox" checked="Checked" fmlaLink="$F$388" lockText="1" noThreeD="1"/>
</file>

<file path=xl/ctrlProps/ctrlProp3.xml><?xml version="1.0" encoding="utf-8"?>
<formControlPr xmlns="http://schemas.microsoft.com/office/spreadsheetml/2009/9/main" objectType="CheckBox" checked="Checked" fmlaLink="$F$387" lockText="1" noThreeD="1"/>
</file>

<file path=xl/ctrlProps/ctrlProp4.xml><?xml version="1.0" encoding="utf-8"?>
<formControlPr xmlns="http://schemas.microsoft.com/office/spreadsheetml/2009/9/main" objectType="CheckBox" checked="Checked" fmlaLink="$E$368" lockText="1" noThreeD="1"/>
</file>

<file path=xl/ctrlProps/ctrlProp5.xml><?xml version="1.0" encoding="utf-8"?>
<formControlPr xmlns="http://schemas.microsoft.com/office/spreadsheetml/2009/9/main" objectType="CheckBox" checked="Checked" fmlaLink="$E$369" lockText="1" noThreeD="1"/>
</file>

<file path=xl/ctrlProps/ctrlProp6.xml><?xml version="1.0" encoding="utf-8"?>
<formControlPr xmlns="http://schemas.microsoft.com/office/spreadsheetml/2009/9/main" objectType="CheckBox" checked="Checked" fmlaLink="$E$370" lockText="1" noThreeD="1"/>
</file>

<file path=xl/ctrlProps/ctrlProp7.xml><?xml version="1.0" encoding="utf-8"?>
<formControlPr xmlns="http://schemas.microsoft.com/office/spreadsheetml/2009/9/main" objectType="CheckBox" checked="Checked" fmlaLink="$E$372" lockText="1" noThreeD="1"/>
</file>

<file path=xl/ctrlProps/ctrlProp8.xml><?xml version="1.0" encoding="utf-8"?>
<formControlPr xmlns="http://schemas.microsoft.com/office/spreadsheetml/2009/9/main" objectType="CheckBox" checked="Checked" fmlaLink="$E$373" lockText="1" noThreeD="1"/>
</file>

<file path=xl/ctrlProps/ctrlProp9.xml><?xml version="1.0" encoding="utf-8"?>
<formControlPr xmlns="http://schemas.microsoft.com/office/spreadsheetml/2009/9/main" objectType="CheckBox" checked="Checked" fmlaLink="$E$374" lockText="1" noThreeD="1"/>
</file>

<file path=xl/ctrlProps/ctrlProp10.xml><?xml version="1.0" encoding="utf-8"?>
<formControlPr xmlns="http://schemas.microsoft.com/office/spreadsheetml/2009/9/main" objectType="CheckBox" checked="Checked" fmlaLink="$E$375" lockText="1" noThreeD="1"/>
</file>

<file path=xl/ctrlProps/ctrlProp11.xml><?xml version="1.0" encoding="utf-8"?>
<formControlPr xmlns="http://schemas.microsoft.com/office/spreadsheetml/2009/9/main" objectType="CheckBox" checked="Checked" fmlaLink="$E$376" lockText="1" noThreeD="1"/>
</file>

<file path=xl/ctrlProps/ctrlProp12.xml><?xml version="1.0" encoding="utf-8"?>
<formControlPr xmlns="http://schemas.microsoft.com/office/spreadsheetml/2009/9/main" objectType="CheckBox" checked="Checked" fmlaLink="$E$377" lockText="1" noThreeD="1"/>
</file>

<file path=xl/ctrlProps/ctrlProp13.xml><?xml version="1.0" encoding="utf-8"?>
<formControlPr xmlns="http://schemas.microsoft.com/office/spreadsheetml/2009/9/main" objectType="CheckBox" checked="Checked" fmlaLink="$E$378" lockText="1" noThreeD="1"/>
</file>

<file path=xl/ctrlProps/ctrlProp14.xml><?xml version="1.0" encoding="utf-8"?>
<formControlPr xmlns="http://schemas.microsoft.com/office/spreadsheetml/2009/9/main" objectType="CheckBox" checked="Checked" fmlaLink="$E$379" lockText="1" noThreeD="1"/>
</file>

<file path=xl/ctrlProps/ctrlProp15.xml><?xml version="1.0" encoding="utf-8"?>
<formControlPr xmlns="http://schemas.microsoft.com/office/spreadsheetml/2009/9/main" objectType="CheckBox" checked="Checked" fmlaLink="$A$368" lockText="1" noThreeD="1"/>
</file>

<file path=xl/ctrlProps/ctrlProp16.xml><?xml version="1.0" encoding="utf-8"?>
<formControlPr xmlns="http://schemas.microsoft.com/office/spreadsheetml/2009/9/main" objectType="CheckBox" checked="Checked" fmlaLink="$A$369" lockText="1" noThreeD="1"/>
</file>

<file path=xl/ctrlProps/ctrlProp17.xml><?xml version="1.0" encoding="utf-8"?>
<formControlPr xmlns="http://schemas.microsoft.com/office/spreadsheetml/2009/9/main" objectType="CheckBox" checked="Checked" fmlaLink="$A$370" lockText="1" noThreeD="1"/>
</file>

<file path=xl/ctrlProps/ctrlProp18.xml><?xml version="1.0" encoding="utf-8"?>
<formControlPr xmlns="http://schemas.microsoft.com/office/spreadsheetml/2009/9/main" objectType="CheckBox" checked="Checked" fmlaLink="$A$372" lockText="1" noThreeD="1"/>
</file>

<file path=xl/ctrlProps/ctrlProp19.xml><?xml version="1.0" encoding="utf-8"?>
<formControlPr xmlns="http://schemas.microsoft.com/office/spreadsheetml/2009/9/main" objectType="CheckBox" checked="Checked" fmlaLink="$A$373" lockText="1" noThreeD="1"/>
</file>

<file path=xl/ctrlProps/ctrlProp20.xml><?xml version="1.0" encoding="utf-8"?>
<formControlPr xmlns="http://schemas.microsoft.com/office/spreadsheetml/2009/9/main" objectType="CheckBox" checked="Checked" fmlaLink="$A$374" lockText="1" noThreeD="1"/>
</file>

<file path=xl/ctrlProps/ctrlProp21.xml><?xml version="1.0" encoding="utf-8"?>
<formControlPr xmlns="http://schemas.microsoft.com/office/spreadsheetml/2009/9/main" objectType="CheckBox" checked="Checked" fmlaLink="$A$375" lockText="1" noThreeD="1"/>
</file>

<file path=xl/ctrlProps/ctrlProp22.xml><?xml version="1.0" encoding="utf-8"?>
<formControlPr xmlns="http://schemas.microsoft.com/office/spreadsheetml/2009/9/main" objectType="CheckBox" checked="Checked" fmlaLink="$A$376" lockText="1" noThreeD="1"/>
</file>

<file path=xl/ctrlProps/ctrlProp23.xml><?xml version="1.0" encoding="utf-8"?>
<formControlPr xmlns="http://schemas.microsoft.com/office/spreadsheetml/2009/9/main" objectType="CheckBox" checked="Checked" fmlaLink="$A$377" lockText="1" noThreeD="1"/>
</file>

<file path=xl/ctrlProps/ctrlProp24.xml><?xml version="1.0" encoding="utf-8"?>
<formControlPr xmlns="http://schemas.microsoft.com/office/spreadsheetml/2009/9/main" objectType="CheckBox" checked="Checked" fmlaLink="$A$378" lockText="1" noThreeD="1"/>
</file>

<file path=xl/ctrlProps/ctrlProp25.xml><?xml version="1.0" encoding="utf-8"?>
<formControlPr xmlns="http://schemas.microsoft.com/office/spreadsheetml/2009/9/main" objectType="CheckBox" checked="Checked" fmlaLink="$A$379" lockText="1" noThreeD="1"/>
</file>

<file path=xl/ctrlProps/ctrlProp26.xml><?xml version="1.0" encoding="utf-8"?>
<formControlPr xmlns="http://schemas.microsoft.com/office/spreadsheetml/2009/9/main" objectType="CheckBox" checked="Checked" fmlaLink="$A$366" lockText="1" noThreeD="1"/>
</file>

<file path=xl/ctrlProps/ctrlProp27.xml><?xml version="1.0" encoding="utf-8"?>
<formControlPr xmlns="http://schemas.microsoft.com/office/spreadsheetml/2009/9/main" objectType="Radio" checked="Checked" firstButton="1" fmlaLink="$H$1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H$172"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H$23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fmlaLink="$G$21" lockText="1" noThreeD="1"/>
</file>

<file path=xl/ctrlProps/ctrlProp37.xml><?xml version="1.0" encoding="utf-8"?>
<formControlPr xmlns="http://schemas.microsoft.com/office/spreadsheetml/2009/9/main" objectType="CheckBox" fmlaLink="$G$47" lockText="1" noThreeD="1"/>
</file>

<file path=xl/ctrlProps/ctrlProp38.xml><?xml version="1.0" encoding="utf-8"?>
<formControlPr xmlns="http://schemas.microsoft.com/office/spreadsheetml/2009/9/main" objectType="CheckBox" checked="Checked" fmlaLink="$G$76" lockText="1" noThreeD="1"/>
</file>

<file path=xl/ctrlProps/ctrlProp39.xml><?xml version="1.0" encoding="utf-8"?>
<formControlPr xmlns="http://schemas.microsoft.com/office/spreadsheetml/2009/9/main" objectType="CheckBox" checked="Checked" fmlaLink="$G$77" lockText="1" noThreeD="1"/>
</file>

<file path=xl/ctrlProps/ctrlProp40.xml><?xml version="1.0" encoding="utf-8"?>
<formControlPr xmlns="http://schemas.microsoft.com/office/spreadsheetml/2009/9/main" objectType="CheckBox" fmlaLink="$G$129" lockText="1" noThreeD="1"/>
</file>

<file path=xl/ctrlProps/ctrlProp41.xml><?xml version="1.0" encoding="utf-8"?>
<formControlPr xmlns="http://schemas.microsoft.com/office/spreadsheetml/2009/9/main" objectType="CheckBox" fmlaLink="$G$146" lockText="1" noThreeD="1"/>
</file>

<file path=xl/ctrlProps/ctrlProp42.xml><?xml version="1.0" encoding="utf-8"?>
<formControlPr xmlns="http://schemas.microsoft.com/office/spreadsheetml/2009/9/main" objectType="CheckBox" checked="Checked" fmlaLink="$G$160" lockText="1" noThreeD="1"/>
</file>

<file path=xl/ctrlProps/ctrlProp43.xml><?xml version="1.0" encoding="utf-8"?>
<formControlPr xmlns="http://schemas.microsoft.com/office/spreadsheetml/2009/9/main" objectType="CheckBox" checked="Checked" fmlaLink="$G$92" lockText="1" noThreeD="1"/>
</file>

<file path=xl/ctrlProps/ctrlProp44.xml><?xml version="1.0" encoding="utf-8"?>
<formControlPr xmlns="http://schemas.microsoft.com/office/spreadsheetml/2009/9/main" objectType="CheckBox" fmlaLink="$G$34" lockText="1" noThreeD="1"/>
</file>

<file path=xl/ctrlProps/ctrlProp45.xml><?xml version="1.0" encoding="utf-8"?>
<formControlPr xmlns="http://schemas.microsoft.com/office/spreadsheetml/2009/9/main" objectType="CheckBox" checked="Checked" fmlaLink="$G$49" lockText="1" noThreeD="1"/>
</file>

<file path=xl/ctrlProps/ctrlProp46.xml><?xml version="1.0" encoding="utf-8"?>
<formControlPr xmlns="http://schemas.microsoft.com/office/spreadsheetml/2009/9/main" objectType="CheckBox" checked="Checked" fmlaLink="$G$62" lockText="1" noThreeD="1"/>
</file>

<file path=xl/ctrlProps/ctrlProp47.xml><?xml version="1.0" encoding="utf-8"?>
<formControlPr xmlns="http://schemas.microsoft.com/office/spreadsheetml/2009/9/main" objectType="CheckBox" fmlaLink="$G$110" lockText="1" noThreeD="1"/>
</file>

<file path=xl/ctrlProps/ctrlProp48.xml><?xml version="1.0" encoding="utf-8"?>
<formControlPr xmlns="http://schemas.microsoft.com/office/spreadsheetml/2009/9/main" objectType="CheckBox" fmlaLink="$G$119" lockText="1" noThreeD="1"/>
</file>

<file path=xl/ctrlProps/ctrlProp49.xml><?xml version="1.0" encoding="utf-8"?>
<formControlPr xmlns="http://schemas.microsoft.com/office/spreadsheetml/2009/9/main" objectType="CheckBox" checked="Checked" fmlaLink="$G$130" lockText="1" noThreeD="1"/>
</file>

<file path=xl/ctrlProps/ctrlProp50.xml><?xml version="1.0" encoding="utf-8"?>
<formControlPr xmlns="http://schemas.microsoft.com/office/spreadsheetml/2009/9/main" objectType="CheckBox" checked="Checked" fmlaLink="$G$176" lockText="1" noThreeD="1"/>
</file>

<file path=xl/ctrlProps/ctrlProp51.xml><?xml version="1.0" encoding="utf-8"?>
<formControlPr xmlns="http://schemas.microsoft.com/office/spreadsheetml/2009/9/main" objectType="CheckBox" fmlaLink="$G$189" lockText="1" noThreeD="1"/>
</file>

<file path=xl/ctrlProps/ctrlProp52.xml><?xml version="1.0" encoding="utf-8"?>
<formControlPr xmlns="http://schemas.microsoft.com/office/spreadsheetml/2009/9/main" objectType="CheckBox" fmlaLink="$G$197" lockText="1" noThreeD="1"/>
</file>

<file path=xl/ctrlProps/ctrlProp53.xml><?xml version="1.0" encoding="utf-8"?>
<formControlPr xmlns="http://schemas.microsoft.com/office/spreadsheetml/2009/9/main" objectType="CheckBox" checked="Checked" fmlaLink="$G$77" lockText="1" noThreeD="1"/>
</file>

<file path=xl/ctrlProps/ctrlProp54.xml><?xml version="1.0" encoding="utf-8"?>
<formControlPr xmlns="http://schemas.microsoft.com/office/spreadsheetml/2009/9/main" objectType="CheckBox" checked="Checked" fmlaLink="$G$77" lockText="1" noThreeD="1"/>
</file>

<file path=xl/ctrlProps/ctrlProp55.xml><?xml version="1.0" encoding="utf-8"?>
<formControlPr xmlns="http://schemas.microsoft.com/office/spreadsheetml/2009/9/main" objectType="CheckBox" checked="Checked" fmlaLink="$G$79" lockText="1" noThreeD="1"/>
</file>

<file path=xl/ctrlProps/ctrlProp56.xml><?xml version="1.0" encoding="utf-8"?>
<formControlPr xmlns="http://schemas.microsoft.com/office/spreadsheetml/2009/9/main" objectType="CheckBox" checked="Checked" fmlaLink="$G$77" lockText="1" noThreeD="1"/>
</file>

<file path=xl/ctrlProps/ctrlProp57.xml><?xml version="1.0" encoding="utf-8"?>
<formControlPr xmlns="http://schemas.microsoft.com/office/spreadsheetml/2009/9/main" objectType="CheckBox" checked="Checked" fmlaLink="$G$78" lockText="1" noThreeD="1"/>
</file>

<file path=xl/ctrlProps/ctrlProp58.xml><?xml version="1.0" encoding="utf-8"?>
<formControlPr xmlns="http://schemas.microsoft.com/office/spreadsheetml/2009/9/main" objectType="CheckBox" checked="Checked" fmlaLink="$G$77" lockText="1" noThreeD="1"/>
</file>

<file path=xl/ctrlProps/ctrlProp59.xml><?xml version="1.0" encoding="utf-8"?>
<formControlPr xmlns="http://schemas.microsoft.com/office/spreadsheetml/2009/9/main" objectType="CheckBox" checked="Checked" fmlaLink="$G$108" lockText="1" noThreeD="1"/>
</file>

<file path=xl/ctrlProps/ctrlProp60.xml><?xml version="1.0" encoding="utf-8"?>
<formControlPr xmlns="http://schemas.microsoft.com/office/spreadsheetml/2009/9/main" objectType="CheckBox" checked="Checked" fmlaLink="$G$77" lockText="1" noThreeD="1"/>
</file>

<file path=xl/ctrlProps/ctrlProp61.xml><?xml version="1.0" encoding="utf-8"?>
<formControlPr xmlns="http://schemas.microsoft.com/office/spreadsheetml/2009/9/main" objectType="CheckBox" checked="Checked" fmlaLink="$G$101" lockText="1" noThreeD="1"/>
</file>

<file path=xl/ctrlProps/ctrlProp62.xml><?xml version="1.0" encoding="utf-8"?>
<formControlPr xmlns="http://schemas.microsoft.com/office/spreadsheetml/2009/9/main" objectType="CheckBox" checked="Checked" fmlaLink="$G$77" lockText="1" noThreeD="1"/>
</file>

<file path=xl/ctrlProps/ctrlProp63.xml><?xml version="1.0" encoding="utf-8"?>
<formControlPr xmlns="http://schemas.microsoft.com/office/spreadsheetml/2009/9/main" objectType="CheckBox" fmlaLink="$G$118" lockText="1" noThreeD="1"/>
</file>

<file path=xl/ctrlProps/ctrlProp64.xml><?xml version="1.0" encoding="utf-8"?>
<formControlPr xmlns="http://schemas.microsoft.com/office/spreadsheetml/2009/9/main" objectType="CheckBox" checked="Checked" fmlaLink="$G$77" lockText="1" noThreeD="1"/>
</file>

<file path=xl/ctrlProps/ctrlProp65.xml><?xml version="1.0" encoding="utf-8"?>
<formControlPr xmlns="http://schemas.microsoft.com/office/spreadsheetml/2009/9/main" objectType="CheckBox" fmlaLink="$G$127" lockText="1" noThreeD="1"/>
</file>

<file path=xl/ctrlProps/ctrlProp66.xml><?xml version="1.0" encoding="utf-8"?>
<formControlPr xmlns="http://schemas.microsoft.com/office/spreadsheetml/2009/9/main" objectType="CheckBox" checked="Checked" fmlaLink="$G$77" lockText="1" noThreeD="1"/>
</file>

<file path=xl/ctrlProps/ctrlProp67.xml><?xml version="1.0" encoding="utf-8"?>
<formControlPr xmlns="http://schemas.microsoft.com/office/spreadsheetml/2009/9/main" objectType="CheckBox" fmlaLink="$G$138" lockText="1" noThreeD="1"/>
</file>

<file path=xl/ctrlProps/ctrlProp68.xml><?xml version="1.0" encoding="utf-8"?>
<formControlPr xmlns="http://schemas.microsoft.com/office/spreadsheetml/2009/9/main" objectType="CheckBox" checked="Checked" fmlaLink="$G$77" lockText="1" noThreeD="1"/>
</file>

<file path=xl/ctrlProps/ctrlProp69.xml><?xml version="1.0" encoding="utf-8"?>
<formControlPr xmlns="http://schemas.microsoft.com/office/spreadsheetml/2009/9/main" objectType="CheckBox" fmlaLink="$G$153" lockText="1" noThreeD="1"/>
</file>

<file path=xl/ctrlProps/ctrlProp70.xml><?xml version="1.0" encoding="utf-8"?>
<formControlPr xmlns="http://schemas.microsoft.com/office/spreadsheetml/2009/9/main" objectType="CheckBox" checked="Checked" fmlaLink="$G$77" lockText="1" noThreeD="1"/>
</file>

<file path=xl/ctrlProps/ctrlProp71.xml><?xml version="1.0" encoding="utf-8"?>
<formControlPr xmlns="http://schemas.microsoft.com/office/spreadsheetml/2009/9/main" objectType="CheckBox" fmlaLink="$G$16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718095</xdr:colOff>
      <xdr:row>2</xdr:row>
      <xdr:rowOff>268515</xdr:rowOff>
    </xdr:to>
    <xdr:pic>
      <xdr:nvPicPr>
        <xdr:cNvPr id="3" name="Picture 2">
          <a:extLst>
            <a:ext uri="{FF2B5EF4-FFF2-40B4-BE49-F238E27FC236}">
              <a16:creationId xmlns:a16="http://schemas.microsoft.com/office/drawing/2014/main" id="{00000000-0008-0000-0000-000003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0"/>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3720</xdr:colOff>
      <xdr:row>2</xdr:row>
      <xdr:rowOff>262800</xdr:rowOff>
    </xdr:to>
    <xdr:pic>
      <xdr:nvPicPr>
        <xdr:cNvPr id="2" name="Picture 1">
          <a:extLst>
            <a:ext uri="{FF2B5EF4-FFF2-40B4-BE49-F238E27FC236}">
              <a16:creationId xmlns:a16="http://schemas.microsoft.com/office/drawing/2014/main" id="{00000000-0008-0000-0100-000002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0"/>
          <a:ext cx="71809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388</xdr:row>
          <xdr:rowOff>47625</xdr:rowOff>
        </xdr:from>
        <xdr:to>
          <xdr:col>5</xdr:col>
          <xdr:colOff>342900</xdr:colOff>
          <xdr:row>389</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1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386</xdr:row>
          <xdr:rowOff>304800</xdr:rowOff>
        </xdr:from>
        <xdr:to>
          <xdr:col>5</xdr:col>
          <xdr:colOff>342900</xdr:colOff>
          <xdr:row>388</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1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386</xdr:row>
          <xdr:rowOff>9525</xdr:rowOff>
        </xdr:from>
        <xdr:to>
          <xdr:col>5</xdr:col>
          <xdr:colOff>342900</xdr:colOff>
          <xdr:row>387</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1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367</xdr:row>
          <xdr:rowOff>19050</xdr:rowOff>
        </xdr:from>
        <xdr:to>
          <xdr:col>4</xdr:col>
          <xdr:colOff>323850</xdr:colOff>
          <xdr:row>367</xdr:row>
          <xdr:rowOff>180975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368</xdr:row>
          <xdr:rowOff>19050</xdr:rowOff>
        </xdr:from>
        <xdr:to>
          <xdr:col>4</xdr:col>
          <xdr:colOff>323850</xdr:colOff>
          <xdr:row>368</xdr:row>
          <xdr:rowOff>180975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369</xdr:row>
          <xdr:rowOff>19050</xdr:rowOff>
        </xdr:from>
        <xdr:to>
          <xdr:col>4</xdr:col>
          <xdr:colOff>323850</xdr:colOff>
          <xdr:row>369</xdr:row>
          <xdr:rowOff>180975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371</xdr:row>
          <xdr:rowOff>19050</xdr:rowOff>
        </xdr:from>
        <xdr:to>
          <xdr:col>4</xdr:col>
          <xdr:colOff>323850</xdr:colOff>
          <xdr:row>371</xdr:row>
          <xdr:rowOff>180975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372</xdr:row>
          <xdr:rowOff>19050</xdr:rowOff>
        </xdr:from>
        <xdr:to>
          <xdr:col>4</xdr:col>
          <xdr:colOff>323850</xdr:colOff>
          <xdr:row>372</xdr:row>
          <xdr:rowOff>180975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373</xdr:row>
          <xdr:rowOff>19050</xdr:rowOff>
        </xdr:from>
        <xdr:to>
          <xdr:col>4</xdr:col>
          <xdr:colOff>323850</xdr:colOff>
          <xdr:row>373</xdr:row>
          <xdr:rowOff>180975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1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374</xdr:row>
          <xdr:rowOff>19050</xdr:rowOff>
        </xdr:from>
        <xdr:to>
          <xdr:col>4</xdr:col>
          <xdr:colOff>323850</xdr:colOff>
          <xdr:row>374</xdr:row>
          <xdr:rowOff>180975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375</xdr:row>
          <xdr:rowOff>19050</xdr:rowOff>
        </xdr:from>
        <xdr:to>
          <xdr:col>4</xdr:col>
          <xdr:colOff>323850</xdr:colOff>
          <xdr:row>375</xdr:row>
          <xdr:rowOff>180975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376</xdr:row>
          <xdr:rowOff>19050</xdr:rowOff>
        </xdr:from>
        <xdr:to>
          <xdr:col>4</xdr:col>
          <xdr:colOff>323850</xdr:colOff>
          <xdr:row>376</xdr:row>
          <xdr:rowOff>180975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1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377</xdr:row>
          <xdr:rowOff>19050</xdr:rowOff>
        </xdr:from>
        <xdr:to>
          <xdr:col>4</xdr:col>
          <xdr:colOff>323850</xdr:colOff>
          <xdr:row>377</xdr:row>
          <xdr:rowOff>180975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378</xdr:row>
          <xdr:rowOff>19050</xdr:rowOff>
        </xdr:from>
        <xdr:to>
          <xdr:col>4</xdr:col>
          <xdr:colOff>323850</xdr:colOff>
          <xdr:row>378</xdr:row>
          <xdr:rowOff>180975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367</xdr:row>
          <xdr:rowOff>19050</xdr:rowOff>
        </xdr:from>
        <xdr:to>
          <xdr:col>0</xdr:col>
          <xdr:colOff>323850</xdr:colOff>
          <xdr:row>367</xdr:row>
          <xdr:rowOff>180975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1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368</xdr:row>
          <xdr:rowOff>19050</xdr:rowOff>
        </xdr:from>
        <xdr:to>
          <xdr:col>0</xdr:col>
          <xdr:colOff>323850</xdr:colOff>
          <xdr:row>368</xdr:row>
          <xdr:rowOff>180975</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1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369</xdr:row>
          <xdr:rowOff>19050</xdr:rowOff>
        </xdr:from>
        <xdr:to>
          <xdr:col>0</xdr:col>
          <xdr:colOff>323850</xdr:colOff>
          <xdr:row>369</xdr:row>
          <xdr:rowOff>180975</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1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371</xdr:row>
          <xdr:rowOff>19050</xdr:rowOff>
        </xdr:from>
        <xdr:to>
          <xdr:col>0</xdr:col>
          <xdr:colOff>323850</xdr:colOff>
          <xdr:row>371</xdr:row>
          <xdr:rowOff>180975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01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372</xdr:row>
          <xdr:rowOff>19050</xdr:rowOff>
        </xdr:from>
        <xdr:to>
          <xdr:col>0</xdr:col>
          <xdr:colOff>323850</xdr:colOff>
          <xdr:row>372</xdr:row>
          <xdr:rowOff>180975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01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373</xdr:row>
          <xdr:rowOff>19050</xdr:rowOff>
        </xdr:from>
        <xdr:to>
          <xdr:col>0</xdr:col>
          <xdr:colOff>323850</xdr:colOff>
          <xdr:row>373</xdr:row>
          <xdr:rowOff>180975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01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374</xdr:row>
          <xdr:rowOff>19050</xdr:rowOff>
        </xdr:from>
        <xdr:to>
          <xdr:col>0</xdr:col>
          <xdr:colOff>323850</xdr:colOff>
          <xdr:row>374</xdr:row>
          <xdr:rowOff>180975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01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375</xdr:row>
          <xdr:rowOff>19050</xdr:rowOff>
        </xdr:from>
        <xdr:to>
          <xdr:col>0</xdr:col>
          <xdr:colOff>323850</xdr:colOff>
          <xdr:row>375</xdr:row>
          <xdr:rowOff>180975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01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376</xdr:row>
          <xdr:rowOff>19050</xdr:rowOff>
        </xdr:from>
        <xdr:to>
          <xdr:col>0</xdr:col>
          <xdr:colOff>323850</xdr:colOff>
          <xdr:row>376</xdr:row>
          <xdr:rowOff>180975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01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377</xdr:row>
          <xdr:rowOff>19050</xdr:rowOff>
        </xdr:from>
        <xdr:to>
          <xdr:col>0</xdr:col>
          <xdr:colOff>323850</xdr:colOff>
          <xdr:row>377</xdr:row>
          <xdr:rowOff>180975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01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378</xdr:row>
          <xdr:rowOff>19050</xdr:rowOff>
        </xdr:from>
        <xdr:to>
          <xdr:col>0</xdr:col>
          <xdr:colOff>323850</xdr:colOff>
          <xdr:row>378</xdr:row>
          <xdr:rowOff>180975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01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365</xdr:row>
          <xdr:rowOff>19050</xdr:rowOff>
        </xdr:from>
        <xdr:to>
          <xdr:col>0</xdr:col>
          <xdr:colOff>323850</xdr:colOff>
          <xdr:row>365</xdr:row>
          <xdr:rowOff>180975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01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5</xdr:col>
          <xdr:colOff>381000</xdr:colOff>
          <xdr:row>11</xdr:row>
          <xdr:rowOff>19050</xdr:rowOff>
        </xdr:to>
        <xdr:sp macro="" textlink="">
          <xdr:nvSpPr>
            <xdr:cNvPr id="31880" name="Option Button 136" hidden="1">
              <a:extLst>
                <a:ext uri="{63B3BB69-23CF-44E3-9099-C40C66FF867C}">
                  <a14:compatExt spid="_x0000_s31880"/>
                </a:ext>
                <a:ext uri="{FF2B5EF4-FFF2-40B4-BE49-F238E27FC236}">
                  <a16:creationId xmlns:a16="http://schemas.microsoft.com/office/drawing/2014/main" id="{00000000-0008-0000-01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180975</xdr:rowOff>
        </xdr:from>
        <xdr:to>
          <xdr:col>5</xdr:col>
          <xdr:colOff>314325</xdr:colOff>
          <xdr:row>12</xdr:row>
          <xdr:rowOff>0</xdr:rowOff>
        </xdr:to>
        <xdr:sp macro="" textlink="">
          <xdr:nvSpPr>
            <xdr:cNvPr id="31881" name="Option Button 137" hidden="1">
              <a:extLst>
                <a:ext uri="{63B3BB69-23CF-44E3-9099-C40C66FF867C}">
                  <a14:compatExt spid="_x0000_s31881"/>
                </a:ext>
                <a:ext uri="{FF2B5EF4-FFF2-40B4-BE49-F238E27FC236}">
                  <a16:creationId xmlns:a16="http://schemas.microsoft.com/office/drawing/2014/main" id="{00000000-0008-0000-01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171</xdr:row>
          <xdr:rowOff>0</xdr:rowOff>
        </xdr:from>
        <xdr:to>
          <xdr:col>5</xdr:col>
          <xdr:colOff>381000</xdr:colOff>
          <xdr:row>172</xdr:row>
          <xdr:rowOff>19050</xdr:rowOff>
        </xdr:to>
        <xdr:sp macro="" textlink="">
          <xdr:nvSpPr>
            <xdr:cNvPr id="31882" name="Option Button 138" hidden="1">
              <a:extLst>
                <a:ext uri="{63B3BB69-23CF-44E3-9099-C40C66FF867C}">
                  <a14:compatExt spid="_x0000_s31882"/>
                </a:ext>
                <a:ext uri="{FF2B5EF4-FFF2-40B4-BE49-F238E27FC236}">
                  <a16:creationId xmlns:a16="http://schemas.microsoft.com/office/drawing/2014/main" id="{00000000-0008-0000-01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171</xdr:row>
          <xdr:rowOff>180975</xdr:rowOff>
        </xdr:from>
        <xdr:to>
          <xdr:col>5</xdr:col>
          <xdr:colOff>314325</xdr:colOff>
          <xdr:row>173</xdr:row>
          <xdr:rowOff>0</xdr:rowOff>
        </xdr:to>
        <xdr:sp macro="" textlink="">
          <xdr:nvSpPr>
            <xdr:cNvPr id="31883" name="Option Button 139" hidden="1">
              <a:extLst>
                <a:ext uri="{63B3BB69-23CF-44E3-9099-C40C66FF867C}">
                  <a14:compatExt spid="_x0000_s31883"/>
                </a:ext>
                <a:ext uri="{FF2B5EF4-FFF2-40B4-BE49-F238E27FC236}">
                  <a16:creationId xmlns:a16="http://schemas.microsoft.com/office/drawing/2014/main" id="{00000000-0008-0000-01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2133600</xdr:colOff>
          <xdr:row>9</xdr:row>
          <xdr:rowOff>66675</xdr:rowOff>
        </xdr:from>
        <xdr:to>
          <xdr:col>5</xdr:col>
          <xdr:colOff>771525</xdr:colOff>
          <xdr:row>12</xdr:row>
          <xdr:rowOff>47625</xdr:rowOff>
        </xdr:to>
        <xdr:sp macro="" textlink="">
          <xdr:nvSpPr>
            <xdr:cNvPr id="31884" name="Group Box Stavbe" hidden="1">
              <a:extLst>
                <a:ext uri="{63B3BB69-23CF-44E3-9099-C40C66FF867C}">
                  <a14:compatExt spid="_x0000_s31884"/>
                </a:ext>
                <a:ext uri="{FF2B5EF4-FFF2-40B4-BE49-F238E27FC236}">
                  <a16:creationId xmlns:a16="http://schemas.microsoft.com/office/drawing/2014/main" id="{00000000-0008-0000-0100-00008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Group Box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2124075</xdr:colOff>
          <xdr:row>170</xdr:row>
          <xdr:rowOff>104775</xdr:rowOff>
        </xdr:from>
        <xdr:to>
          <xdr:col>6</xdr:col>
          <xdr:colOff>133350</xdr:colOff>
          <xdr:row>173</xdr:row>
          <xdr:rowOff>95250</xdr:rowOff>
        </xdr:to>
        <xdr:sp macro="" textlink="">
          <xdr:nvSpPr>
            <xdr:cNvPr id="31885" name="Group Box Oprema" hidden="1">
              <a:extLst>
                <a:ext uri="{63B3BB69-23CF-44E3-9099-C40C66FF867C}">
                  <a14:compatExt spid="_x0000_s31885"/>
                </a:ext>
                <a:ext uri="{FF2B5EF4-FFF2-40B4-BE49-F238E27FC236}">
                  <a16:creationId xmlns:a16="http://schemas.microsoft.com/office/drawing/2014/main" id="{00000000-0008-0000-0100-00008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Group Box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232</xdr:row>
          <xdr:rowOff>0</xdr:rowOff>
        </xdr:from>
        <xdr:to>
          <xdr:col>5</xdr:col>
          <xdr:colOff>381000</xdr:colOff>
          <xdr:row>233</xdr:row>
          <xdr:rowOff>19050</xdr:rowOff>
        </xdr:to>
        <xdr:sp macro="" textlink="">
          <xdr:nvSpPr>
            <xdr:cNvPr id="31886" name="Option Button 142" hidden="1">
              <a:extLst>
                <a:ext uri="{63B3BB69-23CF-44E3-9099-C40C66FF867C}">
                  <a14:compatExt spid="_x0000_s31886"/>
                </a:ext>
                <a:ext uri="{FF2B5EF4-FFF2-40B4-BE49-F238E27FC236}">
                  <a16:creationId xmlns:a16="http://schemas.microsoft.com/office/drawing/2014/main" id="{00000000-0008-0000-01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232</xdr:row>
          <xdr:rowOff>180975</xdr:rowOff>
        </xdr:from>
        <xdr:to>
          <xdr:col>5</xdr:col>
          <xdr:colOff>314325</xdr:colOff>
          <xdr:row>234</xdr:row>
          <xdr:rowOff>0</xdr:rowOff>
        </xdr:to>
        <xdr:sp macro="" textlink="">
          <xdr:nvSpPr>
            <xdr:cNvPr id="31887" name="Option Button 143" hidden="1">
              <a:extLst>
                <a:ext uri="{63B3BB69-23CF-44E3-9099-C40C66FF867C}">
                  <a14:compatExt spid="_x0000_s31887"/>
                </a:ext>
                <a:ext uri="{FF2B5EF4-FFF2-40B4-BE49-F238E27FC236}">
                  <a16:creationId xmlns:a16="http://schemas.microsoft.com/office/drawing/2014/main" id="{00000000-0008-0000-01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2105025</xdr:colOff>
          <xdr:row>231</xdr:row>
          <xdr:rowOff>114300</xdr:rowOff>
        </xdr:from>
        <xdr:to>
          <xdr:col>6</xdr:col>
          <xdr:colOff>104775</xdr:colOff>
          <xdr:row>234</xdr:row>
          <xdr:rowOff>28575</xdr:rowOff>
        </xdr:to>
        <xdr:sp macro="" textlink="">
          <xdr:nvSpPr>
            <xdr:cNvPr id="31889" name="Group Box Prostor" hidden="1">
              <a:extLst>
                <a:ext uri="{63B3BB69-23CF-44E3-9099-C40C66FF867C}">
                  <a14:compatExt spid="_x0000_s31889"/>
                </a:ext>
                <a:ext uri="{FF2B5EF4-FFF2-40B4-BE49-F238E27FC236}">
                  <a16:creationId xmlns:a16="http://schemas.microsoft.com/office/drawing/2014/main" id="{00000000-0008-0000-0100-00009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Group Box 145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20</xdr:row>
          <xdr:rowOff>19050</xdr:rowOff>
        </xdr:from>
        <xdr:to>
          <xdr:col>6</xdr:col>
          <xdr:colOff>323850</xdr:colOff>
          <xdr:row>21</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323850</xdr:colOff>
          <xdr:row>46</xdr:row>
          <xdr:rowOff>180975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19050</xdr:rowOff>
        </xdr:from>
        <xdr:to>
          <xdr:col>6</xdr:col>
          <xdr:colOff>323850</xdr:colOff>
          <xdr:row>75</xdr:row>
          <xdr:rowOff>180975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323850</xdr:colOff>
          <xdr:row>76</xdr:row>
          <xdr:rowOff>180975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3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128</xdr:row>
          <xdr:rowOff>38100</xdr:rowOff>
        </xdr:from>
        <xdr:to>
          <xdr:col>6</xdr:col>
          <xdr:colOff>323850</xdr:colOff>
          <xdr:row>128</xdr:row>
          <xdr:rowOff>200025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3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145</xdr:row>
          <xdr:rowOff>19050</xdr:rowOff>
        </xdr:from>
        <xdr:to>
          <xdr:col>6</xdr:col>
          <xdr:colOff>323850</xdr:colOff>
          <xdr:row>145</xdr:row>
          <xdr:rowOff>180975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3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159</xdr:row>
          <xdr:rowOff>19050</xdr:rowOff>
        </xdr:from>
        <xdr:to>
          <xdr:col>6</xdr:col>
          <xdr:colOff>323850</xdr:colOff>
          <xdr:row>159</xdr:row>
          <xdr:rowOff>180975</xdr:rowOff>
        </xdr:to>
        <xdr:sp macro="" textlink="">
          <xdr:nvSpPr>
            <xdr:cNvPr id="18655" name="Check Box 223" hidden="1">
              <a:extLst>
                <a:ext uri="{63B3BB69-23CF-44E3-9099-C40C66FF867C}">
                  <a14:compatExt spid="_x0000_s18655"/>
                </a:ext>
                <a:ext uri="{FF2B5EF4-FFF2-40B4-BE49-F238E27FC236}">
                  <a16:creationId xmlns:a16="http://schemas.microsoft.com/office/drawing/2014/main" id="{00000000-0008-0000-03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0</xdr:colOff>
      <xdr:row>0</xdr:row>
      <xdr:rowOff>0</xdr:rowOff>
    </xdr:from>
    <xdr:to>
      <xdr:col>1</xdr:col>
      <xdr:colOff>5625</xdr:colOff>
      <xdr:row>2</xdr:row>
      <xdr:rowOff>262800</xdr:rowOff>
    </xdr:to>
    <xdr:pic>
      <xdr:nvPicPr>
        <xdr:cNvPr id="140" name="Picture 139">
          <a:extLst>
            <a:ext uri="{FF2B5EF4-FFF2-40B4-BE49-F238E27FC236}">
              <a16:creationId xmlns:a16="http://schemas.microsoft.com/office/drawing/2014/main" id="{00000000-0008-0000-0300-00008C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0"/>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91</xdr:row>
          <xdr:rowOff>19050</xdr:rowOff>
        </xdr:from>
        <xdr:to>
          <xdr:col>6</xdr:col>
          <xdr:colOff>314325</xdr:colOff>
          <xdr:row>91</xdr:row>
          <xdr:rowOff>180975</xdr:rowOff>
        </xdr:to>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300-00004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9525</xdr:rowOff>
        </xdr:from>
        <xdr:to>
          <xdr:col>6</xdr:col>
          <xdr:colOff>323850</xdr:colOff>
          <xdr:row>33</xdr:row>
          <xdr:rowOff>190500</xdr:rowOff>
        </xdr:to>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300-0000F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323850</xdr:colOff>
          <xdr:row>48</xdr:row>
          <xdr:rowOff>180975</xdr:rowOff>
        </xdr:to>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300-00001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28575</xdr:rowOff>
        </xdr:from>
        <xdr:to>
          <xdr:col>6</xdr:col>
          <xdr:colOff>323850</xdr:colOff>
          <xdr:row>61</xdr:row>
          <xdr:rowOff>171450</xdr:rowOff>
        </xdr:to>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300-00001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109</xdr:row>
          <xdr:rowOff>19050</xdr:rowOff>
        </xdr:from>
        <xdr:to>
          <xdr:col>6</xdr:col>
          <xdr:colOff>323850</xdr:colOff>
          <xdr:row>109</xdr:row>
          <xdr:rowOff>200025</xdr:rowOff>
        </xdr:to>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300-00001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118</xdr:row>
          <xdr:rowOff>19050</xdr:rowOff>
        </xdr:from>
        <xdr:to>
          <xdr:col>6</xdr:col>
          <xdr:colOff>323850</xdr:colOff>
          <xdr:row>118</xdr:row>
          <xdr:rowOff>200025</xdr:rowOff>
        </xdr:to>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300-00001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129</xdr:row>
          <xdr:rowOff>28575</xdr:rowOff>
        </xdr:from>
        <xdr:to>
          <xdr:col>6</xdr:col>
          <xdr:colOff>323850</xdr:colOff>
          <xdr:row>129</xdr:row>
          <xdr:rowOff>190500</xdr:rowOff>
        </xdr:to>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300-00001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175</xdr:row>
          <xdr:rowOff>28575</xdr:rowOff>
        </xdr:from>
        <xdr:to>
          <xdr:col>6</xdr:col>
          <xdr:colOff>323850</xdr:colOff>
          <xdr:row>175</xdr:row>
          <xdr:rowOff>171450</xdr:rowOff>
        </xdr:to>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300-00001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188</xdr:row>
          <xdr:rowOff>38100</xdr:rowOff>
        </xdr:from>
        <xdr:to>
          <xdr:col>6</xdr:col>
          <xdr:colOff>323850</xdr:colOff>
          <xdr:row>188</xdr:row>
          <xdr:rowOff>180975</xdr:rowOff>
        </xdr:to>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300-00001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196</xdr:row>
          <xdr:rowOff>28575</xdr:rowOff>
        </xdr:from>
        <xdr:to>
          <xdr:col>6</xdr:col>
          <xdr:colOff>323850</xdr:colOff>
          <xdr:row>196</xdr:row>
          <xdr:rowOff>171450</xdr:rowOff>
        </xdr:to>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300-00001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323850</xdr:colOff>
          <xdr:row>76</xdr:row>
          <xdr:rowOff>180975</xdr:rowOff>
        </xdr:to>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3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323850</xdr:colOff>
          <xdr:row>78</xdr:row>
          <xdr:rowOff>180975</xdr:rowOff>
        </xdr:to>
        <xdr:sp macro="" textlink="">
          <xdr:nvSpPr>
            <xdr:cNvPr id="45246" name="Check Box 1214" hidden="1">
              <a:extLst>
                <a:ext uri="{63B3BB69-23CF-44E3-9099-C40C66FF867C}">
                  <a14:compatExt spid="_x0000_s45246"/>
                </a:ext>
                <a:ext uri="{FF2B5EF4-FFF2-40B4-BE49-F238E27FC236}">
                  <a16:creationId xmlns:a16="http://schemas.microsoft.com/office/drawing/2014/main" id="{00000000-0008-0000-0300-0000B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323850</xdr:colOff>
          <xdr:row>78</xdr:row>
          <xdr:rowOff>180975</xdr:rowOff>
        </xdr:to>
        <xdr:sp macro="" textlink="">
          <xdr:nvSpPr>
            <xdr:cNvPr id="45247" name="Check Box 1215" hidden="1">
              <a:extLst>
                <a:ext uri="{63B3BB69-23CF-44E3-9099-C40C66FF867C}">
                  <a14:compatExt spid="_x0000_s45247"/>
                </a:ext>
                <a:ext uri="{FF2B5EF4-FFF2-40B4-BE49-F238E27FC236}">
                  <a16:creationId xmlns:a16="http://schemas.microsoft.com/office/drawing/2014/main" id="{00000000-0008-0000-0300-0000B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323850</xdr:colOff>
          <xdr:row>77</xdr:row>
          <xdr:rowOff>180975</xdr:rowOff>
        </xdr:to>
        <xdr:sp macro="" textlink="">
          <xdr:nvSpPr>
            <xdr:cNvPr id="45248" name="Check Box 1216" hidden="1">
              <a:extLst>
                <a:ext uri="{63B3BB69-23CF-44E3-9099-C40C66FF867C}">
                  <a14:compatExt spid="_x0000_s45248"/>
                </a:ext>
                <a:ext uri="{FF2B5EF4-FFF2-40B4-BE49-F238E27FC236}">
                  <a16:creationId xmlns:a16="http://schemas.microsoft.com/office/drawing/2014/main" id="{00000000-0008-0000-0300-0000C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323850</xdr:colOff>
          <xdr:row>77</xdr:row>
          <xdr:rowOff>180975</xdr:rowOff>
        </xdr:to>
        <xdr:sp macro="" textlink="">
          <xdr:nvSpPr>
            <xdr:cNvPr id="45249" name="Check Box 1217" hidden="1">
              <a:extLst>
                <a:ext uri="{63B3BB69-23CF-44E3-9099-C40C66FF867C}">
                  <a14:compatExt spid="_x0000_s45249"/>
                </a:ext>
                <a:ext uri="{FF2B5EF4-FFF2-40B4-BE49-F238E27FC236}">
                  <a16:creationId xmlns:a16="http://schemas.microsoft.com/office/drawing/2014/main" id="{00000000-0008-0000-0300-0000C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107</xdr:row>
          <xdr:rowOff>19050</xdr:rowOff>
        </xdr:from>
        <xdr:to>
          <xdr:col>6</xdr:col>
          <xdr:colOff>323850</xdr:colOff>
          <xdr:row>107</xdr:row>
          <xdr:rowOff>180975</xdr:rowOff>
        </xdr:to>
        <xdr:sp macro="" textlink="">
          <xdr:nvSpPr>
            <xdr:cNvPr id="45250" name="Check Box 1218" hidden="1">
              <a:extLst>
                <a:ext uri="{63B3BB69-23CF-44E3-9099-C40C66FF867C}">
                  <a14:compatExt spid="_x0000_s45250"/>
                </a:ext>
                <a:ext uri="{FF2B5EF4-FFF2-40B4-BE49-F238E27FC236}">
                  <a16:creationId xmlns:a16="http://schemas.microsoft.com/office/drawing/2014/main" id="{00000000-0008-0000-0300-0000C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107</xdr:row>
          <xdr:rowOff>19050</xdr:rowOff>
        </xdr:from>
        <xdr:to>
          <xdr:col>6</xdr:col>
          <xdr:colOff>323850</xdr:colOff>
          <xdr:row>107</xdr:row>
          <xdr:rowOff>180975</xdr:rowOff>
        </xdr:to>
        <xdr:sp macro="" textlink="">
          <xdr:nvSpPr>
            <xdr:cNvPr id="45251" name="Check Box 1219" hidden="1">
              <a:extLst>
                <a:ext uri="{63B3BB69-23CF-44E3-9099-C40C66FF867C}">
                  <a14:compatExt spid="_x0000_s45251"/>
                </a:ext>
                <a:ext uri="{FF2B5EF4-FFF2-40B4-BE49-F238E27FC236}">
                  <a16:creationId xmlns:a16="http://schemas.microsoft.com/office/drawing/2014/main" id="{00000000-0008-0000-0300-0000C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100</xdr:row>
          <xdr:rowOff>19050</xdr:rowOff>
        </xdr:from>
        <xdr:to>
          <xdr:col>6</xdr:col>
          <xdr:colOff>323850</xdr:colOff>
          <xdr:row>100</xdr:row>
          <xdr:rowOff>180975</xdr:rowOff>
        </xdr:to>
        <xdr:sp macro="" textlink="">
          <xdr:nvSpPr>
            <xdr:cNvPr id="45252" name="Check Box 1220" hidden="1">
              <a:extLst>
                <a:ext uri="{63B3BB69-23CF-44E3-9099-C40C66FF867C}">
                  <a14:compatExt spid="_x0000_s45252"/>
                </a:ext>
                <a:ext uri="{FF2B5EF4-FFF2-40B4-BE49-F238E27FC236}">
                  <a16:creationId xmlns:a16="http://schemas.microsoft.com/office/drawing/2014/main" id="{00000000-0008-0000-0300-0000C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100</xdr:row>
          <xdr:rowOff>19050</xdr:rowOff>
        </xdr:from>
        <xdr:to>
          <xdr:col>6</xdr:col>
          <xdr:colOff>323850</xdr:colOff>
          <xdr:row>100</xdr:row>
          <xdr:rowOff>180975</xdr:rowOff>
        </xdr:to>
        <xdr:sp macro="" textlink="">
          <xdr:nvSpPr>
            <xdr:cNvPr id="45253" name="Check Box 1221" hidden="1">
              <a:extLst>
                <a:ext uri="{63B3BB69-23CF-44E3-9099-C40C66FF867C}">
                  <a14:compatExt spid="_x0000_s45253"/>
                </a:ext>
                <a:ext uri="{FF2B5EF4-FFF2-40B4-BE49-F238E27FC236}">
                  <a16:creationId xmlns:a16="http://schemas.microsoft.com/office/drawing/2014/main" id="{00000000-0008-0000-0300-0000C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117</xdr:row>
          <xdr:rowOff>19050</xdr:rowOff>
        </xdr:from>
        <xdr:to>
          <xdr:col>6</xdr:col>
          <xdr:colOff>323850</xdr:colOff>
          <xdr:row>117</xdr:row>
          <xdr:rowOff>180975</xdr:rowOff>
        </xdr:to>
        <xdr:sp macro="" textlink="">
          <xdr:nvSpPr>
            <xdr:cNvPr id="45254" name="Check Box 1222" hidden="1">
              <a:extLst>
                <a:ext uri="{63B3BB69-23CF-44E3-9099-C40C66FF867C}">
                  <a14:compatExt spid="_x0000_s45254"/>
                </a:ext>
                <a:ext uri="{FF2B5EF4-FFF2-40B4-BE49-F238E27FC236}">
                  <a16:creationId xmlns:a16="http://schemas.microsoft.com/office/drawing/2014/main" id="{00000000-0008-0000-0300-0000C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117</xdr:row>
          <xdr:rowOff>19050</xdr:rowOff>
        </xdr:from>
        <xdr:to>
          <xdr:col>6</xdr:col>
          <xdr:colOff>323850</xdr:colOff>
          <xdr:row>117</xdr:row>
          <xdr:rowOff>180975</xdr:rowOff>
        </xdr:to>
        <xdr:sp macro="" textlink="">
          <xdr:nvSpPr>
            <xdr:cNvPr id="45255" name="Check Box 1223" hidden="1">
              <a:extLst>
                <a:ext uri="{63B3BB69-23CF-44E3-9099-C40C66FF867C}">
                  <a14:compatExt spid="_x0000_s45255"/>
                </a:ext>
                <a:ext uri="{FF2B5EF4-FFF2-40B4-BE49-F238E27FC236}">
                  <a16:creationId xmlns:a16="http://schemas.microsoft.com/office/drawing/2014/main" id="{00000000-0008-0000-0300-0000C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126</xdr:row>
          <xdr:rowOff>19050</xdr:rowOff>
        </xdr:from>
        <xdr:to>
          <xdr:col>6</xdr:col>
          <xdr:colOff>323850</xdr:colOff>
          <xdr:row>126</xdr:row>
          <xdr:rowOff>180975</xdr:rowOff>
        </xdr:to>
        <xdr:sp macro="" textlink="">
          <xdr:nvSpPr>
            <xdr:cNvPr id="45256" name="Check Box 1224" hidden="1">
              <a:extLst>
                <a:ext uri="{63B3BB69-23CF-44E3-9099-C40C66FF867C}">
                  <a14:compatExt spid="_x0000_s45256"/>
                </a:ext>
                <a:ext uri="{FF2B5EF4-FFF2-40B4-BE49-F238E27FC236}">
                  <a16:creationId xmlns:a16="http://schemas.microsoft.com/office/drawing/2014/main" id="{00000000-0008-0000-0300-0000C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126</xdr:row>
          <xdr:rowOff>19050</xdr:rowOff>
        </xdr:from>
        <xdr:to>
          <xdr:col>6</xdr:col>
          <xdr:colOff>323850</xdr:colOff>
          <xdr:row>126</xdr:row>
          <xdr:rowOff>180975</xdr:rowOff>
        </xdr:to>
        <xdr:sp macro="" textlink="">
          <xdr:nvSpPr>
            <xdr:cNvPr id="45257" name="Check Box 1225" hidden="1">
              <a:extLst>
                <a:ext uri="{63B3BB69-23CF-44E3-9099-C40C66FF867C}">
                  <a14:compatExt spid="_x0000_s45257"/>
                </a:ext>
                <a:ext uri="{FF2B5EF4-FFF2-40B4-BE49-F238E27FC236}">
                  <a16:creationId xmlns:a16="http://schemas.microsoft.com/office/drawing/2014/main" id="{00000000-0008-0000-0300-0000C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137</xdr:row>
          <xdr:rowOff>19050</xdr:rowOff>
        </xdr:from>
        <xdr:to>
          <xdr:col>6</xdr:col>
          <xdr:colOff>323850</xdr:colOff>
          <xdr:row>137</xdr:row>
          <xdr:rowOff>180975</xdr:rowOff>
        </xdr:to>
        <xdr:sp macro="" textlink="">
          <xdr:nvSpPr>
            <xdr:cNvPr id="45258" name="Check Box 1226" hidden="1">
              <a:extLst>
                <a:ext uri="{63B3BB69-23CF-44E3-9099-C40C66FF867C}">
                  <a14:compatExt spid="_x0000_s45258"/>
                </a:ext>
                <a:ext uri="{FF2B5EF4-FFF2-40B4-BE49-F238E27FC236}">
                  <a16:creationId xmlns:a16="http://schemas.microsoft.com/office/drawing/2014/main" id="{00000000-0008-0000-0300-0000C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137</xdr:row>
          <xdr:rowOff>19050</xdr:rowOff>
        </xdr:from>
        <xdr:to>
          <xdr:col>6</xdr:col>
          <xdr:colOff>323850</xdr:colOff>
          <xdr:row>137</xdr:row>
          <xdr:rowOff>180975</xdr:rowOff>
        </xdr:to>
        <xdr:sp macro="" textlink="">
          <xdr:nvSpPr>
            <xdr:cNvPr id="45259" name="Check Box 1227" hidden="1">
              <a:extLst>
                <a:ext uri="{63B3BB69-23CF-44E3-9099-C40C66FF867C}">
                  <a14:compatExt spid="_x0000_s45259"/>
                </a:ext>
                <a:ext uri="{FF2B5EF4-FFF2-40B4-BE49-F238E27FC236}">
                  <a16:creationId xmlns:a16="http://schemas.microsoft.com/office/drawing/2014/main" id="{00000000-0008-0000-0300-0000C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152</xdr:row>
          <xdr:rowOff>19050</xdr:rowOff>
        </xdr:from>
        <xdr:to>
          <xdr:col>6</xdr:col>
          <xdr:colOff>323850</xdr:colOff>
          <xdr:row>152</xdr:row>
          <xdr:rowOff>180975</xdr:rowOff>
        </xdr:to>
        <xdr:sp macro="" textlink="">
          <xdr:nvSpPr>
            <xdr:cNvPr id="45260" name="Check Box 1228" hidden="1">
              <a:extLst>
                <a:ext uri="{63B3BB69-23CF-44E3-9099-C40C66FF867C}">
                  <a14:compatExt spid="_x0000_s45260"/>
                </a:ext>
                <a:ext uri="{FF2B5EF4-FFF2-40B4-BE49-F238E27FC236}">
                  <a16:creationId xmlns:a16="http://schemas.microsoft.com/office/drawing/2014/main" id="{00000000-0008-0000-0300-0000C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152</xdr:row>
          <xdr:rowOff>19050</xdr:rowOff>
        </xdr:from>
        <xdr:to>
          <xdr:col>6</xdr:col>
          <xdr:colOff>323850</xdr:colOff>
          <xdr:row>152</xdr:row>
          <xdr:rowOff>180975</xdr:rowOff>
        </xdr:to>
        <xdr:sp macro="" textlink="">
          <xdr:nvSpPr>
            <xdr:cNvPr id="45261" name="Check Box 1229" hidden="1">
              <a:extLst>
                <a:ext uri="{63B3BB69-23CF-44E3-9099-C40C66FF867C}">
                  <a14:compatExt spid="_x0000_s45261"/>
                </a:ext>
                <a:ext uri="{FF2B5EF4-FFF2-40B4-BE49-F238E27FC236}">
                  <a16:creationId xmlns:a16="http://schemas.microsoft.com/office/drawing/2014/main" id="{00000000-0008-0000-0300-0000C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167</xdr:row>
          <xdr:rowOff>19050</xdr:rowOff>
        </xdr:from>
        <xdr:to>
          <xdr:col>6</xdr:col>
          <xdr:colOff>323850</xdr:colOff>
          <xdr:row>167</xdr:row>
          <xdr:rowOff>180975</xdr:rowOff>
        </xdr:to>
        <xdr:sp macro="" textlink="">
          <xdr:nvSpPr>
            <xdr:cNvPr id="45262" name="Check Box 1230" hidden="1">
              <a:extLst>
                <a:ext uri="{63B3BB69-23CF-44E3-9099-C40C66FF867C}">
                  <a14:compatExt spid="_x0000_s45262"/>
                </a:ext>
                <a:ext uri="{FF2B5EF4-FFF2-40B4-BE49-F238E27FC236}">
                  <a16:creationId xmlns:a16="http://schemas.microsoft.com/office/drawing/2014/main" id="{00000000-0008-0000-0300-0000C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167</xdr:row>
          <xdr:rowOff>19050</xdr:rowOff>
        </xdr:from>
        <xdr:to>
          <xdr:col>6</xdr:col>
          <xdr:colOff>323850</xdr:colOff>
          <xdr:row>167</xdr:row>
          <xdr:rowOff>180975</xdr:rowOff>
        </xdr:to>
        <xdr:sp macro="" textlink="">
          <xdr:nvSpPr>
            <xdr:cNvPr id="45263" name="Check Box 1231" hidden="1">
              <a:extLst>
                <a:ext uri="{63B3BB69-23CF-44E3-9099-C40C66FF867C}">
                  <a14:compatExt spid="_x0000_s45263"/>
                </a:ext>
                <a:ext uri="{FF2B5EF4-FFF2-40B4-BE49-F238E27FC236}">
                  <a16:creationId xmlns:a16="http://schemas.microsoft.com/office/drawing/2014/main" id="{00000000-0008-0000-0300-0000C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5625</xdr:colOff>
      <xdr:row>2</xdr:row>
      <xdr:rowOff>262800</xdr:rowOff>
    </xdr:to>
    <xdr:pic>
      <xdr:nvPicPr>
        <xdr:cNvPr id="2" name="Picture 1">
          <a:extLst>
            <a:ext uri="{FF2B5EF4-FFF2-40B4-BE49-F238E27FC236}">
              <a16:creationId xmlns:a16="http://schemas.microsoft.com/office/drawing/2014/main" id="{00000000-0008-0000-0400-000002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0"/>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5625</xdr:colOff>
      <xdr:row>3</xdr:row>
      <xdr:rowOff>24675</xdr:rowOff>
    </xdr:to>
    <xdr:pic>
      <xdr:nvPicPr>
        <xdr:cNvPr id="2" name="Picture 1">
          <a:extLst>
            <a:ext uri="{FF2B5EF4-FFF2-40B4-BE49-F238E27FC236}">
              <a16:creationId xmlns:a16="http://schemas.microsoft.com/office/drawing/2014/main" id="{00000000-0008-0000-0500-000002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0"/>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514869</xdr:colOff>
      <xdr:row>6</xdr:row>
      <xdr:rowOff>41996</xdr:rowOff>
    </xdr:from>
    <xdr:to>
      <xdr:col>21</xdr:col>
      <xdr:colOff>548120</xdr:colOff>
      <xdr:row>27</xdr:row>
      <xdr:rowOff>41563</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ZAPS2024">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ZAPS 2024">
      <a:majorFont>
        <a:latin typeface="Vectrex"/>
        <a:ea typeface=""/>
        <a:cs typeface=""/>
      </a:majorFont>
      <a:minorFont>
        <a:latin typeface="Inter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ps.si/poklicna-praksa/sklepanje-poslov/ponudba-pogodba/" TargetMode="External"/><Relationship Id="rId1" Type="http://schemas.openxmlformats.org/officeDocument/2006/relationships/hyperlink" Target="https://zaps.si/poklicna-praksa/standard-zaps/standard-zaps-splosno-o-standar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J96"/>
  <sheetViews>
    <sheetView tabSelected="1" workbookViewId="0">
      <selection activeCell="B9" sqref="B9"/>
    </sheetView>
  </sheetViews>
  <sheetFormatPr defaultColWidth="9.140625" defaultRowHeight="12.75" x14ac:dyDescent="0.2"/>
  <cols>
    <col min="1" max="1" width="11.28515625" style="32" customWidth="1"/>
    <col min="2" max="2" width="102" style="28" customWidth="1"/>
    <col min="3" max="3" width="11.85546875" style="33" customWidth="1"/>
    <col min="4" max="4" width="69.7109375" style="28" customWidth="1"/>
    <col min="5" max="5" width="11.5703125" style="28" customWidth="1"/>
    <col min="6" max="6" width="14.85546875" style="28" customWidth="1"/>
    <col min="7" max="8" width="9.140625" style="28"/>
    <col min="9" max="9" width="11.85546875" style="28" customWidth="1"/>
    <col min="10" max="11" width="9.140625" style="28"/>
    <col min="12" max="12" width="18.7109375" style="28" customWidth="1"/>
    <col min="13" max="13" width="9.140625" style="28"/>
    <col min="14" max="14" width="27.5703125" style="28" customWidth="1"/>
    <col min="15" max="15" width="13.7109375" style="28" customWidth="1"/>
    <col min="16" max="16384" width="9.140625" style="28"/>
  </cols>
  <sheetData>
    <row r="1" spans="1:10" s="16" customFormat="1" ht="24" customHeight="1" x14ac:dyDescent="0.2"/>
    <row r="2" spans="1:10" s="17" customFormat="1" ht="11.25" customHeight="1" x14ac:dyDescent="0.3"/>
    <row r="3" spans="1:10" s="16" customFormat="1" ht="23.25" x14ac:dyDescent="0.35">
      <c r="A3" s="17"/>
      <c r="B3" s="1282" t="str">
        <f>'OSNOVNI PODATKI'!B3</f>
        <v>ARHIGRAM 6</v>
      </c>
      <c r="C3" s="17"/>
      <c r="D3" s="17"/>
      <c r="E3" s="17"/>
      <c r="F3" s="17"/>
      <c r="G3" s="17"/>
      <c r="H3" s="17"/>
      <c r="I3" s="18"/>
      <c r="J3" s="18"/>
    </row>
    <row r="4" spans="1:10" s="18" customFormat="1" ht="25.5" x14ac:dyDescent="0.25">
      <c r="A4" s="41"/>
      <c r="B4" s="226" t="str">
        <f>'OSNOVNI PODATKI'!B4</f>
        <v>Vrednotenje storitev na področju arhitekturnega 
in krajinskoarhitekturnega projektiranja</v>
      </c>
    </row>
    <row r="5" spans="1:10" s="18" customFormat="1" ht="15.75" x14ac:dyDescent="0.25">
      <c r="A5" s="40" t="str">
        <f>'OSNOVNI PODATKI'!$A$5</f>
        <v>V 6.14</v>
      </c>
      <c r="B5" s="315" t="str">
        <f>'OSNOVNI PODATKI'!$B$5</f>
        <v>december 2024</v>
      </c>
    </row>
    <row r="6" spans="1:10" s="16" customFormat="1" x14ac:dyDescent="0.2">
      <c r="A6" s="477"/>
      <c r="B6" s="226"/>
    </row>
    <row r="7" spans="1:10" s="18" customFormat="1" ht="26.25" x14ac:dyDescent="0.25">
      <c r="A7" s="1" t="s">
        <v>210</v>
      </c>
      <c r="B7" s="227"/>
      <c r="C7" s="227"/>
      <c r="D7" s="227"/>
      <c r="E7" s="336"/>
      <c r="F7" s="227"/>
    </row>
    <row r="8" spans="1:10" s="18" customFormat="1" ht="15.75" x14ac:dyDescent="0.25">
      <c r="A8" s="41"/>
      <c r="B8" s="766"/>
      <c r="C8" s="226"/>
      <c r="D8" s="226"/>
      <c r="E8" s="226"/>
      <c r="F8" s="226"/>
    </row>
    <row r="9" spans="1:10" s="18" customFormat="1" ht="63.75" x14ac:dyDescent="0.25">
      <c r="A9" s="41"/>
      <c r="B9" s="766" t="s">
        <v>1126</v>
      </c>
      <c r="C9" s="226"/>
      <c r="D9" s="226"/>
      <c r="E9" s="226"/>
      <c r="F9" s="226"/>
    </row>
    <row r="10" spans="1:10" s="18" customFormat="1" ht="15.75" x14ac:dyDescent="0.25">
      <c r="A10" s="41"/>
      <c r="B10" s="766"/>
      <c r="C10" s="226"/>
      <c r="D10" s="226"/>
      <c r="E10" s="226"/>
      <c r="F10" s="226"/>
    </row>
    <row r="11" spans="1:10" s="18" customFormat="1" ht="38.25" x14ac:dyDescent="0.25">
      <c r="B11" s="766" t="s">
        <v>1128</v>
      </c>
      <c r="C11" s="226"/>
      <c r="D11" s="226"/>
      <c r="E11" s="226"/>
      <c r="F11" s="226"/>
    </row>
    <row r="12" spans="1:10" s="18" customFormat="1" ht="15.75" x14ac:dyDescent="0.25">
      <c r="B12" s="766"/>
      <c r="C12" s="226"/>
      <c r="D12" s="226"/>
      <c r="E12" s="226"/>
      <c r="F12" s="226"/>
    </row>
    <row r="13" spans="1:10" s="18" customFormat="1" ht="25.5" x14ac:dyDescent="0.25">
      <c r="B13" s="766" t="s">
        <v>1127</v>
      </c>
      <c r="C13" s="226"/>
      <c r="D13" s="226"/>
      <c r="E13" s="226"/>
      <c r="F13" s="226"/>
    </row>
    <row r="14" spans="1:10" s="18" customFormat="1" ht="15.75" x14ac:dyDescent="0.25">
      <c r="B14" s="766"/>
      <c r="C14" s="226"/>
      <c r="D14" s="226"/>
      <c r="E14" s="226"/>
      <c r="F14" s="226"/>
    </row>
    <row r="15" spans="1:10" s="18" customFormat="1" ht="51" x14ac:dyDescent="0.25">
      <c r="B15" s="766" t="s">
        <v>1193</v>
      </c>
      <c r="C15" s="226"/>
      <c r="D15" s="226"/>
      <c r="E15" s="226"/>
      <c r="F15" s="226"/>
    </row>
    <row r="16" spans="1:10" s="18" customFormat="1" ht="15.75" x14ac:dyDescent="0.25">
      <c r="B16" s="766"/>
      <c r="C16" s="226"/>
      <c r="D16" s="226"/>
      <c r="E16" s="226"/>
      <c r="F16" s="226"/>
    </row>
    <row r="17" spans="1:6" s="18" customFormat="1" ht="38.25" x14ac:dyDescent="0.25">
      <c r="B17" s="766" t="s">
        <v>1129</v>
      </c>
      <c r="C17" s="226"/>
      <c r="D17" s="226"/>
      <c r="E17" s="226"/>
      <c r="F17" s="226"/>
    </row>
    <row r="18" spans="1:6" s="18" customFormat="1" ht="15.75" x14ac:dyDescent="0.25">
      <c r="B18" s="766"/>
      <c r="C18" s="226"/>
      <c r="D18" s="226"/>
      <c r="E18" s="226"/>
      <c r="F18" s="226"/>
    </row>
    <row r="19" spans="1:6" s="18" customFormat="1" ht="38.25" x14ac:dyDescent="0.25">
      <c r="B19" s="766" t="s">
        <v>1131</v>
      </c>
      <c r="C19" s="226"/>
      <c r="D19" s="226"/>
      <c r="E19" s="226"/>
      <c r="F19" s="226"/>
    </row>
    <row r="20" spans="1:6" s="18" customFormat="1" ht="15.75" x14ac:dyDescent="0.25">
      <c r="B20" s="766"/>
      <c r="C20" s="226"/>
      <c r="D20" s="226"/>
      <c r="E20" s="226"/>
      <c r="F20" s="226"/>
    </row>
    <row r="21" spans="1:6" s="18" customFormat="1" ht="89.25" x14ac:dyDescent="0.25">
      <c r="B21" s="766" t="s">
        <v>1132</v>
      </c>
      <c r="C21" s="226"/>
      <c r="D21" s="226"/>
      <c r="E21" s="226"/>
      <c r="F21" s="226"/>
    </row>
    <row r="22" spans="1:6" s="18" customFormat="1" ht="15.75" x14ac:dyDescent="0.25">
      <c r="B22" s="766"/>
      <c r="C22" s="226"/>
      <c r="D22" s="226"/>
      <c r="E22" s="226"/>
      <c r="F22" s="226"/>
    </row>
    <row r="23" spans="1:6" s="18" customFormat="1" ht="26.25" x14ac:dyDescent="0.25">
      <c r="A23" s="1" t="s">
        <v>1151</v>
      </c>
      <c r="B23" s="227"/>
      <c r="C23" s="227"/>
      <c r="D23" s="227"/>
      <c r="E23" s="336"/>
      <c r="F23" s="227"/>
    </row>
    <row r="24" spans="1:6" s="18" customFormat="1" ht="15.75" x14ac:dyDescent="0.25">
      <c r="A24" s="41"/>
      <c r="B24" s="766"/>
      <c r="C24" s="226"/>
      <c r="D24" s="226"/>
      <c r="E24" s="226"/>
      <c r="F24" s="226"/>
    </row>
    <row r="25" spans="1:6" s="18" customFormat="1" ht="25.5" x14ac:dyDescent="0.25">
      <c r="B25" s="766" t="s">
        <v>1152</v>
      </c>
      <c r="C25" s="226"/>
      <c r="D25" s="226"/>
      <c r="E25" s="226"/>
      <c r="F25" s="226"/>
    </row>
    <row r="26" spans="1:6" s="18" customFormat="1" ht="15.75" x14ac:dyDescent="0.25">
      <c r="B26" s="766"/>
      <c r="C26" s="226"/>
      <c r="D26" s="226"/>
      <c r="E26" s="226"/>
      <c r="F26" s="226"/>
    </row>
    <row r="27" spans="1:6" s="18" customFormat="1" ht="38.25" x14ac:dyDescent="0.25">
      <c r="B27" s="766" t="s">
        <v>1153</v>
      </c>
      <c r="C27" s="226"/>
      <c r="D27" s="226"/>
      <c r="E27" s="226"/>
      <c r="F27" s="226"/>
    </row>
    <row r="28" spans="1:6" s="18" customFormat="1" ht="15.75" x14ac:dyDescent="0.25">
      <c r="B28" s="766"/>
      <c r="C28" s="226"/>
      <c r="D28" s="226"/>
      <c r="E28" s="226"/>
      <c r="F28" s="226"/>
    </row>
    <row r="29" spans="1:6" s="18" customFormat="1" ht="51" x14ac:dyDescent="0.25">
      <c r="A29" s="63"/>
      <c r="B29" s="766" t="s">
        <v>1154</v>
      </c>
      <c r="C29" s="226"/>
      <c r="D29" s="226"/>
      <c r="E29" s="226"/>
      <c r="F29" s="226"/>
    </row>
    <row r="30" spans="1:6" s="18" customFormat="1" ht="15.75" x14ac:dyDescent="0.25">
      <c r="B30" s="766"/>
      <c r="C30" s="226"/>
      <c r="D30" s="226"/>
      <c r="E30" s="226"/>
      <c r="F30" s="226"/>
    </row>
    <row r="31" spans="1:6" s="18" customFormat="1" ht="38.25" x14ac:dyDescent="0.25">
      <c r="B31" s="766" t="s">
        <v>1155</v>
      </c>
      <c r="C31" s="226"/>
      <c r="D31" s="226"/>
      <c r="E31" s="226"/>
      <c r="F31" s="226"/>
    </row>
    <row r="32" spans="1:6" s="18" customFormat="1" ht="15.75" x14ac:dyDescent="0.25">
      <c r="B32" s="766"/>
      <c r="C32" s="226"/>
      <c r="D32" s="226"/>
      <c r="E32" s="226"/>
      <c r="F32" s="226"/>
    </row>
    <row r="33" spans="1:6" s="18" customFormat="1" ht="26.25" x14ac:dyDescent="0.25">
      <c r="A33" s="1" t="s">
        <v>1162</v>
      </c>
      <c r="B33" s="227"/>
      <c r="C33" s="227"/>
      <c r="D33" s="227"/>
      <c r="E33" s="336"/>
      <c r="F33" s="227"/>
    </row>
    <row r="34" spans="1:6" s="18" customFormat="1" ht="15.75" x14ac:dyDescent="0.25">
      <c r="A34" s="41"/>
      <c r="B34" s="766"/>
      <c r="C34" s="226"/>
      <c r="D34" s="226"/>
      <c r="E34" s="226"/>
      <c r="F34" s="226"/>
    </row>
    <row r="35" spans="1:6" s="18" customFormat="1" ht="51" x14ac:dyDescent="0.25">
      <c r="B35" s="766" t="s">
        <v>1163</v>
      </c>
      <c r="C35" s="226"/>
      <c r="D35" s="226"/>
      <c r="E35" s="226"/>
      <c r="F35" s="226"/>
    </row>
    <row r="36" spans="1:6" s="18" customFormat="1" ht="15.75" x14ac:dyDescent="0.25">
      <c r="B36" s="766"/>
      <c r="C36" s="226"/>
      <c r="D36" s="226"/>
      <c r="E36" s="226"/>
      <c r="F36" s="226"/>
    </row>
    <row r="37" spans="1:6" s="18" customFormat="1" ht="51" x14ac:dyDescent="0.25">
      <c r="B37" s="766" t="s">
        <v>1164</v>
      </c>
      <c r="C37" s="226"/>
      <c r="D37" s="226"/>
      <c r="E37" s="226"/>
      <c r="F37" s="226"/>
    </row>
    <row r="38" spans="1:6" s="18" customFormat="1" ht="15.75" x14ac:dyDescent="0.25">
      <c r="B38" s="766"/>
      <c r="C38" s="226"/>
      <c r="D38" s="226"/>
      <c r="E38" s="226"/>
      <c r="F38" s="226"/>
    </row>
    <row r="39" spans="1:6" s="18" customFormat="1" ht="26.25" x14ac:dyDescent="0.25">
      <c r="A39" s="1" t="s">
        <v>1181</v>
      </c>
      <c r="B39" s="227"/>
      <c r="C39" s="227"/>
      <c r="D39" s="227"/>
      <c r="E39" s="336"/>
      <c r="F39" s="227"/>
    </row>
    <row r="40" spans="1:6" s="18" customFormat="1" ht="15.75" x14ac:dyDescent="0.25">
      <c r="A40" s="41"/>
      <c r="B40" s="766"/>
      <c r="C40" s="226"/>
      <c r="D40" s="226"/>
      <c r="E40" s="226"/>
      <c r="F40" s="226"/>
    </row>
    <row r="41" spans="1:6" s="18" customFormat="1" ht="38.25" x14ac:dyDescent="0.25">
      <c r="B41" s="766" t="s">
        <v>1182</v>
      </c>
      <c r="C41" s="226"/>
      <c r="D41" s="226"/>
      <c r="E41" s="226"/>
      <c r="F41" s="226"/>
    </row>
    <row r="42" spans="1:6" s="18" customFormat="1" ht="15.75" x14ac:dyDescent="0.25">
      <c r="B42" s="766"/>
      <c r="C42" s="226"/>
      <c r="D42" s="226"/>
      <c r="E42" s="226"/>
      <c r="F42" s="226"/>
    </row>
    <row r="43" spans="1:6" s="18" customFormat="1" ht="15.75" x14ac:dyDescent="0.25">
      <c r="B43" s="766"/>
      <c r="C43" s="226"/>
      <c r="D43" s="226"/>
      <c r="E43" s="226"/>
      <c r="F43" s="226"/>
    </row>
    <row r="44" spans="1:6" s="18" customFormat="1" ht="15.75" x14ac:dyDescent="0.25">
      <c r="B44" s="766"/>
      <c r="C44" s="226"/>
      <c r="D44" s="226"/>
      <c r="E44" s="226"/>
      <c r="F44" s="226"/>
    </row>
    <row r="45" spans="1:6" s="18" customFormat="1" ht="15.75" x14ac:dyDescent="0.25">
      <c r="A45" s="63"/>
      <c r="B45" s="766" t="s">
        <v>1100</v>
      </c>
      <c r="C45" s="226"/>
      <c r="D45" s="226"/>
      <c r="E45" s="226"/>
      <c r="F45" s="226"/>
    </row>
    <row r="46" spans="1:6" s="18" customFormat="1" ht="15.75" x14ac:dyDescent="0.25">
      <c r="A46" s="63"/>
      <c r="B46" s="768" t="s">
        <v>1063</v>
      </c>
      <c r="C46" s="226"/>
      <c r="D46" s="226"/>
      <c r="E46" s="226"/>
      <c r="F46" s="226"/>
    </row>
    <row r="47" spans="1:6" s="18" customFormat="1" ht="15.75" x14ac:dyDescent="0.25">
      <c r="A47" s="63"/>
      <c r="B47" s="768" t="s">
        <v>1064</v>
      </c>
      <c r="C47" s="226"/>
      <c r="D47" s="226"/>
      <c r="E47" s="226"/>
      <c r="F47" s="226"/>
    </row>
    <row r="48" spans="1:6" s="18" customFormat="1" ht="15.75" x14ac:dyDescent="0.25">
      <c r="A48" s="63"/>
      <c r="B48" s="766"/>
      <c r="C48" s="226"/>
      <c r="D48" s="226"/>
      <c r="E48" s="226"/>
      <c r="F48" s="226"/>
    </row>
    <row r="49" spans="1:6" s="18" customFormat="1" ht="18.75" x14ac:dyDescent="0.25">
      <c r="A49" s="1" t="s">
        <v>1133</v>
      </c>
      <c r="B49" s="766"/>
      <c r="C49" s="226"/>
      <c r="D49" s="226"/>
      <c r="E49" s="226"/>
      <c r="F49" s="226"/>
    </row>
    <row r="50" spans="1:6" s="18" customFormat="1" ht="15.75" x14ac:dyDescent="0.25">
      <c r="A50" s="753"/>
      <c r="B50" s="767"/>
      <c r="C50" s="226"/>
      <c r="D50" s="226"/>
      <c r="E50" s="226"/>
      <c r="F50" s="226"/>
    </row>
    <row r="51" spans="1:6" s="18" customFormat="1" ht="15.75" x14ac:dyDescent="0.25">
      <c r="A51" s="757" t="s">
        <v>220</v>
      </c>
      <c r="B51" s="766"/>
      <c r="C51" s="226"/>
      <c r="D51" s="226"/>
      <c r="E51" s="226"/>
      <c r="F51" s="226"/>
    </row>
    <row r="52" spans="1:6" s="18" customFormat="1" ht="15.75" x14ac:dyDescent="0.25">
      <c r="A52" s="63"/>
      <c r="B52" s="766" t="s">
        <v>1134</v>
      </c>
      <c r="C52" s="226"/>
      <c r="D52" s="226"/>
      <c r="E52" s="226"/>
      <c r="F52" s="226"/>
    </row>
    <row r="53" spans="1:6" s="18" customFormat="1" ht="15.75" x14ac:dyDescent="0.25">
      <c r="A53" s="753"/>
      <c r="B53" s="767"/>
      <c r="C53" s="226"/>
      <c r="D53" s="226"/>
      <c r="E53" s="226"/>
      <c r="F53" s="226"/>
    </row>
    <row r="54" spans="1:6" s="18" customFormat="1" ht="15.75" x14ac:dyDescent="0.25">
      <c r="A54" s="757" t="s">
        <v>1062</v>
      </c>
      <c r="B54" s="766"/>
      <c r="C54" s="226"/>
      <c r="D54" s="226"/>
      <c r="E54" s="226"/>
      <c r="F54" s="226"/>
    </row>
    <row r="55" spans="1:6" s="18" customFormat="1" ht="15.75" x14ac:dyDescent="0.25">
      <c r="A55" s="63"/>
      <c r="B55" s="766" t="s">
        <v>1135</v>
      </c>
      <c r="C55" s="226"/>
      <c r="D55" s="226"/>
      <c r="E55" s="226"/>
      <c r="F55" s="226"/>
    </row>
    <row r="56" spans="1:6" s="18" customFormat="1" ht="15.75" x14ac:dyDescent="0.25">
      <c r="A56" s="753"/>
      <c r="B56" s="767"/>
      <c r="C56" s="226"/>
      <c r="D56" s="226"/>
      <c r="E56" s="226"/>
      <c r="F56" s="226"/>
    </row>
    <row r="57" spans="1:6" s="18" customFormat="1" ht="15.75" x14ac:dyDescent="0.25">
      <c r="A57" s="757" t="s">
        <v>930</v>
      </c>
      <c r="B57" s="766"/>
      <c r="C57" s="226"/>
      <c r="D57" s="226"/>
      <c r="E57" s="226"/>
      <c r="F57" s="226"/>
    </row>
    <row r="58" spans="1:6" s="18" customFormat="1" ht="25.5" x14ac:dyDescent="0.25">
      <c r="A58" s="63"/>
      <c r="B58" s="766" t="s">
        <v>1136</v>
      </c>
      <c r="C58" s="226"/>
      <c r="D58" s="226"/>
      <c r="E58" s="226"/>
      <c r="F58" s="226"/>
    </row>
    <row r="59" spans="1:6" s="18" customFormat="1" ht="15.75" x14ac:dyDescent="0.25">
      <c r="A59" s="753"/>
      <c r="B59" s="767"/>
      <c r="C59" s="226"/>
      <c r="D59" s="226"/>
      <c r="E59" s="226"/>
      <c r="F59" s="226"/>
    </row>
    <row r="60" spans="1:6" s="18" customFormat="1" ht="15.75" x14ac:dyDescent="0.25">
      <c r="A60" s="757" t="s">
        <v>740</v>
      </c>
      <c r="B60" s="766"/>
      <c r="C60" s="226"/>
      <c r="D60" s="226"/>
      <c r="E60" s="226"/>
      <c r="F60" s="226"/>
    </row>
    <row r="61" spans="1:6" s="18" customFormat="1" ht="76.5" x14ac:dyDescent="0.25">
      <c r="A61" s="63"/>
      <c r="B61" s="766" t="s">
        <v>1137</v>
      </c>
      <c r="C61" s="226"/>
      <c r="D61" s="226"/>
      <c r="E61" s="226"/>
      <c r="F61" s="226"/>
    </row>
    <row r="62" spans="1:6" s="18" customFormat="1" ht="15.75" x14ac:dyDescent="0.25">
      <c r="A62" s="753"/>
      <c r="B62" s="767"/>
      <c r="C62" s="226"/>
      <c r="D62" s="226"/>
      <c r="E62" s="226"/>
      <c r="F62" s="226"/>
    </row>
    <row r="63" spans="1:6" s="18" customFormat="1" ht="15.75" x14ac:dyDescent="0.25">
      <c r="A63" s="757" t="s">
        <v>213</v>
      </c>
      <c r="B63" s="766"/>
      <c r="C63" s="226"/>
      <c r="D63" s="226"/>
      <c r="E63" s="226"/>
      <c r="F63" s="226"/>
    </row>
    <row r="64" spans="1:6" s="18" customFormat="1" ht="38.25" x14ac:dyDescent="0.25">
      <c r="A64" s="63"/>
      <c r="B64" s="766" t="s">
        <v>1138</v>
      </c>
      <c r="C64" s="226"/>
      <c r="D64" s="226"/>
      <c r="E64" s="226"/>
      <c r="F64" s="226"/>
    </row>
    <row r="65" spans="1:6" s="18" customFormat="1" ht="15.75" x14ac:dyDescent="0.25">
      <c r="A65" s="753"/>
      <c r="B65" s="767"/>
      <c r="C65" s="226"/>
      <c r="D65" s="226"/>
      <c r="E65" s="226"/>
      <c r="F65" s="226"/>
    </row>
    <row r="66" spans="1:6" s="18" customFormat="1" ht="15.75" x14ac:dyDescent="0.25">
      <c r="A66" s="757" t="s">
        <v>869</v>
      </c>
      <c r="B66" s="766"/>
      <c r="C66" s="226"/>
      <c r="D66" s="226"/>
      <c r="E66" s="226"/>
      <c r="F66" s="226"/>
    </row>
    <row r="67" spans="1:6" s="18" customFormat="1" ht="25.5" x14ac:dyDescent="0.25">
      <c r="A67" s="63"/>
      <c r="B67" s="766" t="s">
        <v>1139</v>
      </c>
      <c r="C67" s="226"/>
      <c r="D67" s="226"/>
      <c r="E67" s="226"/>
      <c r="F67" s="226"/>
    </row>
    <row r="68" spans="1:6" s="18" customFormat="1" ht="15.75" x14ac:dyDescent="0.25">
      <c r="A68" s="753"/>
      <c r="B68" s="767"/>
      <c r="C68" s="226"/>
      <c r="D68" s="226"/>
      <c r="E68" s="226"/>
      <c r="F68" s="226"/>
    </row>
    <row r="69" spans="1:6" s="18" customFormat="1" ht="15.75" x14ac:dyDescent="0.25">
      <c r="A69" s="757" t="s">
        <v>1140</v>
      </c>
      <c r="B69" s="766"/>
      <c r="C69" s="226"/>
      <c r="D69" s="226"/>
      <c r="E69" s="226"/>
      <c r="F69" s="226"/>
    </row>
    <row r="70" spans="1:6" s="18" customFormat="1" ht="25.5" x14ac:dyDescent="0.25">
      <c r="A70" s="63"/>
      <c r="B70" s="766" t="s">
        <v>1141</v>
      </c>
      <c r="C70" s="226"/>
      <c r="D70" s="226"/>
      <c r="E70" s="226"/>
      <c r="F70" s="226"/>
    </row>
    <row r="71" spans="1:6" s="18" customFormat="1" ht="15.75" x14ac:dyDescent="0.25">
      <c r="A71" s="63"/>
      <c r="B71" s="766"/>
      <c r="C71" s="226"/>
      <c r="D71" s="226"/>
      <c r="E71" s="226"/>
      <c r="F71" s="226"/>
    </row>
    <row r="72" spans="1:6" s="18" customFormat="1" ht="18.75" x14ac:dyDescent="0.25">
      <c r="A72" s="1" t="s">
        <v>1103</v>
      </c>
      <c r="B72" s="766"/>
      <c r="C72" s="226"/>
      <c r="D72" s="226"/>
      <c r="E72" s="226"/>
      <c r="F72" s="226"/>
    </row>
    <row r="73" spans="1:6" s="18" customFormat="1" ht="15.75" x14ac:dyDescent="0.25">
      <c r="A73" s="753"/>
      <c r="B73" s="767"/>
      <c r="C73" s="226"/>
      <c r="D73" s="226"/>
      <c r="E73" s="226"/>
      <c r="F73" s="226"/>
    </row>
    <row r="74" spans="1:6" s="18" customFormat="1" ht="15.75" x14ac:dyDescent="0.25">
      <c r="A74" s="1263" t="s">
        <v>1104</v>
      </c>
      <c r="B74" s="766"/>
      <c r="C74" s="226"/>
      <c r="D74" s="226"/>
      <c r="E74" s="226"/>
      <c r="F74" s="226"/>
    </row>
    <row r="75" spans="1:6" s="18" customFormat="1" ht="15.75" x14ac:dyDescent="0.25">
      <c r="A75" s="63"/>
      <c r="B75" s="766" t="s">
        <v>1105</v>
      </c>
      <c r="C75" s="226"/>
      <c r="D75" s="226"/>
      <c r="E75" s="226"/>
      <c r="F75" s="226"/>
    </row>
    <row r="76" spans="1:6" s="18" customFormat="1" ht="15.75" x14ac:dyDescent="0.25">
      <c r="A76" s="226"/>
      <c r="B76" s="226"/>
      <c r="C76" s="226"/>
      <c r="D76" s="226"/>
      <c r="E76" s="226"/>
      <c r="F76" s="226"/>
    </row>
    <row r="77" spans="1:6" s="18" customFormat="1" ht="15.75" x14ac:dyDescent="0.25">
      <c r="A77" s="1263" t="s">
        <v>1106</v>
      </c>
      <c r="B77" s="226" t="s">
        <v>1107</v>
      </c>
      <c r="C77" s="226"/>
      <c r="D77" s="226"/>
      <c r="E77" s="226"/>
      <c r="F77" s="226"/>
    </row>
    <row r="78" spans="1:6" s="18" customFormat="1" ht="25.5" x14ac:dyDescent="0.25">
      <c r="A78" s="226"/>
      <c r="B78" s="226" t="s">
        <v>1124</v>
      </c>
      <c r="C78" s="226"/>
      <c r="D78" s="226"/>
      <c r="E78" s="226"/>
      <c r="F78" s="226"/>
    </row>
    <row r="79" spans="1:6" s="18" customFormat="1" ht="25.5" x14ac:dyDescent="0.25">
      <c r="A79" s="226"/>
      <c r="B79" s="226" t="s">
        <v>1123</v>
      </c>
      <c r="C79" s="226"/>
      <c r="D79" s="226"/>
      <c r="E79" s="226"/>
      <c r="F79" s="226"/>
    </row>
    <row r="80" spans="1:6" s="18" customFormat="1" ht="15.75" x14ac:dyDescent="0.25">
      <c r="A80" s="226"/>
      <c r="B80" s="226" t="s">
        <v>1142</v>
      </c>
      <c r="C80" s="226"/>
      <c r="D80" s="226"/>
      <c r="E80" s="226"/>
      <c r="F80" s="226"/>
    </row>
    <row r="81" spans="1:6" s="18" customFormat="1" ht="15.75" x14ac:dyDescent="0.25">
      <c r="A81" s="226"/>
      <c r="B81" s="226" t="s">
        <v>1125</v>
      </c>
      <c r="C81" s="226"/>
      <c r="D81" s="226"/>
      <c r="E81" s="226"/>
      <c r="F81" s="226"/>
    </row>
    <row r="82" spans="1:6" s="18" customFormat="1" ht="15.75" x14ac:dyDescent="0.25">
      <c r="A82" s="226"/>
      <c r="B82" s="226"/>
      <c r="C82" s="226"/>
      <c r="D82" s="226"/>
      <c r="E82" s="226"/>
      <c r="F82" s="226"/>
    </row>
    <row r="83" spans="1:6" s="18" customFormat="1" ht="15.75" x14ac:dyDescent="0.25">
      <c r="A83" s="1263" t="s">
        <v>1156</v>
      </c>
      <c r="B83" s="226" t="s">
        <v>1157</v>
      </c>
      <c r="C83" s="226"/>
      <c r="D83" s="226"/>
      <c r="E83" s="226"/>
      <c r="F83" s="226"/>
    </row>
    <row r="84" spans="1:6" s="18" customFormat="1" ht="15.75" x14ac:dyDescent="0.25">
      <c r="A84" s="226"/>
      <c r="B84" s="226" t="s">
        <v>1165</v>
      </c>
      <c r="C84" s="226"/>
      <c r="D84" s="226"/>
      <c r="E84" s="226"/>
      <c r="F84" s="226"/>
    </row>
    <row r="85" spans="1:6" s="18" customFormat="1" ht="15.75" x14ac:dyDescent="0.25">
      <c r="A85" s="226"/>
      <c r="B85" s="226" t="s">
        <v>1190</v>
      </c>
      <c r="C85" s="226"/>
      <c r="D85" s="226"/>
      <c r="E85" s="226"/>
      <c r="F85" s="226"/>
    </row>
    <row r="86" spans="1:6" s="18" customFormat="1" ht="15.75" x14ac:dyDescent="0.25">
      <c r="A86" s="226"/>
      <c r="B86" s="226" t="s">
        <v>1176</v>
      </c>
      <c r="C86" s="226"/>
      <c r="D86" s="226"/>
      <c r="E86" s="226"/>
      <c r="F86" s="226"/>
    </row>
    <row r="87" spans="1:6" s="18" customFormat="1" ht="15.75" x14ac:dyDescent="0.25">
      <c r="A87" s="226"/>
      <c r="B87" s="226" t="s">
        <v>1180</v>
      </c>
      <c r="C87" s="226"/>
      <c r="D87" s="226"/>
      <c r="E87" s="226"/>
      <c r="F87" s="226"/>
    </row>
    <row r="88" spans="1:6" s="18" customFormat="1" ht="15.75" x14ac:dyDescent="0.25">
      <c r="A88" s="226"/>
      <c r="B88" s="226" t="s">
        <v>1161</v>
      </c>
      <c r="C88" s="226"/>
      <c r="D88" s="226"/>
      <c r="E88" s="226"/>
      <c r="F88" s="226"/>
    </row>
    <row r="89" spans="1:6" s="18" customFormat="1" ht="25.5" x14ac:dyDescent="0.25">
      <c r="A89" s="226"/>
      <c r="B89" s="226" t="s">
        <v>1169</v>
      </c>
      <c r="C89" s="226"/>
      <c r="D89" s="226"/>
      <c r="E89" s="226"/>
      <c r="F89" s="226"/>
    </row>
    <row r="90" spans="1:6" s="18" customFormat="1" ht="25.5" x14ac:dyDescent="0.25">
      <c r="A90" s="226"/>
      <c r="B90" s="226" t="s">
        <v>1170</v>
      </c>
      <c r="C90" s="226"/>
      <c r="D90" s="226"/>
      <c r="E90" s="226"/>
      <c r="F90" s="226"/>
    </row>
    <row r="91" spans="1:6" s="18" customFormat="1" ht="15.75" x14ac:dyDescent="0.25">
      <c r="A91" s="226"/>
      <c r="B91" s="226" t="s">
        <v>1171</v>
      </c>
      <c r="C91" s="226"/>
      <c r="D91" s="226"/>
      <c r="E91" s="226"/>
      <c r="F91" s="226"/>
    </row>
    <row r="92" spans="1:6" s="18" customFormat="1" ht="15.75" x14ac:dyDescent="0.25">
      <c r="A92" s="226"/>
      <c r="B92" s="226" t="s">
        <v>1177</v>
      </c>
      <c r="C92" s="226"/>
      <c r="D92" s="226"/>
      <c r="E92" s="226"/>
      <c r="F92" s="226"/>
    </row>
    <row r="93" spans="1:6" s="18" customFormat="1" ht="15.75" x14ac:dyDescent="0.25">
      <c r="A93" s="226"/>
      <c r="B93" s="226" t="s">
        <v>1191</v>
      </c>
      <c r="C93" s="226"/>
      <c r="D93" s="226"/>
      <c r="E93" s="226"/>
      <c r="F93" s="226"/>
    </row>
    <row r="94" spans="1:6" s="18" customFormat="1" ht="25.5" x14ac:dyDescent="0.25">
      <c r="A94" s="226"/>
      <c r="B94" s="226" t="s">
        <v>1192</v>
      </c>
      <c r="C94" s="226"/>
      <c r="D94" s="226"/>
      <c r="E94" s="226"/>
      <c r="F94" s="226"/>
    </row>
    <row r="96" spans="1:6" ht="15.75" x14ac:dyDescent="0.25">
      <c r="A96" s="31"/>
      <c r="B96" s="219" t="str">
        <f>'OSNOVNI PODATKI'!$B$392</f>
        <v>© 2024 ZAPS, vse pravice pridržane</v>
      </c>
      <c r="C96" s="26"/>
      <c r="D96" s="27"/>
    </row>
  </sheetData>
  <sheetProtection algorithmName="SHA-512" hashValue="tYBMLH+J6naOMgUcqYwnX+IYovGwu6Bx4dCnU8xWbBUNkIAgLExpcBhofHncCEy5C+V+I5uJwJgk1M417W6ohg==" saltValue="5Vlbo071R4TTUwR7DSOpLQ==" spinCount="100000" sheet="1" objects="1" scenarios="1"/>
  <hyperlinks>
    <hyperlink ref="B46" r:id="rId1" xr:uid="{357F7C01-AB6D-4C4C-B531-A7E600749601}"/>
    <hyperlink ref="B47" r:id="rId2" xr:uid="{81154387-0E7E-47EF-9D67-9366A63CCE72}"/>
  </hyperlinks>
  <pageMargins left="0.7" right="0.7" top="0.75" bottom="0.75" header="0.3" footer="0.3"/>
  <pageSetup paperSize="8" fitToHeight="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1C66-1D90-449B-B559-F50A619AB7F3}">
  <sheetPr codeName="Sheet1">
    <tabColor rgb="FF00B0F0"/>
    <outlinePr summaryBelow="0" summaryRight="0"/>
    <pageSetUpPr fitToPage="1"/>
  </sheetPr>
  <dimension ref="A1:AA392"/>
  <sheetViews>
    <sheetView showGridLines="0" topLeftCell="A358" zoomScaleNormal="100" workbookViewId="0">
      <selection activeCell="F394" sqref="F394"/>
    </sheetView>
  </sheetViews>
  <sheetFormatPr defaultColWidth="9.140625" defaultRowHeight="12.75" x14ac:dyDescent="0.2"/>
  <cols>
    <col min="1" max="1" width="10.7109375" style="32" customWidth="1"/>
    <col min="2" max="2" width="47.5703125" style="28" customWidth="1"/>
    <col min="3" max="3" width="16.5703125" style="28" customWidth="1"/>
    <col min="4" max="4" width="19.85546875" style="33" customWidth="1"/>
    <col min="5" max="5" width="34" style="218" customWidth="1"/>
    <col min="6" max="6" width="15.28515625" style="28" customWidth="1"/>
    <col min="7" max="7" width="14.85546875" style="28" customWidth="1"/>
    <col min="8" max="8" width="13.85546875" style="28" customWidth="1"/>
    <col min="9" max="9" width="12.5703125" style="28" customWidth="1"/>
    <col min="10" max="10" width="13.85546875" style="28" customWidth="1"/>
    <col min="11" max="11" width="19.28515625" style="28" customWidth="1"/>
    <col min="12" max="12" width="15.5703125" style="28" customWidth="1"/>
    <col min="13" max="13" width="9.140625" style="28"/>
    <col min="14" max="14" width="18.7109375" style="28" customWidth="1"/>
    <col min="15" max="15" width="9.140625" style="28"/>
    <col min="16" max="16" width="27.5703125" style="28" customWidth="1"/>
    <col min="17" max="17" width="13.7109375" style="28" customWidth="1"/>
    <col min="18" max="16384" width="9.140625" style="28"/>
  </cols>
  <sheetData>
    <row r="1" spans="1:15" s="16" customFormat="1" ht="18" customHeight="1" x14ac:dyDescent="0.25">
      <c r="D1" s="316" t="s">
        <v>58</v>
      </c>
      <c r="E1" s="483"/>
      <c r="F1" s="486"/>
    </row>
    <row r="2" spans="1:15" s="17" customFormat="1" ht="18" customHeight="1" x14ac:dyDescent="0.3">
      <c r="D2" s="316"/>
      <c r="E2" s="484"/>
      <c r="F2" s="487"/>
    </row>
    <row r="3" spans="1:15" s="16" customFormat="1" ht="26.25" x14ac:dyDescent="0.4">
      <c r="A3" s="17"/>
      <c r="B3" s="1282" t="s">
        <v>930</v>
      </c>
      <c r="C3" s="233"/>
      <c r="D3" s="316" t="s">
        <v>741</v>
      </c>
      <c r="E3" s="483"/>
      <c r="F3" s="486"/>
      <c r="G3" s="17"/>
      <c r="H3" s="17"/>
      <c r="I3" s="17"/>
      <c r="J3" s="17"/>
      <c r="K3" s="18"/>
      <c r="L3" s="18"/>
    </row>
    <row r="4" spans="1:15" s="18" customFormat="1" ht="25.5" x14ac:dyDescent="0.25">
      <c r="A4" s="41"/>
      <c r="B4" s="226" t="s">
        <v>836</v>
      </c>
      <c r="C4" s="226"/>
      <c r="D4" s="316" t="s">
        <v>60</v>
      </c>
      <c r="E4" s="485"/>
      <c r="F4" s="486"/>
    </row>
    <row r="5" spans="1:15" s="16" customFormat="1" ht="15.75" x14ac:dyDescent="0.25">
      <c r="A5" s="40" t="s">
        <v>1158</v>
      </c>
      <c r="B5" s="315" t="s">
        <v>1186</v>
      </c>
      <c r="C5" s="315"/>
      <c r="D5" s="317" t="s">
        <v>61</v>
      </c>
      <c r="E5" s="599">
        <f ca="1">TODAY()</f>
        <v>45646</v>
      </c>
      <c r="F5" s="488"/>
    </row>
    <row r="6" spans="1:15" s="16" customFormat="1" ht="18.75" x14ac:dyDescent="0.3">
      <c r="A6" s="19"/>
      <c r="B6" s="20"/>
      <c r="C6" s="20"/>
      <c r="D6" s="17"/>
      <c r="E6" s="335"/>
      <c r="F6" s="17"/>
      <c r="G6" s="17"/>
      <c r="H6" s="17"/>
      <c r="I6" s="17"/>
      <c r="J6" s="17"/>
      <c r="K6" s="18"/>
      <c r="L6" s="18"/>
    </row>
    <row r="7" spans="1:15" s="18" customFormat="1" ht="26.25" x14ac:dyDescent="0.25">
      <c r="A7" s="1" t="s">
        <v>220</v>
      </c>
      <c r="B7" s="227"/>
      <c r="C7" s="227"/>
      <c r="D7" s="227"/>
      <c r="E7" s="336"/>
      <c r="F7" s="227"/>
    </row>
    <row r="8" spans="1:15" s="16" customFormat="1" ht="19.5" thickBot="1" x14ac:dyDescent="0.35">
      <c r="A8" s="66"/>
      <c r="B8" s="66"/>
      <c r="C8" s="66"/>
      <c r="D8" s="66"/>
      <c r="E8" s="338"/>
      <c r="F8" s="66"/>
      <c r="J8" s="17"/>
    </row>
    <row r="9" spans="1:15" s="18" customFormat="1" ht="15.75" x14ac:dyDescent="0.25">
      <c r="A9" s="228" t="s">
        <v>929</v>
      </c>
      <c r="B9" s="228"/>
      <c r="C9" s="228"/>
      <c r="D9" s="228"/>
      <c r="E9" s="339"/>
      <c r="F9" s="228"/>
    </row>
    <row r="10" spans="1:15" s="18" customFormat="1" ht="15.75" x14ac:dyDescent="0.25">
      <c r="A10" s="63"/>
      <c r="B10" s="63"/>
      <c r="C10" s="63"/>
      <c r="D10" s="63"/>
      <c r="E10" s="340"/>
      <c r="F10" s="63"/>
    </row>
    <row r="11" spans="1:15" s="18" customFormat="1" ht="15.75" x14ac:dyDescent="0.25">
      <c r="A11" s="63"/>
      <c r="B11" s="54" t="s">
        <v>949</v>
      </c>
      <c r="C11" s="54"/>
      <c r="D11" s="54"/>
      <c r="E11" s="54"/>
      <c r="F11" s="953"/>
      <c r="H11" s="1264">
        <v>1</v>
      </c>
    </row>
    <row r="12" spans="1:15" s="18" customFormat="1" ht="15.75" x14ac:dyDescent="0.25">
      <c r="A12" s="63"/>
      <c r="B12" s="54" t="s">
        <v>1108</v>
      </c>
      <c r="C12" s="54"/>
      <c r="D12" s="54"/>
      <c r="E12" s="54"/>
      <c r="F12" s="951"/>
    </row>
    <row r="13" spans="1:15" s="18" customFormat="1" ht="15.75" x14ac:dyDescent="0.25">
      <c r="A13" s="63"/>
      <c r="B13" s="54" t="s">
        <v>1109</v>
      </c>
      <c r="C13" s="54"/>
      <c r="D13" s="54"/>
      <c r="E13" s="54"/>
      <c r="F13" s="54"/>
    </row>
    <row r="14" spans="1:15" s="18" customFormat="1" ht="15.75" x14ac:dyDescent="0.25">
      <c r="A14" s="63"/>
      <c r="B14" s="63"/>
      <c r="C14" s="63"/>
      <c r="D14" s="63"/>
      <c r="E14" s="340"/>
      <c r="F14" s="63"/>
    </row>
    <row r="15" spans="1:15" s="43" customFormat="1" ht="15.75" x14ac:dyDescent="0.2">
      <c r="A15" s="232" t="s">
        <v>881</v>
      </c>
      <c r="B15" s="65"/>
      <c r="C15" s="65"/>
      <c r="D15" s="65"/>
      <c r="E15" s="1305"/>
      <c r="F15" s="1305"/>
      <c r="G15" s="41"/>
      <c r="H15" s="41"/>
      <c r="I15" s="41"/>
      <c r="J15" s="41"/>
      <c r="K15" s="41"/>
      <c r="L15" s="41"/>
      <c r="M15" s="41"/>
      <c r="N15" s="41"/>
      <c r="O15" s="41"/>
    </row>
    <row r="16" spans="1:15" s="226" customFormat="1" ht="25.5" customHeight="1" x14ac:dyDescent="0.2">
      <c r="B16" s="53" t="s">
        <v>718</v>
      </c>
      <c r="C16" s="53"/>
      <c r="D16" s="53"/>
      <c r="E16" s="1304" t="s">
        <v>720</v>
      </c>
      <c r="F16" s="1304"/>
      <c r="G16" s="34"/>
      <c r="H16" s="34"/>
      <c r="I16" s="34"/>
      <c r="J16" s="34"/>
      <c r="K16" s="34"/>
      <c r="L16" s="34"/>
      <c r="M16" s="34"/>
      <c r="N16" s="34"/>
      <c r="O16" s="34"/>
    </row>
    <row r="17" spans="1:6" s="34" customFormat="1" ht="14.25" x14ac:dyDescent="0.2">
      <c r="B17" s="54" t="s">
        <v>91</v>
      </c>
      <c r="C17" s="54"/>
      <c r="D17" s="54"/>
      <c r="E17" s="489">
        <v>400</v>
      </c>
      <c r="F17" s="747" t="s">
        <v>1054</v>
      </c>
    </row>
    <row r="18" spans="1:6" s="77" customFormat="1" x14ac:dyDescent="0.2">
      <c r="B18" s="202" t="s">
        <v>896</v>
      </c>
      <c r="C18" s="202"/>
      <c r="D18" s="202"/>
      <c r="E18" s="489" t="s">
        <v>86</v>
      </c>
      <c r="F18" s="494"/>
    </row>
    <row r="19" spans="1:6" s="493" customFormat="1" x14ac:dyDescent="0.2">
      <c r="A19" s="77"/>
      <c r="B19" s="521" t="s">
        <v>897</v>
      </c>
      <c r="C19" s="521"/>
      <c r="D19" s="490"/>
      <c r="E19" s="950" t="s">
        <v>85</v>
      </c>
      <c r="F19" s="494"/>
    </row>
    <row r="20" spans="1:6" s="493" customFormat="1" x14ac:dyDescent="0.2">
      <c r="A20" s="77"/>
      <c r="B20" s="522" t="s">
        <v>898</v>
      </c>
      <c r="C20" s="522"/>
      <c r="D20" s="490"/>
      <c r="E20" s="950" t="s">
        <v>84</v>
      </c>
      <c r="F20" s="494"/>
    </row>
    <row r="21" spans="1:6" s="493" customFormat="1" x14ac:dyDescent="0.2">
      <c r="A21" s="77"/>
      <c r="B21" s="522" t="s">
        <v>899</v>
      </c>
      <c r="C21" s="522"/>
      <c r="D21" s="490"/>
      <c r="E21" s="950" t="s">
        <v>84</v>
      </c>
      <c r="F21" s="494"/>
    </row>
    <row r="22" spans="1:6" s="493" customFormat="1" x14ac:dyDescent="0.2">
      <c r="A22" s="77"/>
      <c r="B22" s="522" t="s">
        <v>900</v>
      </c>
      <c r="C22" s="522"/>
      <c r="D22" s="490"/>
      <c r="E22" s="950" t="s">
        <v>84</v>
      </c>
      <c r="F22" s="494"/>
    </row>
    <row r="23" spans="1:6" s="493" customFormat="1" x14ac:dyDescent="0.2">
      <c r="A23" s="77"/>
      <c r="B23" s="522" t="s">
        <v>901</v>
      </c>
      <c r="C23" s="522"/>
      <c r="D23" s="490"/>
      <c r="E23" s="950" t="s">
        <v>85</v>
      </c>
      <c r="F23" s="494"/>
    </row>
    <row r="24" spans="1:6" s="493" customFormat="1" x14ac:dyDescent="0.2">
      <c r="A24" s="77"/>
      <c r="B24" s="524" t="s">
        <v>902</v>
      </c>
      <c r="C24" s="524"/>
      <c r="D24" s="490"/>
      <c r="E24" s="523" t="str">
        <f>E18</f>
        <v>Cenovni razred III</v>
      </c>
      <c r="F24" s="494"/>
    </row>
    <row r="25" spans="1:6" s="493" customFormat="1" x14ac:dyDescent="0.2">
      <c r="A25" s="77"/>
      <c r="B25" s="525" t="s">
        <v>903</v>
      </c>
      <c r="C25" s="525"/>
      <c r="D25" s="490"/>
      <c r="E25" s="950" t="s">
        <v>84</v>
      </c>
      <c r="F25" s="494"/>
    </row>
    <row r="26" spans="1:6" s="497" customFormat="1" x14ac:dyDescent="0.2">
      <c r="A26" s="34"/>
      <c r="B26" s="522" t="s">
        <v>904</v>
      </c>
      <c r="C26" s="522"/>
      <c r="D26" s="494"/>
      <c r="E26" s="950" t="s">
        <v>84</v>
      </c>
      <c r="F26" s="494"/>
    </row>
    <row r="27" spans="1:6" s="77" customFormat="1" x14ac:dyDescent="0.2">
      <c r="B27" s="580" t="s">
        <v>916</v>
      </c>
      <c r="C27" s="202"/>
      <c r="D27" s="540"/>
      <c r="E27" s="492">
        <f>_xlfn.IFNA(VLOOKUP(E16,'CENOVNI RAZREDI'!$B$7:$Q$92,16,FALSE),"/")</f>
        <v>-13</v>
      </c>
      <c r="F27" s="207"/>
    </row>
    <row r="28" spans="1:6" s="77" customFormat="1" x14ac:dyDescent="0.2">
      <c r="B28" s="623" t="s">
        <v>945</v>
      </c>
      <c r="C28" s="624"/>
      <c r="D28" s="625"/>
      <c r="E28" s="492">
        <f>_xlfn.IFNA(VLOOKUP(E16,'CENOVNI RAZREDI'!$B$7:$V$92,21,FALSE),"/")</f>
        <v>0.98729625520254549</v>
      </c>
      <c r="F28" s="626"/>
    </row>
    <row r="29" spans="1:6" s="497" customFormat="1" x14ac:dyDescent="0.2">
      <c r="A29" s="34"/>
      <c r="B29" s="521" t="s">
        <v>915</v>
      </c>
      <c r="C29" s="521"/>
      <c r="D29" s="495"/>
      <c r="E29" s="492">
        <f>_xlfn.IFNA(VLOOKUP(E16,'CENOVNI RAZREDI'!$B$7:$U$92,17,FALSE),"/")</f>
        <v>0.9839108910891089</v>
      </c>
      <c r="F29" s="495"/>
    </row>
    <row r="30" spans="1:6" s="497" customFormat="1" x14ac:dyDescent="0.2">
      <c r="A30" s="34"/>
      <c r="B30" s="521" t="s">
        <v>910</v>
      </c>
      <c r="C30" s="521"/>
      <c r="D30" s="495"/>
      <c r="E30" s="492">
        <f>_xlfn.IFNA(VLOOKUP(E16,'CENOVNI RAZREDI'!$B$7:$U$92,18,FALSE),"/")</f>
        <v>1.2043413439352524</v>
      </c>
      <c r="F30" s="495"/>
    </row>
    <row r="31" spans="1:6" s="497" customFormat="1" x14ac:dyDescent="0.2">
      <c r="A31" s="34"/>
      <c r="B31" s="521" t="s">
        <v>911</v>
      </c>
      <c r="C31" s="521"/>
      <c r="D31" s="495"/>
      <c r="E31" s="492">
        <f>_xlfn.IFNA(VLOOKUP(E16,'CENOVNI RAZREDI'!$B$7:$U$92,19,FALSE),"/")</f>
        <v>0.48632380277949905</v>
      </c>
      <c r="F31" s="495"/>
    </row>
    <row r="32" spans="1:6" s="497" customFormat="1" x14ac:dyDescent="0.2">
      <c r="A32" s="34"/>
      <c r="B32" s="521" t="s">
        <v>912</v>
      </c>
      <c r="C32" s="521"/>
      <c r="D32" s="495"/>
      <c r="E32" s="492">
        <f>_xlfn.IFNA(VLOOKUP(E16,'CENOVNI RAZREDI'!$B$7:$U$92,20,FALSE),"/")</f>
        <v>0.3580287536701427</v>
      </c>
      <c r="F32" s="495"/>
    </row>
    <row r="33" spans="1:27" s="497" customFormat="1" x14ac:dyDescent="0.2">
      <c r="A33" s="34"/>
      <c r="B33" s="521"/>
      <c r="C33" s="521"/>
      <c r="D33" s="521"/>
      <c r="E33" s="521"/>
      <c r="F33" s="521"/>
    </row>
    <row r="34" spans="1:27" s="77" customFormat="1" x14ac:dyDescent="0.2">
      <c r="B34" s="520" t="s">
        <v>888</v>
      </c>
      <c r="C34" s="520"/>
      <c r="D34" s="542"/>
      <c r="E34" s="542"/>
      <c r="F34" s="388"/>
    </row>
    <row r="35" spans="1:27" s="526" customFormat="1" ht="12" x14ac:dyDescent="0.2">
      <c r="B35" s="543" t="s">
        <v>886</v>
      </c>
      <c r="C35" s="543"/>
      <c r="D35" s="544"/>
      <c r="E35" s="545" t="str">
        <f>_xlfn.IFNA(CONCATENATE(VLOOKUP(E16,'CENOVNI RAZREDI'!$B$7:$J$92,8,FALSE)," - ",VLOOKUP(E16,'CENOVNI RAZREDI'!$B$7:$J$92,9,FALSE)),"")</f>
        <v>1048,32 - 1517,88</v>
      </c>
      <c r="F35" s="546" t="s">
        <v>889</v>
      </c>
      <c r="G35" s="527"/>
      <c r="H35" s="497"/>
      <c r="I35" s="497"/>
      <c r="J35" s="497"/>
      <c r="K35" s="497"/>
      <c r="L35" s="497"/>
      <c r="M35" s="497"/>
      <c r="N35" s="497"/>
      <c r="O35" s="497"/>
    </row>
    <row r="36" spans="1:27" s="497" customFormat="1" ht="12" x14ac:dyDescent="0.2">
      <c r="B36" s="546" t="s">
        <v>1187</v>
      </c>
      <c r="C36" s="546"/>
      <c r="D36" s="546"/>
      <c r="E36" s="581"/>
      <c r="F36" s="546" t="s">
        <v>889</v>
      </c>
      <c r="W36" s="517"/>
      <c r="X36" s="528"/>
      <c r="Y36" s="529"/>
      <c r="Z36" s="528"/>
      <c r="AA36" s="529"/>
    </row>
    <row r="37" spans="1:27" s="497" customFormat="1" ht="11.25" x14ac:dyDescent="0.2">
      <c r="B37" s="546" t="s">
        <v>887</v>
      </c>
      <c r="C37" s="546"/>
      <c r="D37" s="547"/>
      <c r="E37" s="548">
        <f>E17*E36</f>
        <v>0</v>
      </c>
      <c r="F37" s="549" t="s">
        <v>89</v>
      </c>
      <c r="W37" s="517"/>
    </row>
    <row r="38" spans="1:27" s="497" customFormat="1" ht="11.25" x14ac:dyDescent="0.2">
      <c r="B38" s="550" t="s">
        <v>62</v>
      </c>
      <c r="C38" s="550"/>
      <c r="D38" s="551">
        <f>_xlfn.IFNA(VLOOKUP(E16,'CENOVNI RAZREDI'!$B$7:$N$92,10,FALSE),0)</f>
        <v>0.79500000000000004</v>
      </c>
      <c r="E38" s="552">
        <f>D38*E37</f>
        <v>0</v>
      </c>
      <c r="F38" s="553" t="s">
        <v>89</v>
      </c>
      <c r="W38" s="529"/>
    </row>
    <row r="39" spans="1:27" s="497" customFormat="1" ht="11.25" x14ac:dyDescent="0.2">
      <c r="B39" s="550" t="s">
        <v>64</v>
      </c>
      <c r="C39" s="550"/>
      <c r="D39" s="551">
        <f>_xlfn.IFNA(VLOOKUP(E16,'CENOVNI RAZREDI'!$B$7:$N$92,12,FALSE),0)</f>
        <v>5.494000000000001E-2</v>
      </c>
      <c r="E39" s="552">
        <f>D39*E37</f>
        <v>0</v>
      </c>
      <c r="F39" s="553" t="s">
        <v>89</v>
      </c>
      <c r="Y39" s="529"/>
      <c r="Z39" s="528"/>
      <c r="AA39" s="529"/>
    </row>
    <row r="40" spans="1:27" s="497" customFormat="1" ht="11.25" x14ac:dyDescent="0.2">
      <c r="B40" s="550" t="s">
        <v>63</v>
      </c>
      <c r="C40" s="550"/>
      <c r="D40" s="551">
        <f>_xlfn.IFNA(VLOOKUP(E16,'CENOVNI RAZREDI'!$B$7:$N$92,11,FALSE),0)</f>
        <v>0.13570999999999997</v>
      </c>
      <c r="E40" s="552">
        <f>D40*E37</f>
        <v>0</v>
      </c>
      <c r="F40" s="553" t="s">
        <v>89</v>
      </c>
      <c r="W40" s="529"/>
    </row>
    <row r="41" spans="1:27" s="497" customFormat="1" ht="11.25" x14ac:dyDescent="0.2">
      <c r="B41" s="554" t="s">
        <v>365</v>
      </c>
      <c r="C41" s="554"/>
      <c r="D41" s="555">
        <f>_xlfn.IFNA(VLOOKUP(E16,'CENOVNI RAZREDI'!$B$7:$N$92,13,FALSE),0)</f>
        <v>1.4145000000000001E-2</v>
      </c>
      <c r="E41" s="556">
        <f>D41*E37</f>
        <v>0</v>
      </c>
      <c r="F41" s="557" t="s">
        <v>89</v>
      </c>
      <c r="W41" s="529"/>
    </row>
    <row r="42" spans="1:27" s="497" customFormat="1" ht="11.25" x14ac:dyDescent="0.2">
      <c r="B42" s="519"/>
      <c r="C42" s="519"/>
      <c r="D42" s="518"/>
      <c r="E42" s="516"/>
      <c r="F42" s="517"/>
      <c r="W42" s="529"/>
    </row>
    <row r="43" spans="1:27" s="77" customFormat="1" x14ac:dyDescent="0.2">
      <c r="B43" s="84" t="s">
        <v>732</v>
      </c>
      <c r="C43" s="84"/>
      <c r="D43" s="83"/>
      <c r="E43" s="539">
        <f>IFERROR(STAVBE!C28,0)</f>
        <v>632</v>
      </c>
      <c r="F43" s="384" t="s">
        <v>872</v>
      </c>
    </row>
    <row r="44" spans="1:27" s="77" customFormat="1" x14ac:dyDescent="0.2">
      <c r="B44" s="84" t="s">
        <v>733</v>
      </c>
      <c r="C44" s="84"/>
      <c r="D44" s="83"/>
      <c r="E44" s="539">
        <f>IFERROR(STAVBE!C29,0)</f>
        <v>787</v>
      </c>
      <c r="F44" s="384" t="s">
        <v>872</v>
      </c>
    </row>
    <row r="45" spans="1:27" s="34" customFormat="1" x14ac:dyDescent="0.2">
      <c r="A45" s="55"/>
      <c r="B45" s="55"/>
      <c r="C45" s="55"/>
      <c r="D45" s="56"/>
      <c r="E45" s="343"/>
      <c r="F45" s="57"/>
      <c r="Y45" s="37"/>
      <c r="Z45" s="36"/>
      <c r="AA45" s="37"/>
    </row>
    <row r="46" spans="1:27" s="43" customFormat="1" ht="15.75" x14ac:dyDescent="0.2">
      <c r="A46" s="231" t="s">
        <v>882</v>
      </c>
      <c r="B46" s="42"/>
      <c r="C46" s="42"/>
      <c r="D46" s="42"/>
      <c r="E46" s="1305"/>
      <c r="F46" s="1305"/>
      <c r="G46" s="41"/>
      <c r="H46" s="41"/>
      <c r="I46" s="41"/>
      <c r="J46" s="41"/>
      <c r="K46" s="41"/>
      <c r="L46" s="41"/>
      <c r="M46" s="41"/>
      <c r="N46" s="41"/>
      <c r="O46" s="41"/>
    </row>
    <row r="47" spans="1:27" s="226" customFormat="1" ht="25.5" customHeight="1" x14ac:dyDescent="0.2">
      <c r="B47" s="53" t="s">
        <v>718</v>
      </c>
      <c r="C47" s="53"/>
      <c r="D47" s="53"/>
      <c r="E47" s="1304" t="s">
        <v>725</v>
      </c>
      <c r="F47" s="1304"/>
      <c r="G47" s="34"/>
      <c r="H47" s="34"/>
      <c r="I47" s="34"/>
      <c r="J47" s="34"/>
      <c r="K47" s="34"/>
      <c r="L47" s="34"/>
      <c r="M47" s="34"/>
      <c r="N47" s="34"/>
      <c r="O47" s="34"/>
    </row>
    <row r="48" spans="1:27" s="34" customFormat="1" ht="14.25" x14ac:dyDescent="0.2">
      <c r="B48" s="54" t="s">
        <v>91</v>
      </c>
      <c r="C48" s="54"/>
      <c r="D48" s="54"/>
      <c r="E48" s="489"/>
      <c r="F48" s="747" t="s">
        <v>1054</v>
      </c>
    </row>
    <row r="49" spans="1:6" s="77" customFormat="1" x14ac:dyDescent="0.2">
      <c r="B49" s="202" t="s">
        <v>896</v>
      </c>
      <c r="C49" s="202"/>
      <c r="D49" s="202"/>
      <c r="E49" s="489" t="s">
        <v>85</v>
      </c>
      <c r="F49" s="207"/>
    </row>
    <row r="50" spans="1:6" s="493" customFormat="1" x14ac:dyDescent="0.2">
      <c r="A50" s="77"/>
      <c r="B50" s="521" t="s">
        <v>897</v>
      </c>
      <c r="C50" s="521"/>
      <c r="D50" s="490"/>
      <c r="E50" s="950" t="s">
        <v>84</v>
      </c>
      <c r="F50" s="494"/>
    </row>
    <row r="51" spans="1:6" s="493" customFormat="1" x14ac:dyDescent="0.2">
      <c r="A51" s="77"/>
      <c r="B51" s="522" t="s">
        <v>898</v>
      </c>
      <c r="C51" s="522"/>
      <c r="D51" s="490"/>
      <c r="E51" s="950" t="s">
        <v>85</v>
      </c>
      <c r="F51" s="494"/>
    </row>
    <row r="52" spans="1:6" s="493" customFormat="1" x14ac:dyDescent="0.2">
      <c r="A52" s="77"/>
      <c r="B52" s="522" t="s">
        <v>899</v>
      </c>
      <c r="C52" s="522"/>
      <c r="D52" s="490"/>
      <c r="E52" s="950" t="s">
        <v>85</v>
      </c>
      <c r="F52" s="494"/>
    </row>
    <row r="53" spans="1:6" s="493" customFormat="1" x14ac:dyDescent="0.2">
      <c r="A53" s="77"/>
      <c r="B53" s="522" t="s">
        <v>900</v>
      </c>
      <c r="C53" s="522"/>
      <c r="D53" s="490"/>
      <c r="E53" s="950" t="s">
        <v>85</v>
      </c>
      <c r="F53" s="494"/>
    </row>
    <row r="54" spans="1:6" s="493" customFormat="1" x14ac:dyDescent="0.2">
      <c r="A54" s="77"/>
      <c r="B54" s="522" t="s">
        <v>901</v>
      </c>
      <c r="C54" s="522"/>
      <c r="D54" s="490"/>
      <c r="E54" s="950" t="s">
        <v>85</v>
      </c>
      <c r="F54" s="494"/>
    </row>
    <row r="55" spans="1:6" s="493" customFormat="1" x14ac:dyDescent="0.2">
      <c r="A55" s="77"/>
      <c r="B55" s="524" t="s">
        <v>902</v>
      </c>
      <c r="C55" s="524"/>
      <c r="D55" s="490"/>
      <c r="E55" s="523" t="str">
        <f>E49</f>
        <v>Cenovni razred II</v>
      </c>
      <c r="F55" s="494"/>
    </row>
    <row r="56" spans="1:6" s="493" customFormat="1" x14ac:dyDescent="0.2">
      <c r="A56" s="77"/>
      <c r="B56" s="525" t="s">
        <v>903</v>
      </c>
      <c r="C56" s="525"/>
      <c r="D56" s="490"/>
      <c r="E56" s="950" t="s">
        <v>85</v>
      </c>
      <c r="F56" s="494"/>
    </row>
    <row r="57" spans="1:6" s="497" customFormat="1" x14ac:dyDescent="0.2">
      <c r="A57" s="34"/>
      <c r="B57" s="522" t="s">
        <v>904</v>
      </c>
      <c r="C57" s="522"/>
      <c r="D57" s="494"/>
      <c r="E57" s="950" t="s">
        <v>85</v>
      </c>
      <c r="F57" s="494"/>
    </row>
    <row r="58" spans="1:6" s="77" customFormat="1" x14ac:dyDescent="0.2">
      <c r="B58" s="580" t="s">
        <v>916</v>
      </c>
      <c r="C58" s="202"/>
      <c r="D58" s="540"/>
      <c r="E58" s="492">
        <f>_xlfn.IFNA(VLOOKUP(E47,'CENOVNI RAZREDI'!$B$7:$Q$92,16,FALSE),"/")</f>
        <v>230.59999999999991</v>
      </c>
      <c r="F58" s="207"/>
    </row>
    <row r="59" spans="1:6" s="77" customFormat="1" x14ac:dyDescent="0.2">
      <c r="B59" s="623" t="s">
        <v>945</v>
      </c>
      <c r="C59" s="624"/>
      <c r="D59" s="625"/>
      <c r="E59" s="492">
        <f>_xlfn.IFNA(VLOOKUP(E47,'CENOVNI RAZREDI'!$B$7:$V$92,21,FALSE),"/")</f>
        <v>1</v>
      </c>
      <c r="F59" s="626"/>
    </row>
    <row r="60" spans="1:6" s="497" customFormat="1" x14ac:dyDescent="0.2">
      <c r="A60" s="34"/>
      <c r="B60" s="521" t="s">
        <v>915</v>
      </c>
      <c r="C60" s="521"/>
      <c r="D60" s="495"/>
      <c r="E60" s="492">
        <f>_xlfn.IFNA(VLOOKUP(E47,'CENOVNI RAZREDI'!$B$7:$U$92,17,FALSE),"/")</f>
        <v>1</v>
      </c>
      <c r="F60" s="495"/>
    </row>
    <row r="61" spans="1:6" s="497" customFormat="1" x14ac:dyDescent="0.2">
      <c r="A61" s="34"/>
      <c r="B61" s="521" t="s">
        <v>910</v>
      </c>
      <c r="C61" s="521"/>
      <c r="D61" s="495"/>
      <c r="E61" s="492">
        <f>_xlfn.IFNA(VLOOKUP(E47,'CENOVNI RAZREDI'!$B$7:$U$92,18,FALSE),"/")</f>
        <v>1.310283625004437</v>
      </c>
      <c r="F61" s="495"/>
    </row>
    <row r="62" spans="1:6" s="497" customFormat="1" x14ac:dyDescent="0.2">
      <c r="A62" s="34"/>
      <c r="B62" s="521" t="s">
        <v>911</v>
      </c>
      <c r="C62" s="521"/>
      <c r="D62" s="495"/>
      <c r="E62" s="492">
        <f>_xlfn.IFNA(VLOOKUP(E47,'CENOVNI RAZREDI'!$B$7:$U$92,19,FALSE),"/")</f>
        <v>0.39429937151456146</v>
      </c>
      <c r="F62" s="495"/>
    </row>
    <row r="63" spans="1:6" s="497" customFormat="1" x14ac:dyDescent="0.2">
      <c r="A63" s="34"/>
      <c r="B63" s="521" t="s">
        <v>912</v>
      </c>
      <c r="C63" s="521"/>
      <c r="D63" s="495"/>
      <c r="E63" s="492">
        <f>_xlfn.IFNA(VLOOKUP(E47,'CENOVNI RAZREDI'!$B$7:$U$92,20,FALSE),"/")</f>
        <v>0</v>
      </c>
      <c r="F63" s="495"/>
    </row>
    <row r="64" spans="1:6" s="497" customFormat="1" x14ac:dyDescent="0.2">
      <c r="A64" s="34"/>
      <c r="B64" s="521"/>
      <c r="C64" s="521"/>
      <c r="D64" s="521"/>
      <c r="E64" s="521"/>
      <c r="F64" s="521"/>
    </row>
    <row r="65" spans="1:27" s="77" customFormat="1" x14ac:dyDescent="0.2">
      <c r="B65" s="520" t="s">
        <v>888</v>
      </c>
      <c r="C65" s="520"/>
      <c r="D65" s="542"/>
      <c r="E65" s="542"/>
      <c r="F65" s="388"/>
    </row>
    <row r="66" spans="1:27" s="526" customFormat="1" ht="12" x14ac:dyDescent="0.2">
      <c r="B66" s="543" t="s">
        <v>886</v>
      </c>
      <c r="C66" s="543"/>
      <c r="D66" s="544"/>
      <c r="E66" s="545" t="str">
        <f>_xlfn.IFNA(CONCATENATE(VLOOKUP(E47,'CENOVNI RAZREDI'!$B$7:$J$92,8,FALSE)," - ",VLOOKUP(E47,'CENOVNI RAZREDI'!$B$7:$J$92,9,FALSE)),"")</f>
        <v>1310,4 - 1889,16</v>
      </c>
      <c r="F66" s="546" t="s">
        <v>889</v>
      </c>
      <c r="G66" s="527"/>
      <c r="H66" s="497"/>
      <c r="I66" s="497"/>
      <c r="J66" s="497"/>
      <c r="K66" s="497"/>
      <c r="L66" s="497"/>
      <c r="M66" s="497"/>
      <c r="N66" s="497"/>
      <c r="O66" s="497"/>
    </row>
    <row r="67" spans="1:27" s="497" customFormat="1" ht="12" x14ac:dyDescent="0.2">
      <c r="B67" s="546" t="s">
        <v>1187</v>
      </c>
      <c r="C67" s="546"/>
      <c r="D67" s="546"/>
      <c r="E67" s="581">
        <v>0</v>
      </c>
      <c r="F67" s="546" t="s">
        <v>889</v>
      </c>
      <c r="W67" s="517"/>
      <c r="X67" s="528"/>
      <c r="Y67" s="529"/>
      <c r="Z67" s="528"/>
      <c r="AA67" s="529"/>
    </row>
    <row r="68" spans="1:27" s="497" customFormat="1" ht="11.25" x14ac:dyDescent="0.2">
      <c r="B68" s="546" t="s">
        <v>887</v>
      </c>
      <c r="C68" s="546"/>
      <c r="D68" s="547"/>
      <c r="E68" s="548">
        <f>E48*E67</f>
        <v>0</v>
      </c>
      <c r="F68" s="549" t="s">
        <v>89</v>
      </c>
      <c r="W68" s="517"/>
    </row>
    <row r="69" spans="1:27" s="497" customFormat="1" ht="11.25" x14ac:dyDescent="0.2">
      <c r="B69" s="550" t="s">
        <v>62</v>
      </c>
      <c r="C69" s="550"/>
      <c r="D69" s="551">
        <f>_xlfn.IFNA(VLOOKUP(E47,'CENOVNI RAZREDI'!$B$7:$N$92,10,FALSE),0)</f>
        <v>0.80800000000000005</v>
      </c>
      <c r="E69" s="552">
        <f>D69*E68</f>
        <v>0</v>
      </c>
      <c r="F69" s="553" t="s">
        <v>89</v>
      </c>
      <c r="W69" s="529"/>
    </row>
    <row r="70" spans="1:27" s="497" customFormat="1" ht="11.25" x14ac:dyDescent="0.2">
      <c r="B70" s="550" t="s">
        <v>64</v>
      </c>
      <c r="C70" s="550"/>
      <c r="D70" s="551">
        <f>_xlfn.IFNA(VLOOKUP(E47,'CENOVNI RAZREDI'!$B$7:$N$92,12,FALSE),0)</f>
        <v>4.4544000000000007E-2</v>
      </c>
      <c r="E70" s="552">
        <f>D70*E68</f>
        <v>0</v>
      </c>
      <c r="F70" s="553" t="s">
        <v>89</v>
      </c>
      <c r="Y70" s="529"/>
      <c r="Z70" s="528"/>
      <c r="AA70" s="529"/>
    </row>
    <row r="71" spans="1:27" s="497" customFormat="1" ht="11.25" x14ac:dyDescent="0.2">
      <c r="B71" s="550" t="s">
        <v>63</v>
      </c>
      <c r="C71" s="550"/>
      <c r="D71" s="551">
        <f>_xlfn.IFNA(VLOOKUP(E47,'CENOVNI RAZREDI'!$B$7:$N$92,11,FALSE),0)</f>
        <v>0.14764799999999997</v>
      </c>
      <c r="E71" s="552">
        <f>D71*E68</f>
        <v>0</v>
      </c>
      <c r="F71" s="553" t="s">
        <v>89</v>
      </c>
      <c r="W71" s="529"/>
    </row>
    <row r="72" spans="1:27" s="497" customFormat="1" ht="11.25" x14ac:dyDescent="0.2">
      <c r="B72" s="554" t="s">
        <v>365</v>
      </c>
      <c r="C72" s="554"/>
      <c r="D72" s="555">
        <f>_xlfn.IFNA(VLOOKUP(E47,'CENOVNI RAZREDI'!$B$7:$N$92,13,FALSE),0)</f>
        <v>0</v>
      </c>
      <c r="E72" s="556">
        <f>D72*E68</f>
        <v>0</v>
      </c>
      <c r="F72" s="557" t="s">
        <v>89</v>
      </c>
      <c r="W72" s="529"/>
    </row>
    <row r="73" spans="1:27" s="497" customFormat="1" ht="11.25" x14ac:dyDescent="0.2">
      <c r="B73" s="519"/>
      <c r="C73" s="519"/>
      <c r="D73" s="518"/>
      <c r="E73" s="516"/>
      <c r="F73" s="517"/>
      <c r="W73" s="529"/>
    </row>
    <row r="74" spans="1:27" s="77" customFormat="1" x14ac:dyDescent="0.2">
      <c r="B74" s="84" t="s">
        <v>732</v>
      </c>
      <c r="C74" s="84"/>
      <c r="D74" s="83"/>
      <c r="E74" s="539">
        <f>IFERROR(STAVBE!C51,0)</f>
        <v>0</v>
      </c>
      <c r="F74" s="384" t="s">
        <v>872</v>
      </c>
    </row>
    <row r="75" spans="1:27" s="77" customFormat="1" x14ac:dyDescent="0.2">
      <c r="B75" s="84" t="s">
        <v>733</v>
      </c>
      <c r="C75" s="84"/>
      <c r="D75" s="83"/>
      <c r="E75" s="539">
        <f>IFERROR(STAVBE!C52,0)</f>
        <v>0</v>
      </c>
      <c r="F75" s="384" t="s">
        <v>872</v>
      </c>
    </row>
    <row r="76" spans="1:27" s="34" customFormat="1" x14ac:dyDescent="0.2">
      <c r="A76" s="55"/>
      <c r="B76" s="55"/>
      <c r="C76" s="55"/>
      <c r="D76" s="56"/>
      <c r="E76" s="343"/>
      <c r="F76" s="57"/>
      <c r="Y76" s="37"/>
      <c r="Z76" s="36"/>
      <c r="AA76" s="37"/>
    </row>
    <row r="77" spans="1:27" s="43" customFormat="1" ht="15.75" x14ac:dyDescent="0.2">
      <c r="A77" s="231" t="s">
        <v>883</v>
      </c>
      <c r="B77" s="42"/>
      <c r="C77" s="42"/>
      <c r="D77" s="42"/>
      <c r="E77" s="1305"/>
      <c r="F77" s="1305"/>
      <c r="G77" s="41"/>
      <c r="H77" s="41"/>
      <c r="I77" s="41"/>
      <c r="J77" s="41"/>
      <c r="K77" s="41"/>
      <c r="L77" s="41"/>
      <c r="M77" s="41"/>
      <c r="N77" s="41"/>
      <c r="O77" s="41"/>
    </row>
    <row r="78" spans="1:27" s="226" customFormat="1" ht="27.75" customHeight="1" x14ac:dyDescent="0.2">
      <c r="B78" s="53" t="s">
        <v>718</v>
      </c>
      <c r="C78" s="53"/>
      <c r="D78" s="53"/>
      <c r="E78" s="1304" t="s">
        <v>725</v>
      </c>
      <c r="F78" s="1304"/>
      <c r="G78" s="34"/>
      <c r="H78" s="34"/>
      <c r="I78" s="34"/>
      <c r="J78" s="34"/>
      <c r="K78" s="34"/>
      <c r="L78" s="34"/>
      <c r="M78" s="34"/>
      <c r="N78" s="34"/>
      <c r="O78" s="34"/>
    </row>
    <row r="79" spans="1:27" s="34" customFormat="1" ht="14.25" x14ac:dyDescent="0.2">
      <c r="B79" s="54" t="s">
        <v>91</v>
      </c>
      <c r="C79" s="54"/>
      <c r="D79" s="54"/>
      <c r="E79" s="489"/>
      <c r="F79" s="747" t="s">
        <v>1054</v>
      </c>
    </row>
    <row r="80" spans="1:27" s="77" customFormat="1" x14ac:dyDescent="0.2">
      <c r="B80" s="202" t="s">
        <v>896</v>
      </c>
      <c r="C80" s="202"/>
      <c r="D80" s="202"/>
      <c r="E80" s="489" t="s">
        <v>85</v>
      </c>
    </row>
    <row r="81" spans="1:6" s="493" customFormat="1" x14ac:dyDescent="0.2">
      <c r="A81" s="77"/>
      <c r="B81" s="521" t="s">
        <v>897</v>
      </c>
      <c r="C81" s="521"/>
      <c r="D81" s="490"/>
      <c r="E81" s="950" t="s">
        <v>84</v>
      </c>
      <c r="F81" s="494"/>
    </row>
    <row r="82" spans="1:6" s="493" customFormat="1" x14ac:dyDescent="0.2">
      <c r="A82" s="77"/>
      <c r="B82" s="522" t="s">
        <v>898</v>
      </c>
      <c r="C82" s="522"/>
      <c r="D82" s="490"/>
      <c r="E82" s="950" t="s">
        <v>85</v>
      </c>
      <c r="F82" s="494"/>
    </row>
    <row r="83" spans="1:6" s="493" customFormat="1" x14ac:dyDescent="0.2">
      <c r="A83" s="77"/>
      <c r="B83" s="522" t="s">
        <v>899</v>
      </c>
      <c r="C83" s="522"/>
      <c r="D83" s="490"/>
      <c r="E83" s="950" t="s">
        <v>85</v>
      </c>
      <c r="F83" s="494"/>
    </row>
    <row r="84" spans="1:6" s="493" customFormat="1" x14ac:dyDescent="0.2">
      <c r="A84" s="77"/>
      <c r="B84" s="522" t="s">
        <v>900</v>
      </c>
      <c r="C84" s="522"/>
      <c r="D84" s="490"/>
      <c r="E84" s="950" t="s">
        <v>85</v>
      </c>
      <c r="F84" s="494"/>
    </row>
    <row r="85" spans="1:6" s="493" customFormat="1" x14ac:dyDescent="0.2">
      <c r="A85" s="77"/>
      <c r="B85" s="522" t="s">
        <v>901</v>
      </c>
      <c r="C85" s="522"/>
      <c r="D85" s="490"/>
      <c r="E85" s="950" t="s">
        <v>85</v>
      </c>
      <c r="F85" s="494"/>
    </row>
    <row r="86" spans="1:6" s="493" customFormat="1" x14ac:dyDescent="0.2">
      <c r="A86" s="77"/>
      <c r="B86" s="524" t="s">
        <v>902</v>
      </c>
      <c r="C86" s="524"/>
      <c r="D86" s="490"/>
      <c r="E86" s="523" t="str">
        <f>E80</f>
        <v>Cenovni razred II</v>
      </c>
      <c r="F86" s="494"/>
    </row>
    <row r="87" spans="1:6" s="493" customFormat="1" x14ac:dyDescent="0.2">
      <c r="A87" s="77"/>
      <c r="B87" s="525" t="s">
        <v>903</v>
      </c>
      <c r="C87" s="525"/>
      <c r="D87" s="490"/>
      <c r="E87" s="950" t="s">
        <v>85</v>
      </c>
      <c r="F87" s="494"/>
    </row>
    <row r="88" spans="1:6" s="497" customFormat="1" x14ac:dyDescent="0.2">
      <c r="A88" s="34"/>
      <c r="B88" s="522" t="s">
        <v>904</v>
      </c>
      <c r="C88" s="522"/>
      <c r="D88" s="494"/>
      <c r="E88" s="950" t="s">
        <v>85</v>
      </c>
      <c r="F88" s="494"/>
    </row>
    <row r="89" spans="1:6" s="77" customFormat="1" x14ac:dyDescent="0.2">
      <c r="B89" s="580" t="s">
        <v>916</v>
      </c>
      <c r="C89" s="202"/>
      <c r="D89" s="491"/>
      <c r="E89" s="492">
        <f>_xlfn.IFNA(VLOOKUP(E78,'CENOVNI RAZREDI'!$B$7:$Q$92,16,FALSE),"/")</f>
        <v>230.59999999999991</v>
      </c>
      <c r="F89" s="499"/>
    </row>
    <row r="90" spans="1:6" s="77" customFormat="1" x14ac:dyDescent="0.2">
      <c r="B90" s="623" t="s">
        <v>945</v>
      </c>
      <c r="C90" s="624"/>
      <c r="D90" s="625"/>
      <c r="E90" s="492">
        <f>_xlfn.IFNA(VLOOKUP(E78,'CENOVNI RAZREDI'!$B$7:$V$92,21,FALSE),"/")</f>
        <v>1</v>
      </c>
      <c r="F90" s="626"/>
    </row>
    <row r="91" spans="1:6" s="497" customFormat="1" x14ac:dyDescent="0.2">
      <c r="A91" s="34"/>
      <c r="B91" s="521" t="s">
        <v>915</v>
      </c>
      <c r="C91" s="521"/>
      <c r="D91" s="495"/>
      <c r="E91" s="492">
        <f>_xlfn.IFNA(VLOOKUP(E78,'CENOVNI RAZREDI'!$B$7:$U$92,17,FALSE),"/")</f>
        <v>1</v>
      </c>
      <c r="F91" s="495"/>
    </row>
    <row r="92" spans="1:6" s="497" customFormat="1" x14ac:dyDescent="0.2">
      <c r="A92" s="34"/>
      <c r="B92" s="521" t="s">
        <v>910</v>
      </c>
      <c r="C92" s="521"/>
      <c r="D92" s="495"/>
      <c r="E92" s="492">
        <f>_xlfn.IFNA(VLOOKUP(E78,'CENOVNI RAZREDI'!$B$7:$U$92,18,FALSE),"/")</f>
        <v>1.310283625004437</v>
      </c>
      <c r="F92" s="495"/>
    </row>
    <row r="93" spans="1:6" s="497" customFormat="1" x14ac:dyDescent="0.2">
      <c r="A93" s="34"/>
      <c r="B93" s="521" t="s">
        <v>911</v>
      </c>
      <c r="C93" s="521"/>
      <c r="D93" s="495"/>
      <c r="E93" s="492">
        <f>_xlfn.IFNA(VLOOKUP(E78,'CENOVNI RAZREDI'!$B$7:$U$92,19,FALSE),"/")</f>
        <v>0.39429937151456146</v>
      </c>
      <c r="F93" s="495"/>
    </row>
    <row r="94" spans="1:6" s="497" customFormat="1" x14ac:dyDescent="0.2">
      <c r="A94" s="34"/>
      <c r="B94" s="521" t="s">
        <v>912</v>
      </c>
      <c r="C94" s="521"/>
      <c r="D94" s="495"/>
      <c r="E94" s="492">
        <f>_xlfn.IFNA(VLOOKUP(E78,'CENOVNI RAZREDI'!$B$7:$U$92,20,FALSE),"/")</f>
        <v>0</v>
      </c>
      <c r="F94" s="495"/>
    </row>
    <row r="95" spans="1:6" s="77" customFormat="1" x14ac:dyDescent="0.2">
      <c r="B95" s="84"/>
      <c r="C95" s="84"/>
      <c r="D95" s="83"/>
      <c r="E95" s="83"/>
      <c r="F95" s="54"/>
    </row>
    <row r="96" spans="1:6" s="77" customFormat="1" x14ac:dyDescent="0.2">
      <c r="B96" s="520" t="s">
        <v>888</v>
      </c>
      <c r="C96" s="520"/>
      <c r="D96" s="542"/>
      <c r="E96" s="542"/>
      <c r="F96" s="388"/>
    </row>
    <row r="97" spans="1:27" s="526" customFormat="1" ht="12" x14ac:dyDescent="0.2">
      <c r="B97" s="543" t="s">
        <v>886</v>
      </c>
      <c r="C97" s="543"/>
      <c r="D97" s="544"/>
      <c r="E97" s="545" t="str">
        <f>_xlfn.IFNA(CONCATENATE(VLOOKUP(E78,'CENOVNI RAZREDI'!$B$7:$J$92,8,FALSE)," - ",VLOOKUP(E78,'CENOVNI RAZREDI'!$B$7:$J$92,9,FALSE)),"")</f>
        <v>1310,4 - 1889,16</v>
      </c>
      <c r="F97" s="546" t="s">
        <v>889</v>
      </c>
      <c r="G97" s="527"/>
      <c r="H97" s="497"/>
      <c r="I97" s="497"/>
      <c r="J97" s="497"/>
      <c r="K97" s="497"/>
      <c r="L97" s="497"/>
      <c r="M97" s="497"/>
      <c r="N97" s="497"/>
      <c r="O97" s="497"/>
    </row>
    <row r="98" spans="1:27" s="497" customFormat="1" ht="12" x14ac:dyDescent="0.2">
      <c r="B98" s="546" t="s">
        <v>1187</v>
      </c>
      <c r="C98" s="546"/>
      <c r="D98" s="546"/>
      <c r="E98" s="581">
        <v>0</v>
      </c>
      <c r="F98" s="546" t="s">
        <v>889</v>
      </c>
      <c r="W98" s="517"/>
      <c r="X98" s="528"/>
      <c r="Y98" s="529"/>
      <c r="Z98" s="528"/>
      <c r="AA98" s="529"/>
    </row>
    <row r="99" spans="1:27" s="497" customFormat="1" ht="11.25" x14ac:dyDescent="0.2">
      <c r="B99" s="546" t="s">
        <v>887</v>
      </c>
      <c r="C99" s="546"/>
      <c r="D99" s="547"/>
      <c r="E99" s="548">
        <f>E79*E98</f>
        <v>0</v>
      </c>
      <c r="F99" s="549" t="s">
        <v>89</v>
      </c>
      <c r="W99" s="517"/>
    </row>
    <row r="100" spans="1:27" s="497" customFormat="1" ht="11.25" x14ac:dyDescent="0.2">
      <c r="B100" s="550" t="s">
        <v>62</v>
      </c>
      <c r="C100" s="550"/>
      <c r="D100" s="551">
        <f>_xlfn.IFNA(VLOOKUP(E78,'CENOVNI RAZREDI'!$B$7:$N$92,10,FALSE),0)</f>
        <v>0.80800000000000005</v>
      </c>
      <c r="E100" s="552">
        <f>D100*E99</f>
        <v>0</v>
      </c>
      <c r="F100" s="553" t="s">
        <v>89</v>
      </c>
      <c r="W100" s="529"/>
    </row>
    <row r="101" spans="1:27" s="497" customFormat="1" ht="11.25" x14ac:dyDescent="0.2">
      <c r="B101" s="550" t="s">
        <v>64</v>
      </c>
      <c r="C101" s="550"/>
      <c r="D101" s="551">
        <f>_xlfn.IFNA(VLOOKUP(E78,'CENOVNI RAZREDI'!$B$7:$N$92,12,FALSE),0)</f>
        <v>4.4544000000000007E-2</v>
      </c>
      <c r="E101" s="552">
        <f>D101*E99</f>
        <v>0</v>
      </c>
      <c r="F101" s="553" t="s">
        <v>89</v>
      </c>
      <c r="Y101" s="529"/>
      <c r="Z101" s="528"/>
      <c r="AA101" s="529"/>
    </row>
    <row r="102" spans="1:27" s="497" customFormat="1" ht="11.25" x14ac:dyDescent="0.2">
      <c r="B102" s="550" t="s">
        <v>63</v>
      </c>
      <c r="C102" s="550"/>
      <c r="D102" s="551">
        <f>_xlfn.IFNA(VLOOKUP(E78,'CENOVNI RAZREDI'!$B$7:$N$92,11,FALSE),0)</f>
        <v>0.14764799999999997</v>
      </c>
      <c r="E102" s="552">
        <f>D102*E99</f>
        <v>0</v>
      </c>
      <c r="F102" s="553" t="s">
        <v>89</v>
      </c>
      <c r="W102" s="529"/>
    </row>
    <row r="103" spans="1:27" s="497" customFormat="1" ht="11.25" x14ac:dyDescent="0.2">
      <c r="B103" s="554" t="s">
        <v>365</v>
      </c>
      <c r="C103" s="554"/>
      <c r="D103" s="555">
        <f>_xlfn.IFNA(VLOOKUP(E78,'CENOVNI RAZREDI'!$B$7:$N$92,13,FALSE),0)</f>
        <v>0</v>
      </c>
      <c r="E103" s="556">
        <f>D103*E99</f>
        <v>0</v>
      </c>
      <c r="F103" s="557" t="s">
        <v>89</v>
      </c>
      <c r="W103" s="529"/>
    </row>
    <row r="104" spans="1:27" s="497" customFormat="1" ht="11.25" x14ac:dyDescent="0.2">
      <c r="B104" s="519"/>
      <c r="C104" s="519"/>
      <c r="D104" s="518"/>
      <c r="E104" s="516"/>
      <c r="F104" s="517"/>
      <c r="W104" s="529"/>
    </row>
    <row r="105" spans="1:27" s="77" customFormat="1" x14ac:dyDescent="0.2">
      <c r="B105" s="84" t="s">
        <v>732</v>
      </c>
      <c r="C105" s="84"/>
      <c r="D105" s="83"/>
      <c r="E105" s="539">
        <f>IFERROR(STAVBE!C74,0)</f>
        <v>0</v>
      </c>
      <c r="F105" s="384" t="s">
        <v>872</v>
      </c>
    </row>
    <row r="106" spans="1:27" s="77" customFormat="1" x14ac:dyDescent="0.2">
      <c r="B106" s="84" t="s">
        <v>733</v>
      </c>
      <c r="C106" s="84"/>
      <c r="D106" s="83"/>
      <c r="E106" s="539">
        <f>IFERROR(STAVBE!C75,0)</f>
        <v>0</v>
      </c>
      <c r="F106" s="384" t="s">
        <v>872</v>
      </c>
    </row>
    <row r="107" spans="1:27" s="34" customFormat="1" x14ac:dyDescent="0.2">
      <c r="A107" s="55"/>
      <c r="B107" s="55"/>
      <c r="C107" s="55"/>
      <c r="D107" s="56"/>
      <c r="E107" s="343"/>
      <c r="F107" s="57"/>
      <c r="Y107" s="37"/>
      <c r="Z107" s="36"/>
      <c r="AA107" s="37"/>
    </row>
    <row r="108" spans="1:27" s="43" customFormat="1" ht="15.75" x14ac:dyDescent="0.2">
      <c r="A108" s="231" t="s">
        <v>884</v>
      </c>
      <c r="B108" s="42"/>
      <c r="C108" s="42"/>
      <c r="D108" s="42"/>
      <c r="E108" s="1305"/>
      <c r="F108" s="1305"/>
      <c r="G108" s="41"/>
      <c r="H108" s="41"/>
      <c r="I108" s="41"/>
      <c r="J108" s="41"/>
      <c r="K108" s="41"/>
      <c r="L108" s="41"/>
      <c r="M108" s="41"/>
      <c r="N108" s="41"/>
      <c r="O108" s="41"/>
    </row>
    <row r="109" spans="1:27" s="226" customFormat="1" ht="25.5" customHeight="1" x14ac:dyDescent="0.2">
      <c r="B109" s="53" t="s">
        <v>718</v>
      </c>
      <c r="C109" s="53"/>
      <c r="D109" s="53"/>
      <c r="E109" s="1304" t="s">
        <v>725</v>
      </c>
      <c r="F109" s="1304"/>
      <c r="G109" s="34"/>
      <c r="H109" s="34"/>
      <c r="I109" s="34"/>
      <c r="J109" s="34"/>
      <c r="K109" s="34"/>
      <c r="L109" s="34"/>
      <c r="M109" s="34"/>
      <c r="N109" s="34"/>
      <c r="O109" s="34"/>
    </row>
    <row r="110" spans="1:27" s="34" customFormat="1" ht="14.25" x14ac:dyDescent="0.2">
      <c r="B110" s="54" t="s">
        <v>91</v>
      </c>
      <c r="C110" s="54"/>
      <c r="D110" s="54"/>
      <c r="E110" s="489"/>
      <c r="F110" s="747" t="s">
        <v>1054</v>
      </c>
    </row>
    <row r="111" spans="1:27" s="77" customFormat="1" x14ac:dyDescent="0.2">
      <c r="B111" s="202" t="s">
        <v>896</v>
      </c>
      <c r="C111" s="202"/>
      <c r="D111" s="202"/>
      <c r="E111" s="489" t="s">
        <v>85</v>
      </c>
    </row>
    <row r="112" spans="1:27" s="493" customFormat="1" x14ac:dyDescent="0.2">
      <c r="A112" s="77"/>
      <c r="B112" s="521" t="s">
        <v>897</v>
      </c>
      <c r="C112" s="521"/>
      <c r="D112" s="490"/>
      <c r="E112" s="950" t="s">
        <v>84</v>
      </c>
      <c r="F112" s="494"/>
    </row>
    <row r="113" spans="1:15" s="493" customFormat="1" x14ac:dyDescent="0.2">
      <c r="A113" s="77"/>
      <c r="B113" s="522" t="s">
        <v>898</v>
      </c>
      <c r="C113" s="522"/>
      <c r="D113" s="490"/>
      <c r="E113" s="950" t="s">
        <v>85</v>
      </c>
      <c r="F113" s="494"/>
    </row>
    <row r="114" spans="1:15" s="493" customFormat="1" x14ac:dyDescent="0.2">
      <c r="A114" s="77"/>
      <c r="B114" s="522" t="s">
        <v>899</v>
      </c>
      <c r="C114" s="522"/>
      <c r="D114" s="490"/>
      <c r="E114" s="950" t="s">
        <v>85</v>
      </c>
      <c r="F114" s="494"/>
    </row>
    <row r="115" spans="1:15" s="493" customFormat="1" x14ac:dyDescent="0.2">
      <c r="A115" s="77"/>
      <c r="B115" s="522" t="s">
        <v>900</v>
      </c>
      <c r="C115" s="522"/>
      <c r="D115" s="490"/>
      <c r="E115" s="950" t="s">
        <v>85</v>
      </c>
      <c r="F115" s="494"/>
    </row>
    <row r="116" spans="1:15" s="493" customFormat="1" x14ac:dyDescent="0.2">
      <c r="A116" s="77"/>
      <c r="B116" s="522" t="s">
        <v>901</v>
      </c>
      <c r="C116" s="522"/>
      <c r="D116" s="490"/>
      <c r="E116" s="950" t="s">
        <v>85</v>
      </c>
      <c r="F116" s="494"/>
    </row>
    <row r="117" spans="1:15" s="493" customFormat="1" x14ac:dyDescent="0.2">
      <c r="A117" s="77"/>
      <c r="B117" s="524" t="s">
        <v>902</v>
      </c>
      <c r="C117" s="524"/>
      <c r="D117" s="490"/>
      <c r="E117" s="523" t="str">
        <f>E111</f>
        <v>Cenovni razred II</v>
      </c>
      <c r="F117" s="494"/>
    </row>
    <row r="118" spans="1:15" s="493" customFormat="1" x14ac:dyDescent="0.2">
      <c r="A118" s="77"/>
      <c r="B118" s="525" t="s">
        <v>903</v>
      </c>
      <c r="C118" s="525"/>
      <c r="D118" s="490"/>
      <c r="E118" s="950" t="s">
        <v>85</v>
      </c>
      <c r="F118" s="494"/>
    </row>
    <row r="119" spans="1:15" s="497" customFormat="1" x14ac:dyDescent="0.2">
      <c r="A119" s="34"/>
      <c r="B119" s="522" t="s">
        <v>904</v>
      </c>
      <c r="C119" s="522"/>
      <c r="D119" s="494"/>
      <c r="E119" s="950" t="s">
        <v>85</v>
      </c>
      <c r="F119" s="494"/>
    </row>
    <row r="120" spans="1:15" s="77" customFormat="1" x14ac:dyDescent="0.2">
      <c r="B120" s="580" t="s">
        <v>916</v>
      </c>
      <c r="C120" s="202"/>
      <c r="D120" s="491"/>
      <c r="E120" s="492">
        <f>_xlfn.IFNA(VLOOKUP(E109,'CENOVNI RAZREDI'!$B$7:$Q$92,16,FALSE),"/")</f>
        <v>230.59999999999991</v>
      </c>
      <c r="F120" s="499"/>
    </row>
    <row r="121" spans="1:15" s="77" customFormat="1" x14ac:dyDescent="0.2">
      <c r="B121" s="623" t="s">
        <v>945</v>
      </c>
      <c r="C121" s="624"/>
      <c r="D121" s="625"/>
      <c r="E121" s="492">
        <f>_xlfn.IFNA(VLOOKUP(E109,'CENOVNI RAZREDI'!$B$7:$V$92,21,FALSE),"/")</f>
        <v>1</v>
      </c>
      <c r="F121" s="626"/>
    </row>
    <row r="122" spans="1:15" s="497" customFormat="1" x14ac:dyDescent="0.2">
      <c r="A122" s="34"/>
      <c r="B122" s="521" t="s">
        <v>915</v>
      </c>
      <c r="C122" s="521"/>
      <c r="D122" s="495"/>
      <c r="E122" s="492">
        <f>_xlfn.IFNA(VLOOKUP(E109,'CENOVNI RAZREDI'!$B$7:$U$92,17,FALSE),"/")</f>
        <v>1</v>
      </c>
      <c r="F122" s="495"/>
    </row>
    <row r="123" spans="1:15" s="497" customFormat="1" x14ac:dyDescent="0.2">
      <c r="A123" s="34"/>
      <c r="B123" s="521" t="s">
        <v>910</v>
      </c>
      <c r="C123" s="521"/>
      <c r="D123" s="495"/>
      <c r="E123" s="492">
        <f>_xlfn.IFNA(VLOOKUP(E109,'CENOVNI RAZREDI'!$B$7:$U$92,18,FALSE),"/")</f>
        <v>1.310283625004437</v>
      </c>
      <c r="F123" s="495"/>
    </row>
    <row r="124" spans="1:15" s="497" customFormat="1" x14ac:dyDescent="0.2">
      <c r="A124" s="34"/>
      <c r="B124" s="521" t="s">
        <v>911</v>
      </c>
      <c r="C124" s="521"/>
      <c r="D124" s="495"/>
      <c r="E124" s="492">
        <f>_xlfn.IFNA(VLOOKUP(E109,'CENOVNI RAZREDI'!$B$7:$U$92,19,FALSE),"/")</f>
        <v>0.39429937151456146</v>
      </c>
      <c r="F124" s="495"/>
    </row>
    <row r="125" spans="1:15" s="497" customFormat="1" x14ac:dyDescent="0.2">
      <c r="A125" s="34"/>
      <c r="B125" s="521" t="s">
        <v>912</v>
      </c>
      <c r="C125" s="521"/>
      <c r="D125" s="495"/>
      <c r="E125" s="492">
        <f>_xlfn.IFNA(VLOOKUP(E109,'CENOVNI RAZREDI'!$B$7:$U$92,20,FALSE),"/")</f>
        <v>0</v>
      </c>
      <c r="F125" s="495"/>
    </row>
    <row r="126" spans="1:15" s="34" customFormat="1" x14ac:dyDescent="0.2">
      <c r="B126" s="54"/>
      <c r="C126" s="54"/>
      <c r="D126" s="54"/>
      <c r="E126" s="54"/>
      <c r="F126" s="54"/>
    </row>
    <row r="127" spans="1:15" s="77" customFormat="1" x14ac:dyDescent="0.2">
      <c r="B127" s="520" t="s">
        <v>888</v>
      </c>
      <c r="C127" s="520"/>
      <c r="D127" s="542"/>
      <c r="E127" s="542"/>
      <c r="F127" s="388"/>
    </row>
    <row r="128" spans="1:15" s="526" customFormat="1" ht="12" x14ac:dyDescent="0.2">
      <c r="B128" s="543" t="s">
        <v>886</v>
      </c>
      <c r="C128" s="543"/>
      <c r="D128" s="544"/>
      <c r="E128" s="545" t="str">
        <f>_xlfn.IFNA(CONCATENATE(VLOOKUP(E109,'CENOVNI RAZREDI'!$B$7:$J$92,8,FALSE)," - ",VLOOKUP(E109,'CENOVNI RAZREDI'!$B$7:$J$92,9,FALSE)),"")</f>
        <v>1310,4 - 1889,16</v>
      </c>
      <c r="F128" s="546" t="s">
        <v>889</v>
      </c>
      <c r="G128" s="527"/>
      <c r="H128" s="497"/>
      <c r="I128" s="497"/>
      <c r="J128" s="497"/>
      <c r="K128" s="497"/>
      <c r="L128" s="497"/>
      <c r="M128" s="497"/>
      <c r="N128" s="497"/>
      <c r="O128" s="497"/>
    </row>
    <row r="129" spans="1:27" s="497" customFormat="1" ht="12" x14ac:dyDescent="0.2">
      <c r="B129" s="546" t="s">
        <v>1187</v>
      </c>
      <c r="C129" s="546"/>
      <c r="D129" s="546"/>
      <c r="E129" s="581">
        <v>0</v>
      </c>
      <c r="F129" s="546" t="s">
        <v>889</v>
      </c>
      <c r="W129" s="517"/>
      <c r="X129" s="528"/>
      <c r="Y129" s="529"/>
      <c r="Z129" s="528"/>
      <c r="AA129" s="529"/>
    </row>
    <row r="130" spans="1:27" s="497" customFormat="1" ht="11.25" x14ac:dyDescent="0.2">
      <c r="B130" s="546" t="s">
        <v>887</v>
      </c>
      <c r="C130" s="546"/>
      <c r="D130" s="547"/>
      <c r="E130" s="548">
        <f>E110*E129</f>
        <v>0</v>
      </c>
      <c r="F130" s="549" t="s">
        <v>89</v>
      </c>
      <c r="W130" s="517"/>
    </row>
    <row r="131" spans="1:27" s="497" customFormat="1" ht="11.25" x14ac:dyDescent="0.2">
      <c r="B131" s="550" t="s">
        <v>62</v>
      </c>
      <c r="C131" s="550"/>
      <c r="D131" s="551">
        <f>_xlfn.IFNA(VLOOKUP(E109,'CENOVNI RAZREDI'!$B$7:$N$92,10,FALSE),0)</f>
        <v>0.80800000000000005</v>
      </c>
      <c r="E131" s="552">
        <f>D131*E130</f>
        <v>0</v>
      </c>
      <c r="F131" s="553" t="s">
        <v>89</v>
      </c>
      <c r="W131" s="529"/>
    </row>
    <row r="132" spans="1:27" s="497" customFormat="1" ht="11.25" x14ac:dyDescent="0.2">
      <c r="B132" s="550" t="s">
        <v>64</v>
      </c>
      <c r="C132" s="550"/>
      <c r="D132" s="551">
        <f>_xlfn.IFNA(VLOOKUP(E109,'CENOVNI RAZREDI'!$B$7:$N$92,12,FALSE),0)</f>
        <v>4.4544000000000007E-2</v>
      </c>
      <c r="E132" s="552">
        <f>D132*E130</f>
        <v>0</v>
      </c>
      <c r="F132" s="553" t="s">
        <v>89</v>
      </c>
      <c r="Y132" s="529"/>
      <c r="Z132" s="528"/>
      <c r="AA132" s="529"/>
    </row>
    <row r="133" spans="1:27" s="497" customFormat="1" ht="11.25" x14ac:dyDescent="0.2">
      <c r="B133" s="550" t="s">
        <v>63</v>
      </c>
      <c r="C133" s="550"/>
      <c r="D133" s="551">
        <f>_xlfn.IFNA(VLOOKUP(E109,'CENOVNI RAZREDI'!$B$7:$N$92,11,FALSE),0)</f>
        <v>0.14764799999999997</v>
      </c>
      <c r="E133" s="552">
        <f>D133*E130</f>
        <v>0</v>
      </c>
      <c r="F133" s="553" t="s">
        <v>89</v>
      </c>
      <c r="W133" s="529"/>
    </row>
    <row r="134" spans="1:27" s="497" customFormat="1" ht="11.25" x14ac:dyDescent="0.2">
      <c r="B134" s="554" t="s">
        <v>365</v>
      </c>
      <c r="C134" s="554"/>
      <c r="D134" s="555">
        <f>_xlfn.IFNA(VLOOKUP(E109,'CENOVNI RAZREDI'!$B$7:$N$92,13,FALSE),0)</f>
        <v>0</v>
      </c>
      <c r="E134" s="556">
        <f>D134*E130</f>
        <v>0</v>
      </c>
      <c r="F134" s="557" t="s">
        <v>89</v>
      </c>
      <c r="W134" s="529"/>
    </row>
    <row r="135" spans="1:27" s="497" customFormat="1" ht="11.25" x14ac:dyDescent="0.2">
      <c r="B135" s="519"/>
      <c r="C135" s="519"/>
      <c r="D135" s="518"/>
      <c r="E135" s="516"/>
      <c r="F135" s="517"/>
      <c r="W135" s="529"/>
    </row>
    <row r="136" spans="1:27" s="77" customFormat="1" x14ac:dyDescent="0.2">
      <c r="B136" s="84" t="s">
        <v>732</v>
      </c>
      <c r="C136" s="84"/>
      <c r="D136" s="83"/>
      <c r="E136" s="539">
        <f>IFERROR(STAVBE!C97,0)</f>
        <v>0</v>
      </c>
      <c r="F136" s="384" t="s">
        <v>872</v>
      </c>
    </row>
    <row r="137" spans="1:27" s="77" customFormat="1" x14ac:dyDescent="0.2">
      <c r="B137" s="84" t="s">
        <v>733</v>
      </c>
      <c r="C137" s="84"/>
      <c r="D137" s="83"/>
      <c r="E137" s="539">
        <f>IFERROR(STAVBE!C98,0)</f>
        <v>0</v>
      </c>
      <c r="F137" s="384" t="s">
        <v>872</v>
      </c>
    </row>
    <row r="138" spans="1:27" s="34" customFormat="1" x14ac:dyDescent="0.2">
      <c r="A138" s="55"/>
      <c r="B138" s="55"/>
      <c r="C138" s="55"/>
      <c r="D138" s="56"/>
      <c r="E138" s="343"/>
      <c r="F138" s="57"/>
      <c r="Y138" s="37"/>
      <c r="Z138" s="36"/>
      <c r="AA138" s="37"/>
    </row>
    <row r="139" spans="1:27" s="43" customFormat="1" ht="15.75" x14ac:dyDescent="0.2">
      <c r="A139" s="231" t="s">
        <v>885</v>
      </c>
      <c r="B139" s="42"/>
      <c r="C139" s="42"/>
      <c r="D139" s="42"/>
      <c r="E139" s="1305"/>
      <c r="F139" s="1305"/>
      <c r="G139" s="41"/>
      <c r="H139" s="41"/>
      <c r="I139" s="41"/>
      <c r="J139" s="41"/>
      <c r="K139" s="41"/>
      <c r="L139" s="41"/>
      <c r="M139" s="41"/>
      <c r="N139" s="41"/>
      <c r="O139" s="41"/>
    </row>
    <row r="140" spans="1:27" s="226" customFormat="1" ht="25.5" customHeight="1" x14ac:dyDescent="0.2">
      <c r="B140" s="53" t="s">
        <v>718</v>
      </c>
      <c r="C140" s="53"/>
      <c r="D140" s="53"/>
      <c r="E140" s="1304" t="s">
        <v>725</v>
      </c>
      <c r="F140" s="1304"/>
      <c r="G140" s="34"/>
      <c r="H140" s="34"/>
      <c r="I140" s="34"/>
      <c r="J140" s="34"/>
      <c r="K140" s="34"/>
      <c r="L140" s="34"/>
      <c r="M140" s="34"/>
      <c r="N140" s="34"/>
      <c r="O140" s="34"/>
    </row>
    <row r="141" spans="1:27" s="34" customFormat="1" ht="14.25" x14ac:dyDescent="0.2">
      <c r="B141" s="54" t="s">
        <v>91</v>
      </c>
      <c r="C141" s="54"/>
      <c r="D141" s="54"/>
      <c r="E141" s="489"/>
      <c r="F141" s="747" t="s">
        <v>1054</v>
      </c>
    </row>
    <row r="142" spans="1:27" s="77" customFormat="1" x14ac:dyDescent="0.2">
      <c r="B142" s="202" t="s">
        <v>896</v>
      </c>
      <c r="C142" s="202"/>
      <c r="D142" s="202"/>
      <c r="E142" s="489" t="s">
        <v>85</v>
      </c>
    </row>
    <row r="143" spans="1:27" s="493" customFormat="1" x14ac:dyDescent="0.2">
      <c r="A143" s="77"/>
      <c r="B143" s="521" t="s">
        <v>897</v>
      </c>
      <c r="C143" s="521"/>
      <c r="D143" s="490"/>
      <c r="E143" s="950" t="s">
        <v>84</v>
      </c>
      <c r="F143" s="494"/>
    </row>
    <row r="144" spans="1:27" s="493" customFormat="1" x14ac:dyDescent="0.2">
      <c r="A144" s="77"/>
      <c r="B144" s="522" t="s">
        <v>898</v>
      </c>
      <c r="C144" s="522"/>
      <c r="D144" s="490"/>
      <c r="E144" s="950" t="s">
        <v>85</v>
      </c>
      <c r="F144" s="494"/>
    </row>
    <row r="145" spans="1:27" s="493" customFormat="1" x14ac:dyDescent="0.2">
      <c r="A145" s="77"/>
      <c r="B145" s="522" t="s">
        <v>899</v>
      </c>
      <c r="C145" s="522"/>
      <c r="D145" s="490"/>
      <c r="E145" s="950" t="s">
        <v>85</v>
      </c>
      <c r="F145" s="494"/>
    </row>
    <row r="146" spans="1:27" s="493" customFormat="1" x14ac:dyDescent="0.2">
      <c r="A146" s="77"/>
      <c r="B146" s="522" t="s">
        <v>900</v>
      </c>
      <c r="C146" s="522"/>
      <c r="D146" s="490"/>
      <c r="E146" s="950" t="s">
        <v>85</v>
      </c>
      <c r="F146" s="494"/>
    </row>
    <row r="147" spans="1:27" s="493" customFormat="1" x14ac:dyDescent="0.2">
      <c r="A147" s="77"/>
      <c r="B147" s="522" t="s">
        <v>901</v>
      </c>
      <c r="C147" s="522"/>
      <c r="D147" s="490"/>
      <c r="E147" s="950" t="s">
        <v>85</v>
      </c>
      <c r="F147" s="494"/>
    </row>
    <row r="148" spans="1:27" s="493" customFormat="1" x14ac:dyDescent="0.2">
      <c r="A148" s="77"/>
      <c r="B148" s="524" t="s">
        <v>902</v>
      </c>
      <c r="C148" s="524"/>
      <c r="D148" s="490"/>
      <c r="E148" s="523" t="str">
        <f>E142</f>
        <v>Cenovni razred II</v>
      </c>
      <c r="F148" s="494"/>
    </row>
    <row r="149" spans="1:27" s="493" customFormat="1" x14ac:dyDescent="0.2">
      <c r="A149" s="77"/>
      <c r="B149" s="525" t="s">
        <v>903</v>
      </c>
      <c r="C149" s="525"/>
      <c r="D149" s="490"/>
      <c r="E149" s="950" t="s">
        <v>85</v>
      </c>
      <c r="F149" s="494"/>
    </row>
    <row r="150" spans="1:27" s="497" customFormat="1" x14ac:dyDescent="0.2">
      <c r="A150" s="34"/>
      <c r="B150" s="522" t="s">
        <v>904</v>
      </c>
      <c r="C150" s="522"/>
      <c r="D150" s="494"/>
      <c r="E150" s="950" t="s">
        <v>85</v>
      </c>
      <c r="F150" s="494"/>
    </row>
    <row r="151" spans="1:27" s="77" customFormat="1" x14ac:dyDescent="0.2">
      <c r="B151" s="580" t="s">
        <v>916</v>
      </c>
      <c r="C151" s="202"/>
      <c r="D151" s="491"/>
      <c r="E151" s="492">
        <f>_xlfn.IFNA(VLOOKUP(E140,'CENOVNI RAZREDI'!$B$7:$Q$92,16,FALSE),"/")</f>
        <v>230.59999999999991</v>
      </c>
      <c r="F151" s="499"/>
    </row>
    <row r="152" spans="1:27" s="77" customFormat="1" x14ac:dyDescent="0.2">
      <c r="B152" s="623" t="s">
        <v>945</v>
      </c>
      <c r="C152" s="624"/>
      <c r="D152" s="625"/>
      <c r="E152" s="492">
        <f>_xlfn.IFNA(VLOOKUP(E140,'CENOVNI RAZREDI'!$B$7:$V$92,21,FALSE),"/")</f>
        <v>1</v>
      </c>
      <c r="F152" s="626"/>
    </row>
    <row r="153" spans="1:27" s="497" customFormat="1" x14ac:dyDescent="0.2">
      <c r="A153" s="34"/>
      <c r="B153" s="521" t="s">
        <v>915</v>
      </c>
      <c r="C153" s="521"/>
      <c r="D153" s="495"/>
      <c r="E153" s="492">
        <f>_xlfn.IFNA(VLOOKUP(E140,'CENOVNI RAZREDI'!$B$7:$U$92,17,FALSE),"/")</f>
        <v>1</v>
      </c>
      <c r="F153" s="495"/>
    </row>
    <row r="154" spans="1:27" s="497" customFormat="1" x14ac:dyDescent="0.2">
      <c r="A154" s="34"/>
      <c r="B154" s="521" t="s">
        <v>910</v>
      </c>
      <c r="C154" s="521"/>
      <c r="D154" s="495"/>
      <c r="E154" s="492">
        <f>_xlfn.IFNA(VLOOKUP(E140,'CENOVNI RAZREDI'!$B$7:$U$92,18,FALSE),"/")</f>
        <v>1.310283625004437</v>
      </c>
      <c r="F154" s="495"/>
    </row>
    <row r="155" spans="1:27" s="497" customFormat="1" x14ac:dyDescent="0.2">
      <c r="A155" s="34"/>
      <c r="B155" s="521" t="s">
        <v>911</v>
      </c>
      <c r="C155" s="521"/>
      <c r="D155" s="495"/>
      <c r="E155" s="492">
        <f>_xlfn.IFNA(VLOOKUP(E140,'CENOVNI RAZREDI'!$B$7:$U$92,19,FALSE),"/")</f>
        <v>0.39429937151456146</v>
      </c>
      <c r="F155" s="495"/>
    </row>
    <row r="156" spans="1:27" s="497" customFormat="1" x14ac:dyDescent="0.2">
      <c r="A156" s="34"/>
      <c r="B156" s="521" t="s">
        <v>912</v>
      </c>
      <c r="C156" s="521"/>
      <c r="D156" s="495"/>
      <c r="E156" s="492">
        <f>_xlfn.IFNA(VLOOKUP(E140,'CENOVNI RAZREDI'!$B$7:$U$92,20,FALSE),"/")</f>
        <v>0</v>
      </c>
      <c r="F156" s="495"/>
    </row>
    <row r="157" spans="1:27" s="34" customFormat="1" x14ac:dyDescent="0.2">
      <c r="B157" s="54"/>
      <c r="C157" s="54"/>
      <c r="D157" s="54"/>
      <c r="E157" s="54"/>
      <c r="F157" s="54"/>
    </row>
    <row r="158" spans="1:27" s="77" customFormat="1" x14ac:dyDescent="0.2">
      <c r="B158" s="520" t="s">
        <v>888</v>
      </c>
      <c r="C158" s="520"/>
      <c r="D158" s="542"/>
      <c r="E158" s="542"/>
      <c r="F158" s="388"/>
    </row>
    <row r="159" spans="1:27" s="526" customFormat="1" ht="12" x14ac:dyDescent="0.2">
      <c r="B159" s="543" t="s">
        <v>886</v>
      </c>
      <c r="C159" s="543"/>
      <c r="D159" s="544"/>
      <c r="E159" s="545" t="str">
        <f>_xlfn.IFNA(CONCATENATE(VLOOKUP(E140,'CENOVNI RAZREDI'!$B$7:$J$92,8,FALSE)," - ",VLOOKUP(E140,'CENOVNI RAZREDI'!$B$7:$J$92,9,FALSE)),"")</f>
        <v>1310,4 - 1889,16</v>
      </c>
      <c r="F159" s="546" t="s">
        <v>889</v>
      </c>
      <c r="G159" s="527"/>
      <c r="H159" s="497"/>
      <c r="I159" s="497"/>
      <c r="J159" s="497"/>
      <c r="K159" s="497"/>
      <c r="L159" s="497"/>
      <c r="M159" s="497"/>
      <c r="N159" s="497"/>
      <c r="O159" s="497"/>
    </row>
    <row r="160" spans="1:27" s="497" customFormat="1" ht="12" x14ac:dyDescent="0.2">
      <c r="B160" s="546" t="s">
        <v>1187</v>
      </c>
      <c r="C160" s="546"/>
      <c r="D160" s="546"/>
      <c r="E160" s="581">
        <v>0</v>
      </c>
      <c r="F160" s="546" t="s">
        <v>889</v>
      </c>
      <c r="W160" s="517"/>
      <c r="X160" s="528"/>
      <c r="Y160" s="529"/>
      <c r="Z160" s="528"/>
      <c r="AA160" s="529"/>
    </row>
    <row r="161" spans="1:27" s="497" customFormat="1" ht="11.25" x14ac:dyDescent="0.2">
      <c r="B161" s="546" t="s">
        <v>887</v>
      </c>
      <c r="C161" s="546"/>
      <c r="D161" s="547"/>
      <c r="E161" s="548">
        <f>E141*E160</f>
        <v>0</v>
      </c>
      <c r="F161" s="549" t="s">
        <v>89</v>
      </c>
      <c r="W161" s="517"/>
    </row>
    <row r="162" spans="1:27" s="497" customFormat="1" ht="11.25" x14ac:dyDescent="0.2">
      <c r="B162" s="550" t="s">
        <v>62</v>
      </c>
      <c r="C162" s="550"/>
      <c r="D162" s="551">
        <f>_xlfn.IFNA(VLOOKUP(E140,'CENOVNI RAZREDI'!$B$7:$N$92,10,FALSE),0)</f>
        <v>0.80800000000000005</v>
      </c>
      <c r="E162" s="552">
        <f>D162*E161</f>
        <v>0</v>
      </c>
      <c r="F162" s="553" t="s">
        <v>89</v>
      </c>
      <c r="W162" s="529"/>
    </row>
    <row r="163" spans="1:27" s="497" customFormat="1" ht="11.25" x14ac:dyDescent="0.2">
      <c r="B163" s="550" t="s">
        <v>64</v>
      </c>
      <c r="C163" s="550"/>
      <c r="D163" s="551">
        <f>_xlfn.IFNA(VLOOKUP(E140,'CENOVNI RAZREDI'!$B$7:$N$92,12,FALSE),0)</f>
        <v>4.4544000000000007E-2</v>
      </c>
      <c r="E163" s="552">
        <f>D163*E161</f>
        <v>0</v>
      </c>
      <c r="F163" s="553" t="s">
        <v>89</v>
      </c>
      <c r="Y163" s="529"/>
      <c r="Z163" s="528"/>
      <c r="AA163" s="529"/>
    </row>
    <row r="164" spans="1:27" s="497" customFormat="1" ht="11.25" x14ac:dyDescent="0.2">
      <c r="B164" s="550" t="s">
        <v>63</v>
      </c>
      <c r="C164" s="550"/>
      <c r="D164" s="551">
        <f>_xlfn.IFNA(VLOOKUP(E140,'CENOVNI RAZREDI'!$B$7:$N$92,11,FALSE),0)</f>
        <v>0.14764799999999997</v>
      </c>
      <c r="E164" s="552">
        <f>D164*E161</f>
        <v>0</v>
      </c>
      <c r="F164" s="553" t="s">
        <v>89</v>
      </c>
      <c r="W164" s="529"/>
    </row>
    <row r="165" spans="1:27" s="497" customFormat="1" ht="11.25" x14ac:dyDescent="0.2">
      <c r="B165" s="554" t="s">
        <v>365</v>
      </c>
      <c r="C165" s="554"/>
      <c r="D165" s="555">
        <f>_xlfn.IFNA(VLOOKUP(E140,'CENOVNI RAZREDI'!$B$7:$N$92,13,FALSE),0)</f>
        <v>0</v>
      </c>
      <c r="E165" s="556">
        <f>D165*E161</f>
        <v>0</v>
      </c>
      <c r="F165" s="557" t="s">
        <v>89</v>
      </c>
      <c r="W165" s="529"/>
    </row>
    <row r="166" spans="1:27" s="497" customFormat="1" ht="11.25" x14ac:dyDescent="0.2">
      <c r="B166" s="519"/>
      <c r="C166" s="519"/>
      <c r="D166" s="518"/>
      <c r="E166" s="516"/>
      <c r="F166" s="517"/>
      <c r="W166" s="529"/>
    </row>
    <row r="167" spans="1:27" s="77" customFormat="1" x14ac:dyDescent="0.2">
      <c r="B167" s="84" t="s">
        <v>732</v>
      </c>
      <c r="C167" s="84"/>
      <c r="D167" s="83"/>
      <c r="E167" s="539">
        <f>IFERROR(STAVBE!C120,0)</f>
        <v>0</v>
      </c>
      <c r="F167" s="384" t="s">
        <v>872</v>
      </c>
    </row>
    <row r="168" spans="1:27" s="77" customFormat="1" x14ac:dyDescent="0.2">
      <c r="B168" s="84" t="s">
        <v>733</v>
      </c>
      <c r="C168" s="84"/>
      <c r="D168" s="83"/>
      <c r="E168" s="539">
        <f>IFERROR(STAVBE!C121,0)</f>
        <v>0</v>
      </c>
      <c r="F168" s="384" t="s">
        <v>872</v>
      </c>
    </row>
    <row r="169" spans="1:27" s="41" customFormat="1" ht="16.5" thickBot="1" x14ac:dyDescent="0.25">
      <c r="A169" s="67"/>
      <c r="B169" s="67"/>
      <c r="C169" s="67"/>
      <c r="D169" s="68"/>
      <c r="E169" s="344"/>
      <c r="F169" s="69"/>
      <c r="Y169" s="50"/>
      <c r="Z169" s="49"/>
      <c r="AA169" s="50"/>
    </row>
    <row r="170" spans="1:27" s="18" customFormat="1" ht="15.75" x14ac:dyDescent="0.25">
      <c r="A170" s="228" t="s">
        <v>2</v>
      </c>
      <c r="B170" s="228"/>
      <c r="C170" s="228"/>
      <c r="D170" s="228"/>
      <c r="E170" s="339"/>
      <c r="F170" s="228"/>
    </row>
    <row r="171" spans="1:27" s="18" customFormat="1" ht="15.75" x14ac:dyDescent="0.25">
      <c r="A171" s="757"/>
      <c r="B171" s="755"/>
      <c r="C171" s="755"/>
      <c r="D171" s="755"/>
      <c r="E171" s="756"/>
      <c r="F171" s="755"/>
    </row>
    <row r="172" spans="1:27" s="18" customFormat="1" ht="15.75" x14ac:dyDescent="0.25">
      <c r="A172" s="63"/>
      <c r="B172" s="54" t="s">
        <v>949</v>
      </c>
      <c r="C172" s="1265"/>
      <c r="D172" s="1265"/>
      <c r="E172" s="1265"/>
      <c r="F172" s="953"/>
      <c r="H172" s="1264">
        <v>1</v>
      </c>
    </row>
    <row r="173" spans="1:27" s="18" customFormat="1" ht="15.75" x14ac:dyDescent="0.25">
      <c r="A173" s="63"/>
      <c r="B173" s="54" t="s">
        <v>1108</v>
      </c>
      <c r="C173" s="54"/>
      <c r="D173" s="54"/>
      <c r="E173" s="54"/>
      <c r="F173" s="951"/>
      <c r="G173" s="34"/>
    </row>
    <row r="174" spans="1:27" s="18" customFormat="1" ht="15.75" x14ac:dyDescent="0.25">
      <c r="A174" s="63"/>
      <c r="B174" s="54" t="s">
        <v>1109</v>
      </c>
      <c r="C174" s="54"/>
      <c r="D174" s="54"/>
      <c r="E174" s="54"/>
      <c r="F174" s="54"/>
    </row>
    <row r="175" spans="1:27" s="18" customFormat="1" ht="15.75" x14ac:dyDescent="0.25">
      <c r="A175" s="753"/>
      <c r="B175" s="753"/>
      <c r="C175" s="753"/>
      <c r="D175" s="753"/>
      <c r="E175" s="754"/>
      <c r="F175" s="753"/>
    </row>
    <row r="176" spans="1:27" s="43" customFormat="1" ht="15.75" x14ac:dyDescent="0.2">
      <c r="A176" s="231" t="s">
        <v>1056</v>
      </c>
      <c r="B176" s="42"/>
      <c r="C176" s="42"/>
      <c r="D176" s="42"/>
      <c r="E176" s="1305"/>
      <c r="F176" s="1305"/>
      <c r="G176" s="41"/>
      <c r="H176" s="41"/>
      <c r="I176" s="41"/>
      <c r="J176" s="41"/>
      <c r="K176" s="41"/>
      <c r="L176" s="41"/>
      <c r="M176" s="41"/>
      <c r="N176" s="41"/>
      <c r="O176" s="41"/>
    </row>
    <row r="177" spans="1:27" s="43" customFormat="1" ht="32.65" customHeight="1" x14ac:dyDescent="0.2">
      <c r="B177" s="53" t="s">
        <v>218</v>
      </c>
      <c r="C177" s="42"/>
      <c r="D177" s="44"/>
      <c r="E177" s="1304" t="s">
        <v>416</v>
      </c>
      <c r="F177" s="1304"/>
      <c r="G177" s="41"/>
      <c r="H177" s="41"/>
      <c r="I177" s="41"/>
      <c r="J177" s="41"/>
      <c r="K177" s="41"/>
      <c r="L177" s="41"/>
      <c r="M177" s="41"/>
      <c r="N177" s="41"/>
      <c r="O177" s="41"/>
    </row>
    <row r="178" spans="1:27" s="41" customFormat="1" ht="15.75" x14ac:dyDescent="0.2">
      <c r="B178" s="54" t="s">
        <v>1035</v>
      </c>
      <c r="C178" s="46"/>
      <c r="D178" s="47"/>
      <c r="E178" s="748"/>
      <c r="F178" s="747" t="s">
        <v>1054</v>
      </c>
    </row>
    <row r="179" spans="1:27" s="77" customFormat="1" x14ac:dyDescent="0.2">
      <c r="B179" s="202" t="s">
        <v>1037</v>
      </c>
      <c r="C179" s="202"/>
      <c r="D179" s="202"/>
      <c r="E179" s="489" t="s">
        <v>86</v>
      </c>
    </row>
    <row r="180" spans="1:27" s="43" customFormat="1" ht="15.75" x14ac:dyDescent="0.2">
      <c r="B180" s="53" t="s">
        <v>846</v>
      </c>
      <c r="C180" s="42"/>
      <c r="D180" s="44"/>
      <c r="E180" s="341">
        <f>_xlfn.IFNA(VLOOKUP(E177,'CENOVNI RAZREDI'!$B$114:$I$170,8),"")</f>
        <v>0</v>
      </c>
      <c r="F180" s="54" t="s">
        <v>212</v>
      </c>
      <c r="G180" s="41"/>
      <c r="H180" s="41"/>
      <c r="I180" s="41"/>
      <c r="J180" s="41"/>
      <c r="K180" s="41"/>
      <c r="L180" s="41"/>
      <c r="M180" s="41"/>
      <c r="N180" s="41"/>
      <c r="O180" s="41"/>
    </row>
    <row r="181" spans="1:27" s="41" customFormat="1" ht="15.75" x14ac:dyDescent="0.2">
      <c r="B181" s="54" t="s">
        <v>1034</v>
      </c>
      <c r="C181" s="46"/>
      <c r="D181" s="45"/>
      <c r="E181" s="748"/>
      <c r="F181" s="747" t="s">
        <v>1055</v>
      </c>
      <c r="W181" s="48"/>
      <c r="X181" s="49"/>
      <c r="Y181" s="50"/>
      <c r="Z181" s="49"/>
      <c r="AA181" s="50"/>
    </row>
    <row r="182" spans="1:27" s="41" customFormat="1" ht="15.75" x14ac:dyDescent="0.2">
      <c r="B182" s="54" t="s">
        <v>1033</v>
      </c>
      <c r="C182" s="46"/>
      <c r="D182" s="46"/>
      <c r="E182" s="749">
        <f>E178*E181</f>
        <v>0</v>
      </c>
      <c r="F182" s="750" t="s">
        <v>89</v>
      </c>
      <c r="W182" s="48"/>
    </row>
    <row r="183" spans="1:27" s="497" customFormat="1" ht="11.25" x14ac:dyDescent="0.2">
      <c r="B183" s="519"/>
      <c r="C183" s="519"/>
      <c r="D183" s="518"/>
      <c r="E183" s="516"/>
      <c r="F183" s="517"/>
      <c r="W183" s="529"/>
    </row>
    <row r="184" spans="1:27" s="77" customFormat="1" x14ac:dyDescent="0.2">
      <c r="B184" s="84" t="s">
        <v>732</v>
      </c>
      <c r="C184" s="84"/>
      <c r="D184" s="83"/>
      <c r="E184" s="539">
        <f>'NOTRANJA OPREMA'!F58</f>
        <v>0</v>
      </c>
      <c r="F184" s="384" t="s">
        <v>872</v>
      </c>
    </row>
    <row r="185" spans="1:27" s="77" customFormat="1" x14ac:dyDescent="0.2">
      <c r="B185" s="84" t="s">
        <v>733</v>
      </c>
      <c r="C185" s="84"/>
      <c r="D185" s="83"/>
      <c r="E185" s="539">
        <f>'NOTRANJA OPREMA'!F64</f>
        <v>0</v>
      </c>
      <c r="F185" s="384" t="s">
        <v>872</v>
      </c>
    </row>
    <row r="186" spans="1:27" s="41" customFormat="1" ht="15.75" x14ac:dyDescent="0.2">
      <c r="A186" s="70"/>
      <c r="B186" s="70"/>
      <c r="C186" s="70"/>
      <c r="D186" s="71"/>
      <c r="E186" s="347"/>
      <c r="F186" s="73"/>
      <c r="Y186" s="50"/>
      <c r="Z186" s="49"/>
      <c r="AA186" s="50"/>
    </row>
    <row r="187" spans="1:27" s="43" customFormat="1" ht="15.75" x14ac:dyDescent="0.2">
      <c r="A187" s="231" t="s">
        <v>1057</v>
      </c>
      <c r="B187" s="42"/>
      <c r="C187" s="42"/>
      <c r="D187" s="42"/>
      <c r="E187" s="1306"/>
      <c r="F187" s="1306"/>
      <c r="G187" s="41"/>
      <c r="H187" s="41"/>
      <c r="I187" s="41"/>
      <c r="J187" s="41"/>
      <c r="K187" s="41"/>
      <c r="L187" s="41"/>
      <c r="M187" s="41"/>
      <c r="N187" s="41"/>
      <c r="O187" s="41"/>
    </row>
    <row r="188" spans="1:27" s="43" customFormat="1" ht="30.6" customHeight="1" x14ac:dyDescent="0.2">
      <c r="B188" s="53" t="s">
        <v>218</v>
      </c>
      <c r="C188" s="42"/>
      <c r="D188" s="44"/>
      <c r="E188" s="1304" t="s">
        <v>416</v>
      </c>
      <c r="F188" s="1304"/>
      <c r="G188" s="41"/>
      <c r="H188" s="41"/>
      <c r="I188" s="41"/>
      <c r="J188" s="41"/>
      <c r="K188" s="41"/>
      <c r="L188" s="41"/>
      <c r="M188" s="41"/>
      <c r="N188" s="41"/>
      <c r="O188" s="41"/>
    </row>
    <row r="189" spans="1:27" s="41" customFormat="1" ht="15.75" x14ac:dyDescent="0.2">
      <c r="B189" s="54" t="s">
        <v>1035</v>
      </c>
      <c r="C189" s="46"/>
      <c r="D189" s="47"/>
      <c r="E189" s="748"/>
      <c r="F189" s="747" t="s">
        <v>1054</v>
      </c>
    </row>
    <row r="190" spans="1:27" s="77" customFormat="1" x14ac:dyDescent="0.2">
      <c r="B190" s="202" t="s">
        <v>1037</v>
      </c>
      <c r="C190" s="202"/>
      <c r="D190" s="202"/>
      <c r="E190" s="489" t="s">
        <v>85</v>
      </c>
    </row>
    <row r="191" spans="1:27" s="43" customFormat="1" ht="15.75" x14ac:dyDescent="0.2">
      <c r="B191" s="53" t="s">
        <v>846</v>
      </c>
      <c r="C191" s="42"/>
      <c r="D191" s="44"/>
      <c r="E191" s="341">
        <f>_xlfn.IFNA(VLOOKUP(E188,'CENOVNI RAZREDI'!$B$114:$I$170,8),"")</f>
        <v>0</v>
      </c>
      <c r="F191" s="54" t="s">
        <v>212</v>
      </c>
      <c r="G191" s="41"/>
      <c r="H191" s="41"/>
      <c r="I191" s="41"/>
      <c r="J191" s="41"/>
      <c r="K191" s="41"/>
      <c r="L191" s="41"/>
      <c r="M191" s="41"/>
      <c r="N191" s="41"/>
      <c r="O191" s="41"/>
    </row>
    <row r="192" spans="1:27" s="41" customFormat="1" ht="15.75" x14ac:dyDescent="0.2">
      <c r="B192" s="54" t="s">
        <v>1034</v>
      </c>
      <c r="C192" s="46"/>
      <c r="D192" s="45"/>
      <c r="E192" s="748"/>
      <c r="F192" s="747" t="s">
        <v>1055</v>
      </c>
      <c r="W192" s="48"/>
      <c r="X192" s="49"/>
      <c r="Y192" s="50"/>
      <c r="Z192" s="49"/>
      <c r="AA192" s="50"/>
    </row>
    <row r="193" spans="1:27" s="41" customFormat="1" ht="15.75" x14ac:dyDescent="0.2">
      <c r="B193" s="54" t="s">
        <v>1033</v>
      </c>
      <c r="C193" s="46"/>
      <c r="D193" s="46"/>
      <c r="E193" s="749">
        <f>E189*E192</f>
        <v>0</v>
      </c>
      <c r="F193" s="750" t="s">
        <v>89</v>
      </c>
      <c r="W193" s="48"/>
    </row>
    <row r="194" spans="1:27" s="497" customFormat="1" ht="11.25" x14ac:dyDescent="0.2">
      <c r="B194" s="519"/>
      <c r="C194" s="519"/>
      <c r="D194" s="518"/>
      <c r="E194" s="516"/>
      <c r="F194" s="517"/>
      <c r="W194" s="529"/>
    </row>
    <row r="195" spans="1:27" s="77" customFormat="1" x14ac:dyDescent="0.2">
      <c r="B195" s="84" t="s">
        <v>732</v>
      </c>
      <c r="C195" s="84"/>
      <c r="D195" s="83"/>
      <c r="E195" s="539">
        <f>'NOTRANJA OPREMA'!F84</f>
        <v>0</v>
      </c>
      <c r="F195" s="384" t="s">
        <v>872</v>
      </c>
    </row>
    <row r="196" spans="1:27" s="77" customFormat="1" x14ac:dyDescent="0.2">
      <c r="B196" s="84" t="s">
        <v>733</v>
      </c>
      <c r="C196" s="84"/>
      <c r="D196" s="83"/>
      <c r="E196" s="539">
        <f>'NOTRANJA OPREMA'!F90</f>
        <v>0</v>
      </c>
      <c r="F196" s="384" t="s">
        <v>872</v>
      </c>
    </row>
    <row r="197" spans="1:27" s="41" customFormat="1" ht="15.75" x14ac:dyDescent="0.2">
      <c r="A197" s="70"/>
      <c r="B197" s="70"/>
      <c r="C197" s="70"/>
      <c r="D197" s="71"/>
      <c r="E197" s="347"/>
      <c r="F197" s="73"/>
      <c r="Y197" s="50"/>
      <c r="Z197" s="49"/>
      <c r="AA197" s="50"/>
    </row>
    <row r="198" spans="1:27" s="43" customFormat="1" ht="15.75" x14ac:dyDescent="0.2">
      <c r="A198" s="231" t="s">
        <v>1058</v>
      </c>
      <c r="B198" s="42"/>
      <c r="C198" s="42"/>
      <c r="D198" s="42"/>
      <c r="E198" s="1306"/>
      <c r="F198" s="1306"/>
      <c r="G198" s="41"/>
      <c r="H198" s="41"/>
      <c r="I198" s="41"/>
      <c r="J198" s="41"/>
      <c r="K198" s="41"/>
      <c r="L198" s="41"/>
      <c r="M198" s="41"/>
      <c r="N198" s="41"/>
      <c r="O198" s="41"/>
    </row>
    <row r="199" spans="1:27" s="43" customFormat="1" ht="30.4" customHeight="1" x14ac:dyDescent="0.2">
      <c r="B199" s="53" t="s">
        <v>218</v>
      </c>
      <c r="C199" s="42"/>
      <c r="D199" s="44"/>
      <c r="E199" s="1304" t="s">
        <v>416</v>
      </c>
      <c r="F199" s="1304"/>
      <c r="G199" s="41"/>
      <c r="H199" s="41"/>
      <c r="I199" s="41"/>
      <c r="J199" s="41"/>
      <c r="K199" s="41"/>
      <c r="L199" s="41"/>
      <c r="M199" s="41"/>
      <c r="N199" s="41"/>
      <c r="O199" s="41"/>
    </row>
    <row r="200" spans="1:27" s="41" customFormat="1" ht="15.75" x14ac:dyDescent="0.2">
      <c r="B200" s="54" t="s">
        <v>1035</v>
      </c>
      <c r="C200" s="46"/>
      <c r="D200" s="47"/>
      <c r="E200" s="748">
        <v>0</v>
      </c>
      <c r="F200" s="747" t="s">
        <v>1054</v>
      </c>
    </row>
    <row r="201" spans="1:27" s="77" customFormat="1" x14ac:dyDescent="0.2">
      <c r="B201" s="202" t="s">
        <v>1037</v>
      </c>
      <c r="C201" s="202"/>
      <c r="D201" s="202"/>
      <c r="E201" s="489" t="s">
        <v>85</v>
      </c>
    </row>
    <row r="202" spans="1:27" s="43" customFormat="1" ht="15.75" x14ac:dyDescent="0.2">
      <c r="B202" s="53" t="s">
        <v>846</v>
      </c>
      <c r="C202" s="42"/>
      <c r="D202" s="44"/>
      <c r="E202" s="341">
        <f>_xlfn.IFNA(VLOOKUP(E199,'CENOVNI RAZREDI'!$B$114:$I$170,8),"")</f>
        <v>0</v>
      </c>
      <c r="F202" s="54" t="s">
        <v>212</v>
      </c>
      <c r="G202" s="41"/>
      <c r="H202" s="41"/>
      <c r="I202" s="41"/>
      <c r="J202" s="41"/>
      <c r="K202" s="41"/>
      <c r="L202" s="41"/>
      <c r="M202" s="41"/>
      <c r="N202" s="41"/>
      <c r="O202" s="41"/>
    </row>
    <row r="203" spans="1:27" s="41" customFormat="1" ht="15.75" x14ac:dyDescent="0.2">
      <c r="B203" s="54" t="s">
        <v>1034</v>
      </c>
      <c r="C203" s="46"/>
      <c r="D203" s="45"/>
      <c r="E203" s="748">
        <v>0</v>
      </c>
      <c r="F203" s="747" t="s">
        <v>1055</v>
      </c>
      <c r="W203" s="48"/>
      <c r="X203" s="49"/>
      <c r="Y203" s="50"/>
      <c r="Z203" s="49"/>
      <c r="AA203" s="50"/>
    </row>
    <row r="204" spans="1:27" s="41" customFormat="1" ht="15.75" x14ac:dyDescent="0.2">
      <c r="B204" s="54" t="s">
        <v>1033</v>
      </c>
      <c r="C204" s="46"/>
      <c r="D204" s="46"/>
      <c r="E204" s="749">
        <f>E200*E203</f>
        <v>0</v>
      </c>
      <c r="F204" s="750" t="s">
        <v>89</v>
      </c>
      <c r="W204" s="48"/>
    </row>
    <row r="205" spans="1:27" s="497" customFormat="1" ht="11.25" x14ac:dyDescent="0.2">
      <c r="B205" s="519"/>
      <c r="C205" s="519"/>
      <c r="D205" s="518"/>
      <c r="E205" s="516"/>
      <c r="F205" s="517"/>
      <c r="W205" s="529"/>
    </row>
    <row r="206" spans="1:27" s="77" customFormat="1" x14ac:dyDescent="0.2">
      <c r="B206" s="84" t="s">
        <v>732</v>
      </c>
      <c r="C206" s="84"/>
      <c r="D206" s="83"/>
      <c r="E206" s="539">
        <f>'NOTRANJA OPREMA'!F110</f>
        <v>0</v>
      </c>
      <c r="F206" s="384" t="s">
        <v>872</v>
      </c>
    </row>
    <row r="207" spans="1:27" s="77" customFormat="1" x14ac:dyDescent="0.2">
      <c r="B207" s="84" t="s">
        <v>733</v>
      </c>
      <c r="C207" s="84"/>
      <c r="D207" s="83"/>
      <c r="E207" s="539">
        <f>'NOTRANJA OPREMA'!F116</f>
        <v>0</v>
      </c>
      <c r="F207" s="384" t="s">
        <v>872</v>
      </c>
    </row>
    <row r="208" spans="1:27" s="41" customFormat="1" ht="15.75" x14ac:dyDescent="0.2">
      <c r="A208" s="70"/>
      <c r="B208" s="70"/>
      <c r="C208" s="70"/>
      <c r="D208" s="71"/>
      <c r="E208" s="347"/>
      <c r="F208" s="73"/>
      <c r="Y208" s="50"/>
      <c r="Z208" s="49"/>
      <c r="AA208" s="50"/>
    </row>
    <row r="209" spans="1:27" s="43" customFormat="1" ht="15.75" x14ac:dyDescent="0.2">
      <c r="A209" s="231" t="s">
        <v>1059</v>
      </c>
      <c r="B209" s="42"/>
      <c r="C209" s="42"/>
      <c r="D209" s="42"/>
      <c r="E209" s="1306"/>
      <c r="F209" s="1306"/>
      <c r="G209" s="41"/>
      <c r="H209" s="41"/>
      <c r="I209" s="41"/>
      <c r="J209" s="41"/>
      <c r="K209" s="41"/>
      <c r="L209" s="41"/>
      <c r="M209" s="41"/>
      <c r="N209" s="41"/>
      <c r="O209" s="41"/>
    </row>
    <row r="210" spans="1:27" s="43" customFormat="1" ht="30.4" customHeight="1" x14ac:dyDescent="0.2">
      <c r="B210" s="53" t="s">
        <v>218</v>
      </c>
      <c r="C210" s="42"/>
      <c r="D210" s="44"/>
      <c r="E210" s="1304" t="s">
        <v>416</v>
      </c>
      <c r="F210" s="1304"/>
      <c r="G210" s="41"/>
      <c r="H210" s="41"/>
      <c r="I210" s="41"/>
      <c r="J210" s="41"/>
      <c r="K210" s="41"/>
      <c r="L210" s="41"/>
      <c r="M210" s="41"/>
      <c r="N210" s="41"/>
      <c r="O210" s="41"/>
    </row>
    <row r="211" spans="1:27" s="41" customFormat="1" ht="15.75" x14ac:dyDescent="0.2">
      <c r="B211" s="54" t="s">
        <v>1035</v>
      </c>
      <c r="C211" s="46"/>
      <c r="D211" s="47"/>
      <c r="E211" s="748">
        <v>0</v>
      </c>
      <c r="F211" s="747" t="s">
        <v>1054</v>
      </c>
    </row>
    <row r="212" spans="1:27" s="77" customFormat="1" x14ac:dyDescent="0.2">
      <c r="B212" s="202" t="s">
        <v>1037</v>
      </c>
      <c r="C212" s="202"/>
      <c r="D212" s="202"/>
      <c r="E212" s="489" t="s">
        <v>85</v>
      </c>
    </row>
    <row r="213" spans="1:27" s="43" customFormat="1" ht="15.75" x14ac:dyDescent="0.2">
      <c r="B213" s="53" t="s">
        <v>846</v>
      </c>
      <c r="C213" s="42"/>
      <c r="D213" s="44"/>
      <c r="E213" s="341">
        <f>_xlfn.IFNA(VLOOKUP(E210,'CENOVNI RAZREDI'!$B$114:$I$170,8),"")</f>
        <v>0</v>
      </c>
      <c r="F213" s="54" t="s">
        <v>212</v>
      </c>
      <c r="G213" s="41"/>
      <c r="H213" s="41"/>
      <c r="I213" s="41"/>
      <c r="J213" s="41"/>
      <c r="K213" s="41"/>
      <c r="L213" s="41"/>
      <c r="M213" s="41"/>
      <c r="N213" s="41"/>
      <c r="O213" s="41"/>
    </row>
    <row r="214" spans="1:27" s="41" customFormat="1" ht="15.75" x14ac:dyDescent="0.2">
      <c r="B214" s="54" t="s">
        <v>1034</v>
      </c>
      <c r="C214" s="46"/>
      <c r="D214" s="45"/>
      <c r="E214" s="748">
        <v>0</v>
      </c>
      <c r="F214" s="747" t="s">
        <v>1055</v>
      </c>
      <c r="W214" s="48"/>
      <c r="X214" s="49"/>
      <c r="Y214" s="50"/>
      <c r="Z214" s="49"/>
      <c r="AA214" s="50"/>
    </row>
    <row r="215" spans="1:27" s="41" customFormat="1" ht="15.75" x14ac:dyDescent="0.2">
      <c r="B215" s="54" t="s">
        <v>1033</v>
      </c>
      <c r="C215" s="46"/>
      <c r="D215" s="46"/>
      <c r="E215" s="749">
        <f>E211*E214</f>
        <v>0</v>
      </c>
      <c r="F215" s="750" t="s">
        <v>89</v>
      </c>
      <c r="W215" s="48"/>
    </row>
    <row r="216" spans="1:27" s="497" customFormat="1" ht="11.25" x14ac:dyDescent="0.2">
      <c r="B216" s="519"/>
      <c r="C216" s="519"/>
      <c r="D216" s="518"/>
      <c r="E216" s="516"/>
      <c r="F216" s="517"/>
      <c r="W216" s="529"/>
    </row>
    <row r="217" spans="1:27" s="77" customFormat="1" x14ac:dyDescent="0.2">
      <c r="B217" s="84" t="s">
        <v>732</v>
      </c>
      <c r="C217" s="84"/>
      <c r="D217" s="83"/>
      <c r="E217" s="539">
        <f>'NOTRANJA OPREMA'!F136</f>
        <v>0</v>
      </c>
      <c r="F217" s="384" t="s">
        <v>872</v>
      </c>
    </row>
    <row r="218" spans="1:27" s="77" customFormat="1" x14ac:dyDescent="0.2">
      <c r="B218" s="84" t="s">
        <v>733</v>
      </c>
      <c r="C218" s="84"/>
      <c r="D218" s="83"/>
      <c r="E218" s="539">
        <f>'NOTRANJA OPREMA'!F142</f>
        <v>0</v>
      </c>
      <c r="F218" s="384" t="s">
        <v>872</v>
      </c>
    </row>
    <row r="219" spans="1:27" s="41" customFormat="1" ht="15.75" x14ac:dyDescent="0.2">
      <c r="A219" s="70"/>
      <c r="B219" s="70"/>
      <c r="C219" s="70"/>
      <c r="D219" s="71"/>
      <c r="E219" s="347"/>
      <c r="F219" s="73"/>
      <c r="Y219" s="50"/>
      <c r="Z219" s="49"/>
      <c r="AA219" s="50"/>
    </row>
    <row r="220" spans="1:27" s="43" customFormat="1" ht="15.75" x14ac:dyDescent="0.2">
      <c r="A220" s="231" t="s">
        <v>1060</v>
      </c>
      <c r="B220" s="42"/>
      <c r="C220" s="42"/>
      <c r="D220" s="42"/>
      <c r="E220" s="1306"/>
      <c r="F220" s="1306"/>
      <c r="G220" s="41"/>
      <c r="H220" s="41"/>
      <c r="I220" s="41"/>
      <c r="J220" s="41"/>
      <c r="K220" s="41"/>
      <c r="L220" s="41"/>
      <c r="M220" s="41"/>
      <c r="N220" s="41"/>
      <c r="O220" s="41"/>
    </row>
    <row r="221" spans="1:27" s="43" customFormat="1" ht="30.4" customHeight="1" x14ac:dyDescent="0.2">
      <c r="B221" s="53" t="s">
        <v>218</v>
      </c>
      <c r="C221" s="42"/>
      <c r="D221" s="44"/>
      <c r="E221" s="1304" t="s">
        <v>416</v>
      </c>
      <c r="F221" s="1304"/>
      <c r="G221" s="41"/>
      <c r="H221" s="41"/>
      <c r="I221" s="41"/>
      <c r="J221" s="41"/>
      <c r="K221" s="41"/>
      <c r="L221" s="41"/>
      <c r="M221" s="41"/>
      <c r="N221" s="41"/>
      <c r="O221" s="41"/>
    </row>
    <row r="222" spans="1:27" s="41" customFormat="1" ht="15.75" x14ac:dyDescent="0.2">
      <c r="B222" s="54" t="s">
        <v>1035</v>
      </c>
      <c r="C222" s="46"/>
      <c r="D222" s="47"/>
      <c r="E222" s="748">
        <v>0</v>
      </c>
      <c r="F222" s="747" t="s">
        <v>1054</v>
      </c>
    </row>
    <row r="223" spans="1:27" s="77" customFormat="1" x14ac:dyDescent="0.2">
      <c r="B223" s="202" t="s">
        <v>1037</v>
      </c>
      <c r="C223" s="202"/>
      <c r="D223" s="202"/>
      <c r="E223" s="489" t="s">
        <v>85</v>
      </c>
    </row>
    <row r="224" spans="1:27" s="43" customFormat="1" ht="15.75" x14ac:dyDescent="0.2">
      <c r="B224" s="53" t="s">
        <v>846</v>
      </c>
      <c r="C224" s="42"/>
      <c r="D224" s="44"/>
      <c r="E224" s="341">
        <f>_xlfn.IFNA(VLOOKUP(E221,'CENOVNI RAZREDI'!$B$114:$I$170,8),"")</f>
        <v>0</v>
      </c>
      <c r="F224" s="54" t="s">
        <v>212</v>
      </c>
      <c r="G224" s="41"/>
      <c r="H224" s="41"/>
      <c r="I224" s="41"/>
      <c r="J224" s="41"/>
      <c r="K224" s="41"/>
      <c r="L224" s="41"/>
      <c r="M224" s="41"/>
      <c r="N224" s="41"/>
      <c r="O224" s="41"/>
    </row>
    <row r="225" spans="1:27" s="41" customFormat="1" ht="15.75" x14ac:dyDescent="0.2">
      <c r="B225" s="54" t="s">
        <v>1034</v>
      </c>
      <c r="C225" s="46"/>
      <c r="D225" s="45"/>
      <c r="E225" s="748">
        <v>0</v>
      </c>
      <c r="F225" s="747" t="s">
        <v>1055</v>
      </c>
      <c r="W225" s="48"/>
      <c r="X225" s="49"/>
      <c r="Y225" s="50"/>
      <c r="Z225" s="49"/>
      <c r="AA225" s="50"/>
    </row>
    <row r="226" spans="1:27" s="41" customFormat="1" ht="15.75" x14ac:dyDescent="0.2">
      <c r="B226" s="54" t="s">
        <v>1033</v>
      </c>
      <c r="C226" s="46"/>
      <c r="D226" s="46"/>
      <c r="E226" s="749">
        <f>E222*E225</f>
        <v>0</v>
      </c>
      <c r="F226" s="750" t="s">
        <v>89</v>
      </c>
      <c r="W226" s="48"/>
    </row>
    <row r="227" spans="1:27" s="497" customFormat="1" ht="11.25" x14ac:dyDescent="0.2">
      <c r="B227" s="519"/>
      <c r="C227" s="519"/>
      <c r="D227" s="518"/>
      <c r="E227" s="516"/>
      <c r="F227" s="517"/>
      <c r="W227" s="529"/>
    </row>
    <row r="228" spans="1:27" s="77" customFormat="1" x14ac:dyDescent="0.2">
      <c r="B228" s="84" t="s">
        <v>732</v>
      </c>
      <c r="C228" s="84"/>
      <c r="D228" s="83"/>
      <c r="E228" s="539">
        <f>'NOTRANJA OPREMA'!F162</f>
        <v>0</v>
      </c>
      <c r="F228" s="384" t="s">
        <v>872</v>
      </c>
    </row>
    <row r="229" spans="1:27" s="77" customFormat="1" x14ac:dyDescent="0.2">
      <c r="B229" s="84" t="s">
        <v>733</v>
      </c>
      <c r="C229" s="84"/>
      <c r="D229" s="83"/>
      <c r="E229" s="539">
        <f>'NOTRANJA OPREMA'!F168</f>
        <v>0</v>
      </c>
      <c r="F229" s="384" t="s">
        <v>872</v>
      </c>
    </row>
    <row r="230" spans="1:27" s="41" customFormat="1" ht="16.5" thickBot="1" x14ac:dyDescent="0.25">
      <c r="A230" s="67"/>
      <c r="B230" s="67"/>
      <c r="C230" s="67"/>
      <c r="D230" s="68"/>
      <c r="E230" s="344"/>
      <c r="F230" s="69"/>
      <c r="Y230" s="50"/>
      <c r="Z230" s="49"/>
      <c r="AA230" s="50"/>
    </row>
    <row r="231" spans="1:27" s="18" customFormat="1" ht="15.75" x14ac:dyDescent="0.25">
      <c r="A231" s="228" t="s">
        <v>217</v>
      </c>
      <c r="B231" s="228"/>
      <c r="C231" s="228"/>
      <c r="D231" s="228"/>
      <c r="E231" s="339"/>
      <c r="F231" s="228"/>
    </row>
    <row r="232" spans="1:27" s="18" customFormat="1" ht="15.75" x14ac:dyDescent="0.25">
      <c r="A232" s="63"/>
      <c r="B232" s="63"/>
      <c r="C232" s="63"/>
      <c r="D232" s="63"/>
      <c r="E232" s="340"/>
      <c r="F232" s="63"/>
    </row>
    <row r="233" spans="1:27" s="18" customFormat="1" ht="15.75" x14ac:dyDescent="0.25">
      <c r="A233" s="63"/>
      <c r="B233" s="54" t="s">
        <v>947</v>
      </c>
      <c r="C233" s="54"/>
      <c r="D233" s="54"/>
      <c r="E233" s="54"/>
      <c r="F233" s="953"/>
      <c r="H233" s="1264">
        <v>1</v>
      </c>
    </row>
    <row r="234" spans="1:27" s="18" customFormat="1" ht="15.75" x14ac:dyDescent="0.25">
      <c r="A234" s="63"/>
      <c r="B234" s="54" t="s">
        <v>948</v>
      </c>
      <c r="C234" s="54"/>
      <c r="D234" s="54"/>
      <c r="E234" s="54"/>
      <c r="F234" s="951"/>
      <c r="G234" s="34"/>
    </row>
    <row r="235" spans="1:27" s="18" customFormat="1" ht="15.75" x14ac:dyDescent="0.25">
      <c r="A235" s="753"/>
      <c r="B235" s="753"/>
      <c r="C235" s="753"/>
      <c r="D235" s="753"/>
      <c r="E235" s="754"/>
      <c r="F235" s="753"/>
    </row>
    <row r="236" spans="1:27" s="43" customFormat="1" ht="15.75" x14ac:dyDescent="0.2">
      <c r="A236" s="231" t="s">
        <v>920</v>
      </c>
      <c r="B236" s="42"/>
      <c r="C236" s="42"/>
      <c r="D236" s="42"/>
      <c r="E236" s="952"/>
      <c r="F236" s="65"/>
      <c r="G236" s="41"/>
      <c r="H236" s="41"/>
      <c r="I236" s="41"/>
      <c r="J236" s="41"/>
      <c r="K236" s="41"/>
      <c r="L236" s="41"/>
      <c r="M236" s="41"/>
      <c r="N236" s="41"/>
      <c r="O236" s="41"/>
    </row>
    <row r="237" spans="1:27" s="43" customFormat="1" ht="51" x14ac:dyDescent="0.2">
      <c r="B237" s="53" t="s">
        <v>186</v>
      </c>
      <c r="C237" s="42"/>
      <c r="D237" s="44"/>
      <c r="E237" s="1293" t="s">
        <v>811</v>
      </c>
      <c r="F237" s="45"/>
      <c r="G237" s="41"/>
      <c r="H237" s="41"/>
      <c r="I237" s="41"/>
      <c r="J237" s="41"/>
      <c r="K237" s="41"/>
      <c r="L237" s="41"/>
      <c r="M237" s="41"/>
      <c r="N237" s="41"/>
      <c r="O237" s="41"/>
    </row>
    <row r="238" spans="1:27" s="41" customFormat="1" ht="15.75" x14ac:dyDescent="0.2">
      <c r="B238" s="54" t="s">
        <v>187</v>
      </c>
      <c r="C238" s="46"/>
      <c r="D238" s="47"/>
      <c r="E238" s="489">
        <v>1000</v>
      </c>
      <c r="F238" s="54" t="s">
        <v>211</v>
      </c>
    </row>
    <row r="239" spans="1:27" s="77" customFormat="1" x14ac:dyDescent="0.2">
      <c r="B239" s="202" t="s">
        <v>925</v>
      </c>
      <c r="C239" s="202"/>
      <c r="D239" s="202"/>
      <c r="E239" s="489" t="s">
        <v>85</v>
      </c>
    </row>
    <row r="240" spans="1:27" s="493" customFormat="1" ht="11.25" x14ac:dyDescent="0.2">
      <c r="B240" s="490"/>
      <c r="C240" s="490"/>
      <c r="D240" s="490"/>
      <c r="E240" s="490"/>
      <c r="F240" s="490"/>
    </row>
    <row r="241" spans="1:27" s="77" customFormat="1" x14ac:dyDescent="0.2">
      <c r="B241" s="580" t="s">
        <v>878</v>
      </c>
      <c r="C241" s="202"/>
      <c r="D241" s="491"/>
      <c r="E241" s="643">
        <f>_xlfn.IFNA(VLOOKUP(E237,'CENOVNI RAZREDI'!$B$184:$K$242,10,FALSE),"")</f>
        <v>-10</v>
      </c>
      <c r="F241" s="499"/>
    </row>
    <row r="242" spans="1:27" s="77" customFormat="1" x14ac:dyDescent="0.2">
      <c r="B242" s="520" t="s">
        <v>888</v>
      </c>
      <c r="C242" s="520"/>
      <c r="D242" s="542"/>
      <c r="E242" s="492"/>
      <c r="F242" s="388"/>
    </row>
    <row r="243" spans="1:27" s="587" customFormat="1" ht="12" x14ac:dyDescent="0.2">
      <c r="A243" s="493"/>
      <c r="B243" s="543" t="s">
        <v>926</v>
      </c>
      <c r="C243" s="585"/>
      <c r="D243" s="544"/>
      <c r="E243" s="545" t="str">
        <f>_xlfn.IFNA(CONCATENATE(VLOOKUP(E237,'CENOVNI RAZREDI'!$B$184:$J$242,8,FALSE)," - ",VLOOKUP(E237,'CENOVNI RAZREDI'!$B$184:$J$242,9,FALSE)),"")</f>
        <v>78 - 156</v>
      </c>
      <c r="F243" s="546" t="s">
        <v>889</v>
      </c>
      <c r="G243" s="586"/>
      <c r="H243" s="586"/>
      <c r="I243" s="586"/>
      <c r="J243" s="586"/>
      <c r="K243" s="586"/>
      <c r="L243" s="586"/>
      <c r="M243" s="586"/>
      <c r="N243" s="586"/>
      <c r="O243" s="586"/>
    </row>
    <row r="244" spans="1:27" s="586" customFormat="1" ht="12" x14ac:dyDescent="0.2">
      <c r="A244" s="493"/>
      <c r="B244" s="546" t="s">
        <v>927</v>
      </c>
      <c r="C244" s="547"/>
      <c r="D244" s="546"/>
      <c r="E244" s="588">
        <v>0</v>
      </c>
      <c r="F244" s="546" t="s">
        <v>889</v>
      </c>
      <c r="W244" s="553"/>
      <c r="X244" s="589"/>
      <c r="Y244" s="590"/>
      <c r="Z244" s="589"/>
      <c r="AA244" s="590"/>
    </row>
    <row r="245" spans="1:27" s="586" customFormat="1" ht="11.25" x14ac:dyDescent="0.2">
      <c r="A245" s="493"/>
      <c r="B245" s="546" t="s">
        <v>887</v>
      </c>
      <c r="C245" s="547"/>
      <c r="D245" s="547"/>
      <c r="E245" s="591">
        <f>E238*E244</f>
        <v>0</v>
      </c>
      <c r="F245" s="549" t="s">
        <v>89</v>
      </c>
      <c r="W245" s="553"/>
    </row>
    <row r="246" spans="1:27" s="582" customFormat="1" ht="11.25" x14ac:dyDescent="0.2">
      <c r="A246" s="493"/>
      <c r="B246" s="562" t="s">
        <v>62</v>
      </c>
      <c r="D246" s="954">
        <v>0</v>
      </c>
      <c r="E246" s="564">
        <f>D246*E245</f>
        <v>0</v>
      </c>
      <c r="F246" s="565" t="s">
        <v>89</v>
      </c>
      <c r="W246" s="583"/>
    </row>
    <row r="247" spans="1:27" s="582" customFormat="1" ht="11.25" x14ac:dyDescent="0.2">
      <c r="B247" s="562" t="s">
        <v>64</v>
      </c>
      <c r="D247" s="954">
        <v>0</v>
      </c>
      <c r="E247" s="564">
        <f>D247*E245</f>
        <v>0</v>
      </c>
      <c r="F247" s="565" t="s">
        <v>89</v>
      </c>
      <c r="Y247" s="583"/>
      <c r="Z247" s="584"/>
      <c r="AA247" s="583"/>
    </row>
    <row r="248" spans="1:27" s="582" customFormat="1" ht="11.25" x14ac:dyDescent="0.2">
      <c r="B248" s="562" t="s">
        <v>63</v>
      </c>
      <c r="D248" s="954">
        <v>0</v>
      </c>
      <c r="E248" s="564">
        <f>D248*E245</f>
        <v>0</v>
      </c>
      <c r="F248" s="565" t="s">
        <v>89</v>
      </c>
      <c r="W248" s="583"/>
    </row>
    <row r="249" spans="1:27" s="582" customFormat="1" ht="11.25" x14ac:dyDescent="0.2">
      <c r="B249" s="566" t="s">
        <v>365</v>
      </c>
      <c r="C249" s="594"/>
      <c r="D249" s="955">
        <v>0</v>
      </c>
      <c r="E249" s="595">
        <f>D249*E245</f>
        <v>0</v>
      </c>
      <c r="F249" s="567" t="s">
        <v>89</v>
      </c>
      <c r="W249" s="583"/>
    </row>
    <row r="250" spans="1:27" s="497" customFormat="1" ht="11.25" x14ac:dyDescent="0.2">
      <c r="B250" s="519"/>
      <c r="C250" s="519"/>
      <c r="D250" s="519"/>
      <c r="E250" s="519"/>
      <c r="F250" s="519"/>
      <c r="W250" s="529"/>
    </row>
    <row r="251" spans="1:27" s="77" customFormat="1" x14ac:dyDescent="0.2">
      <c r="B251" s="84" t="s">
        <v>732</v>
      </c>
      <c r="C251" s="84"/>
      <c r="D251" s="83"/>
      <c r="E251" s="539">
        <f>'ODPRTI PROSTOR'!C24</f>
        <v>200</v>
      </c>
      <c r="F251" s="384" t="s">
        <v>872</v>
      </c>
    </row>
    <row r="252" spans="1:27" s="77" customFormat="1" x14ac:dyDescent="0.2">
      <c r="B252" s="84" t="s">
        <v>733</v>
      </c>
      <c r="C252" s="84"/>
      <c r="D252" s="83"/>
      <c r="E252" s="539">
        <f>'ODPRTI PROSTOR'!C25</f>
        <v>241</v>
      </c>
      <c r="F252" s="384" t="s">
        <v>872</v>
      </c>
    </row>
    <row r="253" spans="1:27" s="41" customFormat="1" ht="15.75" x14ac:dyDescent="0.2">
      <c r="A253" s="55"/>
      <c r="B253" s="187"/>
      <c r="C253" s="187"/>
      <c r="D253" s="187"/>
      <c r="E253" s="345"/>
      <c r="F253" s="72"/>
      <c r="W253" s="48"/>
    </row>
    <row r="254" spans="1:27" s="43" customFormat="1" ht="15.75" x14ac:dyDescent="0.2">
      <c r="A254" s="231" t="s">
        <v>921</v>
      </c>
      <c r="B254" s="42"/>
      <c r="C254" s="42"/>
      <c r="D254" s="42"/>
      <c r="E254" s="952"/>
      <c r="F254" s="65"/>
      <c r="G254" s="41"/>
      <c r="H254" s="41"/>
      <c r="I254" s="41"/>
      <c r="J254" s="41"/>
      <c r="K254" s="41"/>
      <c r="L254" s="41"/>
      <c r="M254" s="41"/>
      <c r="N254" s="41"/>
      <c r="O254" s="41"/>
    </row>
    <row r="255" spans="1:27" s="43" customFormat="1" ht="51" x14ac:dyDescent="0.2">
      <c r="B255" s="53" t="s">
        <v>186</v>
      </c>
      <c r="C255" s="42"/>
      <c r="D255" s="44"/>
      <c r="E255" s="1293" t="s">
        <v>811</v>
      </c>
      <c r="F255" s="45"/>
      <c r="G255" s="41"/>
      <c r="H255" s="41"/>
      <c r="I255" s="41"/>
      <c r="J255" s="41"/>
      <c r="K255" s="41"/>
      <c r="L255" s="41"/>
      <c r="M255" s="41"/>
      <c r="N255" s="41"/>
      <c r="O255" s="41"/>
    </row>
    <row r="256" spans="1:27" s="41" customFormat="1" ht="15.75" x14ac:dyDescent="0.2">
      <c r="B256" s="54" t="s">
        <v>187</v>
      </c>
      <c r="C256" s="46"/>
      <c r="D256" s="47"/>
      <c r="E256" s="489"/>
      <c r="F256" s="54" t="s">
        <v>211</v>
      </c>
    </row>
    <row r="257" spans="1:27" s="77" customFormat="1" x14ac:dyDescent="0.2">
      <c r="A257" s="493"/>
      <c r="B257" s="202" t="s">
        <v>925</v>
      </c>
      <c r="C257" s="202"/>
      <c r="D257" s="202"/>
      <c r="E257" s="489" t="s">
        <v>85</v>
      </c>
    </row>
    <row r="258" spans="1:27" s="493" customFormat="1" ht="11.25" x14ac:dyDescent="0.2">
      <c r="B258" s="490"/>
      <c r="C258" s="490"/>
      <c r="D258" s="490"/>
      <c r="E258" s="490"/>
      <c r="F258" s="490"/>
    </row>
    <row r="259" spans="1:27" s="77" customFormat="1" x14ac:dyDescent="0.2">
      <c r="B259" s="580" t="s">
        <v>878</v>
      </c>
      <c r="C259" s="202"/>
      <c r="D259" s="491"/>
      <c r="E259" s="643">
        <f>_xlfn.IFNA(VLOOKUP(E255,'CENOVNI RAZREDI'!$B$184:$K$242,10,FALSE),"")</f>
        <v>-10</v>
      </c>
      <c r="F259" s="499"/>
    </row>
    <row r="260" spans="1:27" s="77" customFormat="1" x14ac:dyDescent="0.2">
      <c r="A260" s="493"/>
      <c r="B260" s="520" t="s">
        <v>888</v>
      </c>
      <c r="C260" s="520"/>
      <c r="D260" s="542"/>
      <c r="E260" s="542"/>
      <c r="F260" s="388"/>
    </row>
    <row r="261" spans="1:27" s="587" customFormat="1" ht="12" x14ac:dyDescent="0.2">
      <c r="A261" s="493"/>
      <c r="B261" s="543" t="s">
        <v>926</v>
      </c>
      <c r="C261" s="585"/>
      <c r="D261" s="544"/>
      <c r="E261" s="545" t="str">
        <f>_xlfn.IFNA(CONCATENATE(VLOOKUP(E255,'CENOVNI RAZREDI'!$B$184:$J$242,8,FALSE)," - ",VLOOKUP(E255,'CENOVNI RAZREDI'!$B$184:$J$242,9,FALSE)),"")</f>
        <v>78 - 156</v>
      </c>
      <c r="F261" s="546" t="s">
        <v>889</v>
      </c>
      <c r="G261" s="586"/>
      <c r="H261" s="586"/>
      <c r="I261" s="586"/>
      <c r="J261" s="586"/>
      <c r="K261" s="586"/>
      <c r="L261" s="586"/>
      <c r="M261" s="586"/>
      <c r="N261" s="586"/>
      <c r="O261" s="586"/>
    </row>
    <row r="262" spans="1:27" s="586" customFormat="1" ht="12" x14ac:dyDescent="0.2">
      <c r="A262" s="493"/>
      <c r="B262" s="546" t="s">
        <v>927</v>
      </c>
      <c r="C262" s="547"/>
      <c r="D262" s="546"/>
      <c r="E262" s="588">
        <v>0</v>
      </c>
      <c r="F262" s="546" t="s">
        <v>889</v>
      </c>
      <c r="W262" s="553"/>
      <c r="X262" s="589"/>
      <c r="Y262" s="590"/>
      <c r="Z262" s="589"/>
      <c r="AA262" s="590"/>
    </row>
    <row r="263" spans="1:27" s="586" customFormat="1" ht="11.25" x14ac:dyDescent="0.2">
      <c r="A263" s="493"/>
      <c r="B263" s="546" t="s">
        <v>887</v>
      </c>
      <c r="C263" s="547"/>
      <c r="D263" s="547"/>
      <c r="E263" s="591">
        <f>E256*E262</f>
        <v>0</v>
      </c>
      <c r="F263" s="549" t="s">
        <v>89</v>
      </c>
      <c r="W263" s="553"/>
    </row>
    <row r="264" spans="1:27" s="586" customFormat="1" ht="11.25" x14ac:dyDescent="0.2">
      <c r="A264" s="493"/>
      <c r="B264" s="562" t="s">
        <v>62</v>
      </c>
      <c r="D264" s="956">
        <v>0</v>
      </c>
      <c r="E264" s="552">
        <f>D264*E263</f>
        <v>0</v>
      </c>
      <c r="F264" s="553" t="s">
        <v>89</v>
      </c>
      <c r="W264" s="590"/>
    </row>
    <row r="265" spans="1:27" s="586" customFormat="1" ht="11.25" x14ac:dyDescent="0.2">
      <c r="B265" s="562" t="s">
        <v>64</v>
      </c>
      <c r="D265" s="956">
        <v>0</v>
      </c>
      <c r="E265" s="552">
        <f>D265*E263</f>
        <v>0</v>
      </c>
      <c r="F265" s="553" t="s">
        <v>89</v>
      </c>
      <c r="Y265" s="590"/>
      <c r="Z265" s="589"/>
      <c r="AA265" s="590"/>
    </row>
    <row r="266" spans="1:27" s="586" customFormat="1" ht="11.25" x14ac:dyDescent="0.2">
      <c r="B266" s="562" t="s">
        <v>63</v>
      </c>
      <c r="D266" s="956">
        <v>0</v>
      </c>
      <c r="E266" s="552">
        <f>D266*E263</f>
        <v>0</v>
      </c>
      <c r="F266" s="553" t="s">
        <v>89</v>
      </c>
      <c r="W266" s="590"/>
    </row>
    <row r="267" spans="1:27" s="586" customFormat="1" ht="11.25" x14ac:dyDescent="0.2">
      <c r="B267" s="566" t="s">
        <v>365</v>
      </c>
      <c r="C267" s="543"/>
      <c r="D267" s="957">
        <v>0</v>
      </c>
      <c r="E267" s="556">
        <f>D267*E263</f>
        <v>0</v>
      </c>
      <c r="F267" s="557" t="s">
        <v>89</v>
      </c>
      <c r="W267" s="590"/>
    </row>
    <row r="268" spans="1:27" s="497" customFormat="1" ht="11.25" x14ac:dyDescent="0.2">
      <c r="B268" s="519"/>
      <c r="C268" s="519"/>
      <c r="D268" s="518"/>
      <c r="E268" s="516"/>
      <c r="F268" s="517"/>
      <c r="W268" s="529"/>
    </row>
    <row r="269" spans="1:27" s="77" customFormat="1" x14ac:dyDescent="0.2">
      <c r="B269" s="84" t="s">
        <v>732</v>
      </c>
      <c r="C269" s="84"/>
      <c r="D269" s="83"/>
      <c r="E269" s="539">
        <f>'ODPRTI PROSTOR'!C43</f>
        <v>0</v>
      </c>
      <c r="F269" s="384" t="s">
        <v>872</v>
      </c>
    </row>
    <row r="270" spans="1:27" s="77" customFormat="1" x14ac:dyDescent="0.2">
      <c r="B270" s="84" t="s">
        <v>733</v>
      </c>
      <c r="C270" s="84"/>
      <c r="D270" s="83"/>
      <c r="E270" s="539">
        <f>'ODPRTI PROSTOR'!C44</f>
        <v>0</v>
      </c>
      <c r="F270" s="384" t="s">
        <v>872</v>
      </c>
    </row>
    <row r="271" spans="1:27" s="41" customFormat="1" ht="15.75" x14ac:dyDescent="0.2">
      <c r="A271" s="55"/>
      <c r="B271" s="187"/>
      <c r="C271" s="187"/>
      <c r="D271" s="187"/>
      <c r="E271" s="345"/>
      <c r="F271" s="72"/>
      <c r="W271" s="48"/>
    </row>
    <row r="272" spans="1:27" s="43" customFormat="1" ht="15.75" x14ac:dyDescent="0.2">
      <c r="A272" s="231" t="s">
        <v>922</v>
      </c>
      <c r="B272" s="42"/>
      <c r="C272" s="42"/>
      <c r="D272" s="42"/>
      <c r="E272" s="952"/>
      <c r="F272" s="65"/>
      <c r="G272" s="41"/>
      <c r="H272" s="41"/>
      <c r="I272" s="41"/>
      <c r="J272" s="41"/>
      <c r="K272" s="41"/>
      <c r="L272" s="41"/>
      <c r="M272" s="41"/>
      <c r="N272" s="41"/>
      <c r="O272" s="41"/>
    </row>
    <row r="273" spans="1:27" s="43" customFormat="1" ht="51" x14ac:dyDescent="0.2">
      <c r="B273" s="53" t="s">
        <v>186</v>
      </c>
      <c r="C273" s="42"/>
      <c r="D273" s="44"/>
      <c r="E273" s="1293" t="s">
        <v>811</v>
      </c>
      <c r="F273" s="45"/>
      <c r="G273" s="41"/>
      <c r="H273" s="41"/>
      <c r="I273" s="41"/>
      <c r="J273" s="41"/>
      <c r="K273" s="41"/>
      <c r="L273" s="41"/>
      <c r="M273" s="41"/>
      <c r="N273" s="41"/>
      <c r="O273" s="41"/>
    </row>
    <row r="274" spans="1:27" s="41" customFormat="1" ht="15.75" x14ac:dyDescent="0.2">
      <c r="B274" s="54" t="s">
        <v>91</v>
      </c>
      <c r="C274" s="46"/>
      <c r="D274" s="47"/>
      <c r="E274" s="489"/>
      <c r="F274" s="54" t="s">
        <v>211</v>
      </c>
    </row>
    <row r="275" spans="1:27" s="77" customFormat="1" x14ac:dyDescent="0.2">
      <c r="A275" s="493"/>
      <c r="B275" s="202" t="s">
        <v>925</v>
      </c>
      <c r="C275" s="202"/>
      <c r="D275" s="202"/>
      <c r="E275" s="489" t="s">
        <v>85</v>
      </c>
    </row>
    <row r="276" spans="1:27" s="493" customFormat="1" ht="11.25" x14ac:dyDescent="0.2">
      <c r="B276" s="490"/>
      <c r="C276" s="490"/>
      <c r="D276" s="490"/>
      <c r="E276" s="490"/>
      <c r="F276" s="490"/>
    </row>
    <row r="277" spans="1:27" s="77" customFormat="1" x14ac:dyDescent="0.2">
      <c r="B277" s="580" t="s">
        <v>878</v>
      </c>
      <c r="C277" s="202"/>
      <c r="D277" s="491"/>
      <c r="E277" s="643">
        <f>_xlfn.IFNA(VLOOKUP(E273,'CENOVNI RAZREDI'!$B$184:$K$242,10,FALSE),"")</f>
        <v>-10</v>
      </c>
      <c r="F277" s="499"/>
    </row>
    <row r="278" spans="1:27" s="77" customFormat="1" x14ac:dyDescent="0.2">
      <c r="A278" s="493"/>
      <c r="B278" s="520" t="s">
        <v>888</v>
      </c>
      <c r="C278" s="520"/>
      <c r="D278" s="542"/>
      <c r="E278" s="542"/>
      <c r="F278" s="388"/>
    </row>
    <row r="279" spans="1:27" s="587" customFormat="1" ht="12" x14ac:dyDescent="0.2">
      <c r="A279" s="593"/>
      <c r="B279" s="543" t="s">
        <v>926</v>
      </c>
      <c r="C279" s="585"/>
      <c r="D279" s="544"/>
      <c r="E279" s="545" t="str">
        <f>_xlfn.IFNA(CONCATENATE(VLOOKUP(E273,'CENOVNI RAZREDI'!$B$184:$J$242,8,FALSE)," - ",VLOOKUP(E273,'CENOVNI RAZREDI'!$B$184:$J$242,9,FALSE)),"")</f>
        <v>78 - 156</v>
      </c>
      <c r="F279" s="546" t="s">
        <v>889</v>
      </c>
      <c r="G279" s="586"/>
      <c r="H279" s="586"/>
      <c r="I279" s="586"/>
      <c r="J279" s="586"/>
      <c r="K279" s="586"/>
      <c r="L279" s="586"/>
      <c r="M279" s="586"/>
      <c r="N279" s="586"/>
      <c r="O279" s="586"/>
    </row>
    <row r="280" spans="1:27" s="586" customFormat="1" ht="12" x14ac:dyDescent="0.2">
      <c r="A280" s="593"/>
      <c r="B280" s="546" t="s">
        <v>927</v>
      </c>
      <c r="C280" s="547"/>
      <c r="D280" s="546"/>
      <c r="E280" s="588">
        <v>0</v>
      </c>
      <c r="F280" s="546" t="s">
        <v>889</v>
      </c>
      <c r="W280" s="553"/>
      <c r="X280" s="589"/>
      <c r="Y280" s="590"/>
      <c r="Z280" s="589"/>
      <c r="AA280" s="590"/>
    </row>
    <row r="281" spans="1:27" s="586" customFormat="1" ht="11.25" x14ac:dyDescent="0.2">
      <c r="A281" s="593"/>
      <c r="B281" s="546" t="s">
        <v>887</v>
      </c>
      <c r="C281" s="547"/>
      <c r="D281" s="547"/>
      <c r="E281" s="592">
        <f>E274*E280</f>
        <v>0</v>
      </c>
      <c r="F281" s="549" t="s">
        <v>89</v>
      </c>
      <c r="W281" s="553"/>
    </row>
    <row r="282" spans="1:27" s="586" customFormat="1" ht="11.25" x14ac:dyDescent="0.2">
      <c r="A282" s="593"/>
      <c r="B282" s="562" t="s">
        <v>62</v>
      </c>
      <c r="D282" s="956">
        <v>0</v>
      </c>
      <c r="E282" s="552">
        <f>D282*E281</f>
        <v>0</v>
      </c>
      <c r="F282" s="553" t="s">
        <v>89</v>
      </c>
      <c r="W282" s="590"/>
    </row>
    <row r="283" spans="1:27" s="586" customFormat="1" ht="11.25" x14ac:dyDescent="0.2">
      <c r="B283" s="562" t="s">
        <v>64</v>
      </c>
      <c r="D283" s="956">
        <v>0</v>
      </c>
      <c r="E283" s="552">
        <f>D283*E281</f>
        <v>0</v>
      </c>
      <c r="F283" s="553" t="s">
        <v>89</v>
      </c>
      <c r="Y283" s="590"/>
      <c r="Z283" s="589"/>
      <c r="AA283" s="590"/>
    </row>
    <row r="284" spans="1:27" s="586" customFormat="1" ht="11.25" x14ac:dyDescent="0.2">
      <c r="B284" s="562" t="s">
        <v>63</v>
      </c>
      <c r="D284" s="956">
        <v>0</v>
      </c>
      <c r="E284" s="552">
        <f>D284*E281</f>
        <v>0</v>
      </c>
      <c r="F284" s="553" t="s">
        <v>89</v>
      </c>
      <c r="W284" s="590"/>
    </row>
    <row r="285" spans="1:27" s="586" customFormat="1" ht="11.25" x14ac:dyDescent="0.2">
      <c r="B285" s="566" t="s">
        <v>365</v>
      </c>
      <c r="C285" s="543"/>
      <c r="D285" s="957">
        <v>0</v>
      </c>
      <c r="E285" s="556">
        <f>D285*E281</f>
        <v>0</v>
      </c>
      <c r="F285" s="557" t="s">
        <v>89</v>
      </c>
      <c r="W285" s="590"/>
    </row>
    <row r="286" spans="1:27" s="497" customFormat="1" ht="11.25" x14ac:dyDescent="0.2">
      <c r="B286" s="519"/>
      <c r="C286" s="519"/>
      <c r="D286" s="518"/>
      <c r="E286" s="516"/>
      <c r="F286" s="517"/>
      <c r="W286" s="529"/>
    </row>
    <row r="287" spans="1:27" s="77" customFormat="1" x14ac:dyDescent="0.2">
      <c r="B287" s="84" t="s">
        <v>732</v>
      </c>
      <c r="C287" s="84"/>
      <c r="D287" s="83"/>
      <c r="E287" s="539">
        <f>'ODPRTI PROSTOR'!C62</f>
        <v>0</v>
      </c>
      <c r="F287" s="384" t="s">
        <v>872</v>
      </c>
    </row>
    <row r="288" spans="1:27" s="77" customFormat="1" x14ac:dyDescent="0.2">
      <c r="B288" s="84" t="s">
        <v>733</v>
      </c>
      <c r="C288" s="84"/>
      <c r="D288" s="83"/>
      <c r="E288" s="539">
        <f>'ODPRTI PROSTOR'!C63</f>
        <v>0</v>
      </c>
      <c r="F288" s="384" t="s">
        <v>872</v>
      </c>
    </row>
    <row r="289" spans="1:27" s="41" customFormat="1" ht="15.75" x14ac:dyDescent="0.2">
      <c r="A289" s="55"/>
      <c r="B289" s="187"/>
      <c r="C289" s="187"/>
      <c r="D289" s="187"/>
      <c r="E289" s="345"/>
      <c r="F289" s="72"/>
      <c r="W289" s="48"/>
    </row>
    <row r="290" spans="1:27" s="43" customFormat="1" ht="15.75" x14ac:dyDescent="0.2">
      <c r="A290" s="231" t="s">
        <v>923</v>
      </c>
      <c r="B290" s="42"/>
      <c r="C290" s="42"/>
      <c r="D290" s="42"/>
      <c r="E290" s="952"/>
      <c r="F290" s="65"/>
      <c r="G290" s="41"/>
      <c r="H290" s="41"/>
      <c r="I290" s="41"/>
      <c r="J290" s="41"/>
      <c r="K290" s="41"/>
      <c r="L290" s="41"/>
      <c r="M290" s="41"/>
      <c r="N290" s="41"/>
      <c r="O290" s="41"/>
    </row>
    <row r="291" spans="1:27" s="43" customFormat="1" ht="51" x14ac:dyDescent="0.2">
      <c r="B291" s="53" t="s">
        <v>186</v>
      </c>
      <c r="C291" s="42"/>
      <c r="D291" s="44"/>
      <c r="E291" s="1293" t="s">
        <v>811</v>
      </c>
      <c r="F291" s="45"/>
      <c r="G291" s="41"/>
      <c r="H291" s="41"/>
      <c r="I291" s="41"/>
      <c r="J291" s="41"/>
      <c r="K291" s="41"/>
      <c r="L291" s="41"/>
      <c r="M291" s="41"/>
      <c r="N291" s="41"/>
      <c r="O291" s="41"/>
    </row>
    <row r="292" spans="1:27" s="41" customFormat="1" ht="15.75" x14ac:dyDescent="0.2">
      <c r="B292" s="54" t="s">
        <v>91</v>
      </c>
      <c r="C292" s="46"/>
      <c r="D292" s="47"/>
      <c r="E292" s="489"/>
      <c r="F292" s="54" t="s">
        <v>211</v>
      </c>
    </row>
    <row r="293" spans="1:27" s="77" customFormat="1" x14ac:dyDescent="0.2">
      <c r="A293" s="493"/>
      <c r="B293" s="202" t="s">
        <v>925</v>
      </c>
      <c r="C293" s="202"/>
      <c r="D293" s="202"/>
      <c r="E293" s="489" t="s">
        <v>85</v>
      </c>
    </row>
    <row r="294" spans="1:27" s="493" customFormat="1" ht="11.25" x14ac:dyDescent="0.2">
      <c r="B294" s="490"/>
      <c r="C294" s="490"/>
      <c r="D294" s="490"/>
      <c r="E294" s="490"/>
      <c r="F294" s="490"/>
    </row>
    <row r="295" spans="1:27" s="77" customFormat="1" x14ac:dyDescent="0.2">
      <c r="B295" s="580" t="s">
        <v>878</v>
      </c>
      <c r="C295" s="202"/>
      <c r="D295" s="491"/>
      <c r="E295" s="643">
        <f>_xlfn.IFNA(VLOOKUP(E291,'CENOVNI RAZREDI'!$B$184:$K$242,10,FALSE),"")</f>
        <v>-10</v>
      </c>
      <c r="F295" s="499"/>
    </row>
    <row r="296" spans="1:27" s="77" customFormat="1" x14ac:dyDescent="0.2">
      <c r="A296" s="493"/>
      <c r="B296" s="520" t="s">
        <v>888</v>
      </c>
      <c r="C296" s="520"/>
      <c r="D296" s="542"/>
      <c r="E296" s="542"/>
      <c r="F296" s="388"/>
    </row>
    <row r="297" spans="1:27" s="587" customFormat="1" ht="12" x14ac:dyDescent="0.2">
      <c r="A297" s="593"/>
      <c r="B297" s="543" t="s">
        <v>926</v>
      </c>
      <c r="C297" s="585"/>
      <c r="D297" s="544"/>
      <c r="E297" s="545" t="str">
        <f>_xlfn.IFNA(CONCATENATE(VLOOKUP(E291,'CENOVNI RAZREDI'!$B$184:$J$242,8,FALSE)," - ",VLOOKUP(E291,'CENOVNI RAZREDI'!$B$184:$J$242,9,FALSE)),"")</f>
        <v>78 - 156</v>
      </c>
      <c r="F297" s="546" t="s">
        <v>889</v>
      </c>
      <c r="G297" s="586"/>
      <c r="H297" s="586"/>
      <c r="I297" s="586"/>
      <c r="J297" s="586"/>
      <c r="K297" s="586"/>
      <c r="L297" s="586"/>
      <c r="M297" s="586"/>
      <c r="N297" s="586"/>
      <c r="O297" s="586"/>
    </row>
    <row r="298" spans="1:27" s="586" customFormat="1" ht="12" x14ac:dyDescent="0.2">
      <c r="A298" s="593"/>
      <c r="B298" s="546" t="s">
        <v>927</v>
      </c>
      <c r="C298" s="547"/>
      <c r="D298" s="546"/>
      <c r="E298" s="588">
        <v>0</v>
      </c>
      <c r="F298" s="546" t="s">
        <v>889</v>
      </c>
      <c r="W298" s="553"/>
      <c r="X298" s="589"/>
      <c r="Y298" s="590"/>
      <c r="Z298" s="589"/>
      <c r="AA298" s="590"/>
    </row>
    <row r="299" spans="1:27" s="586" customFormat="1" ht="11.25" x14ac:dyDescent="0.2">
      <c r="A299" s="593"/>
      <c r="B299" s="546" t="s">
        <v>887</v>
      </c>
      <c r="C299" s="547"/>
      <c r="D299" s="547"/>
      <c r="E299" s="592">
        <f>E292*E298</f>
        <v>0</v>
      </c>
      <c r="F299" s="549" t="s">
        <v>89</v>
      </c>
      <c r="W299" s="553"/>
    </row>
    <row r="300" spans="1:27" s="586" customFormat="1" ht="11.25" x14ac:dyDescent="0.2">
      <c r="A300" s="593"/>
      <c r="B300" s="562" t="s">
        <v>62</v>
      </c>
      <c r="D300" s="956">
        <v>0</v>
      </c>
      <c r="E300" s="552">
        <f>D300*E299</f>
        <v>0</v>
      </c>
      <c r="F300" s="553" t="s">
        <v>89</v>
      </c>
      <c r="W300" s="590"/>
    </row>
    <row r="301" spans="1:27" s="586" customFormat="1" ht="11.25" x14ac:dyDescent="0.2">
      <c r="B301" s="562" t="s">
        <v>64</v>
      </c>
      <c r="D301" s="956">
        <v>0</v>
      </c>
      <c r="E301" s="552">
        <f>D301*E299</f>
        <v>0</v>
      </c>
      <c r="F301" s="553" t="s">
        <v>89</v>
      </c>
      <c r="Y301" s="590"/>
      <c r="Z301" s="589"/>
      <c r="AA301" s="590"/>
    </row>
    <row r="302" spans="1:27" s="586" customFormat="1" ht="11.25" x14ac:dyDescent="0.2">
      <c r="B302" s="562" t="s">
        <v>63</v>
      </c>
      <c r="D302" s="956">
        <v>0</v>
      </c>
      <c r="E302" s="552">
        <f>D302*E299</f>
        <v>0</v>
      </c>
      <c r="F302" s="553" t="s">
        <v>89</v>
      </c>
      <c r="W302" s="590"/>
    </row>
    <row r="303" spans="1:27" s="586" customFormat="1" ht="11.25" x14ac:dyDescent="0.2">
      <c r="B303" s="566" t="s">
        <v>365</v>
      </c>
      <c r="C303" s="543"/>
      <c r="D303" s="957">
        <v>0</v>
      </c>
      <c r="E303" s="556">
        <f>D303*E299</f>
        <v>0</v>
      </c>
      <c r="F303" s="557" t="s">
        <v>89</v>
      </c>
      <c r="W303" s="590"/>
    </row>
    <row r="304" spans="1:27" s="497" customFormat="1" ht="11.25" x14ac:dyDescent="0.2">
      <c r="B304" s="519"/>
      <c r="C304" s="519"/>
      <c r="D304" s="518"/>
      <c r="E304" s="516"/>
      <c r="F304" s="517"/>
      <c r="W304" s="529"/>
    </row>
    <row r="305" spans="1:27" s="77" customFormat="1" x14ac:dyDescent="0.2">
      <c r="B305" s="84" t="s">
        <v>732</v>
      </c>
      <c r="C305" s="84"/>
      <c r="D305" s="83"/>
      <c r="E305" s="539">
        <f>'ODPRTI PROSTOR'!C81</f>
        <v>0</v>
      </c>
      <c r="F305" s="384" t="s">
        <v>872</v>
      </c>
    </row>
    <row r="306" spans="1:27" s="77" customFormat="1" x14ac:dyDescent="0.2">
      <c r="B306" s="84" t="s">
        <v>733</v>
      </c>
      <c r="C306" s="84"/>
      <c r="D306" s="83"/>
      <c r="E306" s="539">
        <f>'ODPRTI PROSTOR'!C82</f>
        <v>0</v>
      </c>
      <c r="F306" s="384" t="s">
        <v>872</v>
      </c>
    </row>
    <row r="307" spans="1:27" s="41" customFormat="1" ht="15.75" x14ac:dyDescent="0.2">
      <c r="A307" s="55"/>
      <c r="B307" s="187"/>
      <c r="C307" s="187"/>
      <c r="D307" s="187"/>
      <c r="E307" s="345"/>
      <c r="F307" s="72"/>
      <c r="W307" s="48"/>
    </row>
    <row r="308" spans="1:27" s="43" customFormat="1" ht="15.75" x14ac:dyDescent="0.2">
      <c r="A308" s="231" t="s">
        <v>924</v>
      </c>
      <c r="B308" s="42"/>
      <c r="C308" s="42"/>
      <c r="D308" s="42"/>
      <c r="E308" s="952"/>
      <c r="F308" s="65"/>
      <c r="G308" s="41"/>
      <c r="H308" s="41"/>
      <c r="I308" s="41"/>
      <c r="J308" s="41"/>
      <c r="K308" s="41"/>
      <c r="L308" s="41"/>
      <c r="M308" s="41"/>
      <c r="N308" s="41"/>
      <c r="O308" s="41"/>
    </row>
    <row r="309" spans="1:27" s="43" customFormat="1" ht="51" x14ac:dyDescent="0.2">
      <c r="B309" s="53" t="s">
        <v>186</v>
      </c>
      <c r="C309" s="42"/>
      <c r="D309" s="44"/>
      <c r="E309" s="1293" t="s">
        <v>811</v>
      </c>
      <c r="F309" s="45"/>
      <c r="G309" s="41"/>
      <c r="H309" s="41"/>
      <c r="I309" s="41"/>
      <c r="J309" s="41"/>
      <c r="K309" s="41"/>
      <c r="L309" s="41"/>
      <c r="M309" s="41"/>
      <c r="N309" s="41"/>
      <c r="O309" s="41"/>
    </row>
    <row r="310" spans="1:27" s="41" customFormat="1" ht="15.75" x14ac:dyDescent="0.2">
      <c r="B310" s="54" t="s">
        <v>91</v>
      </c>
      <c r="C310" s="46"/>
      <c r="D310" s="47"/>
      <c r="E310" s="489"/>
      <c r="F310" s="54" t="s">
        <v>211</v>
      </c>
    </row>
    <row r="311" spans="1:27" s="77" customFormat="1" x14ac:dyDescent="0.2">
      <c r="A311" s="493"/>
      <c r="B311" s="202" t="s">
        <v>925</v>
      </c>
      <c r="C311" s="202"/>
      <c r="D311" s="202"/>
      <c r="E311" s="489" t="s">
        <v>85</v>
      </c>
    </row>
    <row r="312" spans="1:27" s="493" customFormat="1" ht="11.25" x14ac:dyDescent="0.2">
      <c r="B312" s="490"/>
      <c r="C312" s="490"/>
      <c r="D312" s="490"/>
      <c r="E312" s="490"/>
      <c r="F312" s="490"/>
    </row>
    <row r="313" spans="1:27" s="77" customFormat="1" x14ac:dyDescent="0.2">
      <c r="B313" s="580" t="s">
        <v>878</v>
      </c>
      <c r="C313" s="202"/>
      <c r="D313" s="491"/>
      <c r="E313" s="643">
        <f>_xlfn.IFNA(VLOOKUP(E309,'CENOVNI RAZREDI'!$B$184:$K$242,10,FALSE),"")</f>
        <v>-10</v>
      </c>
      <c r="F313" s="499"/>
    </row>
    <row r="314" spans="1:27" s="77" customFormat="1" x14ac:dyDescent="0.2">
      <c r="A314" s="493"/>
      <c r="B314" s="520" t="s">
        <v>888</v>
      </c>
      <c r="C314" s="520"/>
      <c r="D314" s="542"/>
      <c r="E314" s="542"/>
      <c r="F314" s="388"/>
    </row>
    <row r="315" spans="1:27" s="587" customFormat="1" ht="12" x14ac:dyDescent="0.2">
      <c r="A315" s="593"/>
      <c r="B315" s="543" t="s">
        <v>926</v>
      </c>
      <c r="C315" s="585"/>
      <c r="D315" s="544"/>
      <c r="E315" s="545" t="str">
        <f>_xlfn.IFNA(CONCATENATE(VLOOKUP(E309,'CENOVNI RAZREDI'!$B$184:$J$242,8,FALSE)," - ",VLOOKUP(E309,'CENOVNI RAZREDI'!$B$184:$J$242,9,FALSE)),"")</f>
        <v>78 - 156</v>
      </c>
      <c r="F315" s="546" t="s">
        <v>889</v>
      </c>
      <c r="G315" s="586"/>
      <c r="H315" s="586"/>
      <c r="I315" s="586"/>
      <c r="J315" s="586"/>
      <c r="K315" s="586"/>
      <c r="L315" s="586"/>
      <c r="M315" s="586"/>
      <c r="N315" s="586"/>
      <c r="O315" s="586"/>
    </row>
    <row r="316" spans="1:27" s="586" customFormat="1" ht="12" x14ac:dyDescent="0.2">
      <c r="A316" s="593"/>
      <c r="B316" s="546" t="s">
        <v>927</v>
      </c>
      <c r="C316" s="547"/>
      <c r="D316" s="546"/>
      <c r="E316" s="588">
        <v>0</v>
      </c>
      <c r="F316" s="546" t="s">
        <v>889</v>
      </c>
      <c r="W316" s="553"/>
      <c r="X316" s="589"/>
      <c r="Y316" s="590"/>
      <c r="Z316" s="589"/>
      <c r="AA316" s="590"/>
    </row>
    <row r="317" spans="1:27" s="586" customFormat="1" ht="11.25" x14ac:dyDescent="0.2">
      <c r="A317" s="593"/>
      <c r="B317" s="546" t="s">
        <v>887</v>
      </c>
      <c r="C317" s="547"/>
      <c r="D317" s="547"/>
      <c r="E317" s="592">
        <f>E310*E316</f>
        <v>0</v>
      </c>
      <c r="F317" s="549" t="s">
        <v>89</v>
      </c>
      <c r="W317" s="553"/>
    </row>
    <row r="318" spans="1:27" s="586" customFormat="1" ht="11.25" x14ac:dyDescent="0.2">
      <c r="A318" s="593"/>
      <c r="B318" s="562" t="s">
        <v>62</v>
      </c>
      <c r="D318" s="956">
        <v>0</v>
      </c>
      <c r="E318" s="552">
        <f>D318*E317</f>
        <v>0</v>
      </c>
      <c r="F318" s="553" t="s">
        <v>89</v>
      </c>
      <c r="W318" s="590"/>
    </row>
    <row r="319" spans="1:27" s="586" customFormat="1" ht="11.25" x14ac:dyDescent="0.2">
      <c r="B319" s="562" t="s">
        <v>64</v>
      </c>
      <c r="D319" s="956">
        <v>0</v>
      </c>
      <c r="E319" s="552">
        <f>D319*E317</f>
        <v>0</v>
      </c>
      <c r="F319" s="553" t="s">
        <v>89</v>
      </c>
      <c r="Y319" s="590"/>
      <c r="Z319" s="589"/>
      <c r="AA319" s="590"/>
    </row>
    <row r="320" spans="1:27" s="586" customFormat="1" ht="11.25" x14ac:dyDescent="0.2">
      <c r="B320" s="562" t="s">
        <v>63</v>
      </c>
      <c r="D320" s="956">
        <v>0</v>
      </c>
      <c r="E320" s="552">
        <f>D320*E317</f>
        <v>0</v>
      </c>
      <c r="F320" s="553" t="s">
        <v>89</v>
      </c>
      <c r="W320" s="590"/>
    </row>
    <row r="321" spans="1:27" s="586" customFormat="1" ht="11.25" x14ac:dyDescent="0.2">
      <c r="B321" s="566" t="s">
        <v>365</v>
      </c>
      <c r="C321" s="543"/>
      <c r="D321" s="957">
        <v>0</v>
      </c>
      <c r="E321" s="556">
        <f>D321*E317</f>
        <v>0</v>
      </c>
      <c r="F321" s="557" t="s">
        <v>89</v>
      </c>
      <c r="W321" s="590"/>
    </row>
    <row r="322" spans="1:27" s="497" customFormat="1" ht="11.25" x14ac:dyDescent="0.2">
      <c r="B322" s="519"/>
      <c r="C322" s="519"/>
      <c r="D322" s="518"/>
      <c r="E322" s="516"/>
      <c r="F322" s="517"/>
      <c r="W322" s="529"/>
    </row>
    <row r="323" spans="1:27" s="77" customFormat="1" x14ac:dyDescent="0.2">
      <c r="B323" s="84" t="s">
        <v>732</v>
      </c>
      <c r="C323" s="84"/>
      <c r="D323" s="83"/>
      <c r="E323" s="539">
        <f>'ODPRTI PROSTOR'!C100</f>
        <v>0</v>
      </c>
      <c r="F323" s="384" t="s">
        <v>872</v>
      </c>
    </row>
    <row r="324" spans="1:27" s="77" customFormat="1" x14ac:dyDescent="0.2">
      <c r="B324" s="84" t="s">
        <v>733</v>
      </c>
      <c r="C324" s="84"/>
      <c r="D324" s="83"/>
      <c r="E324" s="539">
        <f>'ODPRTI PROSTOR'!C101</f>
        <v>0</v>
      </c>
      <c r="F324" s="384" t="s">
        <v>872</v>
      </c>
    </row>
    <row r="325" spans="1:27" s="16" customFormat="1" ht="18.75" x14ac:dyDescent="0.3">
      <c r="A325" s="188"/>
      <c r="B325" s="188"/>
      <c r="C325" s="188"/>
      <c r="D325" s="188"/>
      <c r="E325" s="346"/>
      <c r="F325" s="188"/>
      <c r="J325" s="17"/>
      <c r="P325" s="18"/>
    </row>
    <row r="326" spans="1:27" s="16" customFormat="1" ht="19.5" thickBot="1" x14ac:dyDescent="0.35">
      <c r="A326" s="758"/>
      <c r="B326" s="758"/>
      <c r="C326" s="758"/>
      <c r="D326" s="758"/>
      <c r="E326" s="759"/>
      <c r="F326" s="758"/>
      <c r="J326" s="17"/>
      <c r="P326" s="18"/>
    </row>
    <row r="327" spans="1:27" s="43" customFormat="1" ht="15.75" x14ac:dyDescent="0.2">
      <c r="A327" s="318" t="s">
        <v>1188</v>
      </c>
      <c r="B327" s="319"/>
      <c r="C327" s="319"/>
      <c r="D327" s="58"/>
      <c r="E327" s="1280"/>
      <c r="F327" s="58"/>
      <c r="G327" s="41"/>
      <c r="H327" s="41"/>
      <c r="I327" s="41"/>
      <c r="J327" s="41"/>
      <c r="K327" s="41"/>
      <c r="L327" s="41"/>
      <c r="M327" s="41"/>
      <c r="N327" s="41"/>
      <c r="O327" s="41"/>
    </row>
    <row r="328" spans="1:27" s="43" customFormat="1" ht="15.75" x14ac:dyDescent="0.2">
      <c r="A328" s="229" t="s">
        <v>92</v>
      </c>
      <c r="B328" s="230"/>
      <c r="C328" s="230"/>
      <c r="D328" s="230"/>
      <c r="E328" s="230"/>
      <c r="F328" s="230"/>
      <c r="G328" s="41"/>
      <c r="H328" s="41"/>
      <c r="I328" s="41"/>
      <c r="J328" s="41"/>
      <c r="K328" s="41"/>
      <c r="L328" s="41"/>
      <c r="M328" s="41"/>
      <c r="N328" s="41"/>
      <c r="O328" s="41"/>
    </row>
    <row r="329" spans="1:27" s="41" customFormat="1" ht="15.75" x14ac:dyDescent="0.2">
      <c r="B329" s="558" t="s">
        <v>93</v>
      </c>
      <c r="C329" s="558"/>
      <c r="D329" s="559"/>
      <c r="E329" s="560">
        <f>+E17+E48+E79+E110+E141</f>
        <v>400</v>
      </c>
      <c r="F329" s="558" t="s">
        <v>892</v>
      </c>
    </row>
    <row r="330" spans="1:27" s="41" customFormat="1" ht="15.75" x14ac:dyDescent="0.2">
      <c r="B330" s="558" t="s">
        <v>890</v>
      </c>
      <c r="C330" s="558"/>
      <c r="D330" s="559"/>
      <c r="E330" s="568">
        <f>+E43+E74+E105+E136+E167</f>
        <v>632</v>
      </c>
      <c r="F330" s="558" t="s">
        <v>872</v>
      </c>
    </row>
    <row r="331" spans="1:27" s="41" customFormat="1" ht="15.75" x14ac:dyDescent="0.2">
      <c r="B331" s="558" t="s">
        <v>891</v>
      </c>
      <c r="C331" s="558"/>
      <c r="D331" s="559"/>
      <c r="E331" s="568">
        <f>+E44+E75+E106+E137+E168</f>
        <v>787</v>
      </c>
      <c r="F331" s="558" t="s">
        <v>872</v>
      </c>
    </row>
    <row r="332" spans="1:27" s="77" customFormat="1" x14ac:dyDescent="0.2">
      <c r="B332" s="561" t="s">
        <v>893</v>
      </c>
      <c r="C332" s="561"/>
      <c r="D332" s="569"/>
      <c r="E332" s="570">
        <f>+E37+E68+E99+E130+E161</f>
        <v>0</v>
      </c>
      <c r="F332" s="571" t="s">
        <v>89</v>
      </c>
    </row>
    <row r="333" spans="1:27" s="497" customFormat="1" ht="11.25" x14ac:dyDescent="0.2">
      <c r="B333" s="562" t="s">
        <v>62</v>
      </c>
      <c r="C333" s="562"/>
      <c r="D333" s="563">
        <f>IFERROR(E333/$E$332,0)</f>
        <v>0</v>
      </c>
      <c r="E333" s="564">
        <f>+E38+E69+E100+E131+E162</f>
        <v>0</v>
      </c>
      <c r="F333" s="565" t="s">
        <v>89</v>
      </c>
      <c r="W333" s="529"/>
    </row>
    <row r="334" spans="1:27" s="497" customFormat="1" ht="11.25" x14ac:dyDescent="0.2">
      <c r="B334" s="562" t="s">
        <v>64</v>
      </c>
      <c r="C334" s="562"/>
      <c r="D334" s="563">
        <f>IFERROR(E334/$E$332,0)</f>
        <v>0</v>
      </c>
      <c r="E334" s="564">
        <f>+E39+E70+E101+E132+E163</f>
        <v>0</v>
      </c>
      <c r="F334" s="565" t="s">
        <v>89</v>
      </c>
      <c r="Y334" s="529"/>
      <c r="Z334" s="528"/>
      <c r="AA334" s="529"/>
    </row>
    <row r="335" spans="1:27" s="497" customFormat="1" ht="11.25" x14ac:dyDescent="0.2">
      <c r="B335" s="562" t="s">
        <v>63</v>
      </c>
      <c r="C335" s="562"/>
      <c r="D335" s="563">
        <f>IFERROR(E335/$E$332,0)</f>
        <v>0</v>
      </c>
      <c r="E335" s="564">
        <f>+E40+E71+E102+E133+E164</f>
        <v>0</v>
      </c>
      <c r="F335" s="565" t="s">
        <v>89</v>
      </c>
      <c r="W335" s="529"/>
    </row>
    <row r="336" spans="1:27" s="497" customFormat="1" ht="11.25" x14ac:dyDescent="0.2">
      <c r="B336" s="566" t="s">
        <v>365</v>
      </c>
      <c r="C336" s="562"/>
      <c r="D336" s="563">
        <f>IFERROR(E336/$E$332,0)</f>
        <v>0</v>
      </c>
      <c r="E336" s="564">
        <f>+E41+E72+E103+E134+E165</f>
        <v>0</v>
      </c>
      <c r="F336" s="567" t="s">
        <v>89</v>
      </c>
      <c r="W336" s="529"/>
    </row>
    <row r="337" spans="1:27" s="34" customFormat="1" x14ac:dyDescent="0.2">
      <c r="B337" s="561" t="s">
        <v>98</v>
      </c>
      <c r="C337" s="561"/>
      <c r="D337" s="561"/>
      <c r="E337" s="572">
        <f>IFERROR(+E332/E329,0)</f>
        <v>0</v>
      </c>
      <c r="F337" s="561" t="s">
        <v>894</v>
      </c>
      <c r="W337" s="35"/>
      <c r="X337" s="36"/>
      <c r="Y337" s="37"/>
      <c r="Z337" s="36"/>
      <c r="AA337" s="37"/>
    </row>
    <row r="338" spans="1:27" s="41" customFormat="1" ht="16.5" thickBot="1" x14ac:dyDescent="0.25">
      <c r="A338" s="67"/>
      <c r="B338" s="67"/>
      <c r="C338" s="67"/>
      <c r="D338" s="68"/>
      <c r="E338" s="344"/>
      <c r="F338" s="69"/>
      <c r="Y338" s="50"/>
      <c r="Z338" s="49"/>
      <c r="AA338" s="50"/>
    </row>
    <row r="339" spans="1:27" s="43" customFormat="1" ht="15.75" x14ac:dyDescent="0.2">
      <c r="A339" s="229" t="s">
        <v>219</v>
      </c>
      <c r="B339" s="230"/>
      <c r="C339" s="230"/>
      <c r="D339" s="230"/>
      <c r="E339" s="230"/>
      <c r="F339" s="230"/>
      <c r="G339" s="41"/>
      <c r="H339" s="41"/>
      <c r="I339" s="41"/>
      <c r="J339" s="41"/>
      <c r="K339" s="41"/>
      <c r="L339" s="41"/>
      <c r="M339" s="41"/>
      <c r="N339" s="41"/>
      <c r="O339" s="41"/>
    </row>
    <row r="340" spans="1:27" s="41" customFormat="1" ht="15.75" x14ac:dyDescent="0.2">
      <c r="B340" s="54" t="s">
        <v>99</v>
      </c>
      <c r="C340" s="46"/>
      <c r="D340" s="47"/>
      <c r="E340" s="560">
        <f>+E178+E189+E200+E211+E222</f>
        <v>0</v>
      </c>
      <c r="F340" s="54" t="s">
        <v>211</v>
      </c>
    </row>
    <row r="341" spans="1:27" s="41" customFormat="1" ht="15.75" x14ac:dyDescent="0.2">
      <c r="B341" s="558" t="s">
        <v>890</v>
      </c>
      <c r="C341" s="558"/>
      <c r="D341" s="559"/>
      <c r="E341" s="568">
        <f>+E184+E195+E206+E217+E228</f>
        <v>0</v>
      </c>
      <c r="F341" s="558" t="s">
        <v>872</v>
      </c>
    </row>
    <row r="342" spans="1:27" s="41" customFormat="1" ht="15.75" x14ac:dyDescent="0.2">
      <c r="B342" s="558" t="s">
        <v>891</v>
      </c>
      <c r="C342" s="558"/>
      <c r="D342" s="559"/>
      <c r="E342" s="568">
        <f>+E185+E196+E207+E218+E229</f>
        <v>0</v>
      </c>
      <c r="F342" s="558" t="s">
        <v>872</v>
      </c>
    </row>
    <row r="343" spans="1:27" s="41" customFormat="1" ht="15.75" x14ac:dyDescent="0.2">
      <c r="B343" s="742" t="s">
        <v>893</v>
      </c>
      <c r="C343" s="743"/>
      <c r="D343" s="743"/>
      <c r="E343" s="744">
        <f>+E182+E193+E204+E215+E226</f>
        <v>0</v>
      </c>
      <c r="F343" s="745" t="s">
        <v>89</v>
      </c>
      <c r="W343" s="48"/>
    </row>
    <row r="344" spans="1:27" s="41" customFormat="1" ht="15.75" x14ac:dyDescent="0.2">
      <c r="B344" s="742" t="s">
        <v>100</v>
      </c>
      <c r="C344" s="743"/>
      <c r="D344" s="742"/>
      <c r="E344" s="744">
        <f>IFERROR(E343/E340,0)</f>
        <v>0</v>
      </c>
      <c r="F344" s="742" t="s">
        <v>1048</v>
      </c>
      <c r="W344" s="48"/>
      <c r="X344" s="49"/>
      <c r="Y344" s="50"/>
      <c r="Z344" s="49"/>
      <c r="AA344" s="50"/>
    </row>
    <row r="345" spans="1:27" s="41" customFormat="1" ht="16.5" thickBot="1" x14ac:dyDescent="0.25">
      <c r="A345" s="67"/>
      <c r="B345" s="67"/>
      <c r="C345" s="67"/>
      <c r="D345" s="68"/>
      <c r="E345" s="344"/>
      <c r="F345" s="69"/>
      <c r="Y345" s="50"/>
      <c r="Z345" s="49"/>
      <c r="AA345" s="50"/>
    </row>
    <row r="346" spans="1:27" s="43" customFormat="1" ht="15.75" x14ac:dyDescent="0.2">
      <c r="A346" s="229" t="s">
        <v>221</v>
      </c>
      <c r="B346" s="230"/>
      <c r="C346" s="230"/>
      <c r="D346" s="230"/>
      <c r="E346" s="230"/>
      <c r="F346" s="230"/>
      <c r="G346" s="41"/>
      <c r="H346" s="41"/>
      <c r="I346" s="41"/>
      <c r="J346" s="41"/>
      <c r="K346" s="41"/>
      <c r="L346" s="41"/>
      <c r="M346" s="41"/>
      <c r="N346" s="41"/>
      <c r="O346" s="41"/>
    </row>
    <row r="347" spans="1:27" s="41" customFormat="1" ht="15.75" x14ac:dyDescent="0.2">
      <c r="B347" s="54" t="s">
        <v>188</v>
      </c>
      <c r="C347" s="46"/>
      <c r="D347" s="47"/>
      <c r="E347" s="710">
        <f>+E238+E256+E274+E292+E310</f>
        <v>1000</v>
      </c>
      <c r="F347" s="558" t="s">
        <v>892</v>
      </c>
    </row>
    <row r="348" spans="1:27" s="41" customFormat="1" ht="15.75" x14ac:dyDescent="0.2">
      <c r="B348" s="558" t="s">
        <v>890</v>
      </c>
      <c r="C348" s="558"/>
      <c r="D348" s="559"/>
      <c r="E348" s="568">
        <f>+E251+E269+E287+E305+E323</f>
        <v>200</v>
      </c>
      <c r="F348" s="558" t="s">
        <v>872</v>
      </c>
    </row>
    <row r="349" spans="1:27" s="41" customFormat="1" ht="15.75" x14ac:dyDescent="0.2">
      <c r="B349" s="558" t="s">
        <v>891</v>
      </c>
      <c r="C349" s="558"/>
      <c r="D349" s="559"/>
      <c r="E349" s="568">
        <f>+E252+E270+E288+E306+E324</f>
        <v>241</v>
      </c>
      <c r="F349" s="558" t="s">
        <v>872</v>
      </c>
    </row>
    <row r="350" spans="1:27" s="41" customFormat="1" ht="15.75" x14ac:dyDescent="0.2">
      <c r="A350" s="77"/>
      <c r="B350" s="561" t="s">
        <v>893</v>
      </c>
      <c r="C350" s="561"/>
      <c r="D350" s="569"/>
      <c r="E350" s="570">
        <f>+E245+E263+E281+E299+E317</f>
        <v>0</v>
      </c>
      <c r="F350" s="571" t="s">
        <v>89</v>
      </c>
      <c r="W350" s="48"/>
    </row>
    <row r="351" spans="1:27" s="582" customFormat="1" ht="11.25" x14ac:dyDescent="0.2">
      <c r="B351" s="562" t="s">
        <v>62</v>
      </c>
      <c r="D351" s="563">
        <f>IFERROR(E351/$E$332,0)</f>
        <v>0</v>
      </c>
      <c r="E351" s="564">
        <f>E246+E264+E282+E300+E318</f>
        <v>0</v>
      </c>
      <c r="F351" s="565" t="s">
        <v>89</v>
      </c>
      <c r="W351" s="583"/>
    </row>
    <row r="352" spans="1:27" s="582" customFormat="1" ht="11.25" x14ac:dyDescent="0.2">
      <c r="B352" s="562" t="s">
        <v>64</v>
      </c>
      <c r="D352" s="563">
        <f>IFERROR(E352/$E$332,0)</f>
        <v>0</v>
      </c>
      <c r="E352" s="564">
        <f>E247+E265+E283+E301+E319</f>
        <v>0</v>
      </c>
      <c r="F352" s="565" t="s">
        <v>89</v>
      </c>
      <c r="Y352" s="583"/>
      <c r="Z352" s="584"/>
      <c r="AA352" s="583"/>
    </row>
    <row r="353" spans="1:27" s="582" customFormat="1" ht="11.25" x14ac:dyDescent="0.2">
      <c r="B353" s="562" t="s">
        <v>63</v>
      </c>
      <c r="D353" s="563">
        <f>IFERROR(E353/$E$332,0)</f>
        <v>0</v>
      </c>
      <c r="E353" s="564">
        <f>E248+E266+E284+E302+E320</f>
        <v>0</v>
      </c>
      <c r="F353" s="565" t="s">
        <v>89</v>
      </c>
      <c r="W353" s="583"/>
    </row>
    <row r="354" spans="1:27" s="582" customFormat="1" ht="11.25" x14ac:dyDescent="0.2">
      <c r="B354" s="566" t="s">
        <v>365</v>
      </c>
      <c r="D354" s="563">
        <f>IFERROR(E354/$E$332,0)</f>
        <v>0</v>
      </c>
      <c r="E354" s="564">
        <f>E249+E267+E285+E303+E321</f>
        <v>0</v>
      </c>
      <c r="F354" s="565" t="s">
        <v>89</v>
      </c>
      <c r="W354" s="583"/>
    </row>
    <row r="355" spans="1:27" s="586" customFormat="1" ht="12" x14ac:dyDescent="0.2">
      <c r="B355" s="546" t="s">
        <v>189</v>
      </c>
      <c r="C355" s="547"/>
      <c r="D355" s="546"/>
      <c r="E355" s="596">
        <f>IFERROR(E350/E347,0)</f>
        <v>0</v>
      </c>
      <c r="F355" s="561" t="s">
        <v>894</v>
      </c>
      <c r="W355" s="553"/>
      <c r="X355" s="589"/>
      <c r="Y355" s="590"/>
      <c r="Z355" s="589"/>
      <c r="AA355" s="590"/>
    </row>
    <row r="356" spans="1:27" s="41" customFormat="1" ht="16.5" thickBot="1" x14ac:dyDescent="0.25">
      <c r="A356" s="760"/>
      <c r="B356" s="761"/>
      <c r="C356" s="761"/>
      <c r="D356" s="761"/>
      <c r="E356" s="762"/>
      <c r="F356" s="763"/>
      <c r="W356" s="48"/>
    </row>
    <row r="357" spans="1:27" s="43" customFormat="1" ht="15.75" x14ac:dyDescent="0.2">
      <c r="A357" s="318" t="s">
        <v>1189</v>
      </c>
      <c r="B357" s="319"/>
      <c r="C357" s="319"/>
      <c r="D357" s="58"/>
      <c r="E357" s="1280">
        <f>E332+E343+E350</f>
        <v>0</v>
      </c>
      <c r="F357" s="58" t="s">
        <v>89</v>
      </c>
      <c r="G357" s="41"/>
      <c r="H357" s="41"/>
      <c r="I357" s="41"/>
      <c r="J357" s="41"/>
      <c r="K357" s="41"/>
      <c r="L357" s="41"/>
      <c r="M357" s="41"/>
      <c r="N357" s="41"/>
      <c r="O357" s="41"/>
    </row>
    <row r="358" spans="1:27" s="43" customFormat="1" ht="15.75" x14ac:dyDescent="0.2">
      <c r="A358" s="59"/>
      <c r="E358" s="60"/>
      <c r="G358" s="41"/>
      <c r="H358" s="41"/>
      <c r="I358" s="41"/>
      <c r="J358" s="41"/>
      <c r="K358" s="41"/>
      <c r="L358" s="41"/>
      <c r="M358" s="41"/>
      <c r="N358" s="41"/>
      <c r="O358" s="41"/>
    </row>
    <row r="359" spans="1:27" ht="15.75" x14ac:dyDescent="0.25">
      <c r="A359" s="222"/>
      <c r="B359" s="39"/>
      <c r="C359" s="39"/>
      <c r="D359" s="41"/>
      <c r="E359" s="348"/>
      <c r="F359" s="27"/>
    </row>
    <row r="360" spans="1:27" s="64" customFormat="1" ht="18.75" x14ac:dyDescent="0.2">
      <c r="A360" s="1" t="s">
        <v>477</v>
      </c>
      <c r="B360" s="62"/>
      <c r="C360" s="62"/>
      <c r="D360" s="62"/>
      <c r="E360" s="337"/>
      <c r="F360" s="62"/>
      <c r="H360" s="62"/>
      <c r="I360" s="62"/>
      <c r="J360" s="62"/>
      <c r="K360" s="62"/>
    </row>
    <row r="361" spans="1:27" s="74" customFormat="1" ht="36.4" customHeight="1" x14ac:dyDescent="0.2">
      <c r="B361" s="1302" t="s">
        <v>1130</v>
      </c>
      <c r="C361" s="1302"/>
      <c r="D361" s="1302"/>
      <c r="E361" s="1302"/>
      <c r="F361" s="1302"/>
    </row>
    <row r="362" spans="1:27" s="74" customFormat="1" ht="36.4" customHeight="1" x14ac:dyDescent="0.2">
      <c r="B362" s="1302" t="s">
        <v>1183</v>
      </c>
      <c r="C362" s="1302"/>
      <c r="D362" s="1302"/>
      <c r="E362" s="1302"/>
      <c r="F362" s="1302"/>
    </row>
    <row r="363" spans="1:27" s="74" customFormat="1" ht="18.75" x14ac:dyDescent="0.2">
      <c r="B363" s="1303" t="s">
        <v>734</v>
      </c>
      <c r="C363" s="1303"/>
      <c r="D363" s="1303"/>
      <c r="E363" s="1303"/>
      <c r="F363" s="1303"/>
    </row>
    <row r="364" spans="1:27" s="577" customFormat="1" x14ac:dyDescent="0.2">
      <c r="A364" s="226"/>
      <c r="B364" s="226"/>
      <c r="C364" s="226"/>
      <c r="D364" s="226"/>
      <c r="E364" s="226"/>
      <c r="F364" s="226"/>
    </row>
    <row r="365" spans="1:27" s="16" customFormat="1" ht="39.75" x14ac:dyDescent="0.3">
      <c r="A365" s="751" t="s">
        <v>842</v>
      </c>
      <c r="C365" s="385" t="s">
        <v>732</v>
      </c>
      <c r="D365" s="385" t="s">
        <v>733</v>
      </c>
      <c r="E365" s="752" t="s">
        <v>742</v>
      </c>
      <c r="F365" s="752" t="s">
        <v>873</v>
      </c>
      <c r="G365" s="380" t="s">
        <v>905</v>
      </c>
      <c r="H365" s="619" t="s">
        <v>895</v>
      </c>
      <c r="I365" s="380" t="s">
        <v>604</v>
      </c>
      <c r="N365" s="17"/>
      <c r="O365" s="17"/>
      <c r="P365" s="17"/>
      <c r="Q365" s="17"/>
      <c r="R365" s="18"/>
      <c r="S365" s="18"/>
    </row>
    <row r="366" spans="1:27" s="16" customFormat="1" ht="18.75" x14ac:dyDescent="0.3">
      <c r="A366" s="958" t="b">
        <v>1</v>
      </c>
      <c r="B366" s="657" t="s">
        <v>958</v>
      </c>
      <c r="C366" s="661" t="s">
        <v>961</v>
      </c>
      <c r="D366" s="658"/>
      <c r="E366" s="659"/>
      <c r="F366" s="659"/>
      <c r="G366" s="659"/>
      <c r="H366" s="660"/>
      <c r="I366" s="659"/>
      <c r="N366" s="17"/>
      <c r="O366" s="17"/>
      <c r="P366" s="17"/>
      <c r="Q366" s="17"/>
      <c r="R366" s="18"/>
      <c r="S366" s="18"/>
    </row>
    <row r="367" spans="1:27" s="16" customFormat="1" ht="18.75" x14ac:dyDescent="0.3">
      <c r="A367" s="385"/>
      <c r="B367" s="597" t="s">
        <v>917</v>
      </c>
      <c r="C367" s="385"/>
      <c r="D367" s="385"/>
      <c r="E367" s="380"/>
      <c r="F367" s="380"/>
      <c r="G367" s="380"/>
      <c r="H367" s="619"/>
      <c r="I367" s="380"/>
      <c r="N367" s="17"/>
      <c r="O367" s="17"/>
      <c r="P367" s="17"/>
      <c r="Q367" s="17"/>
      <c r="R367" s="18"/>
      <c r="S367" s="18"/>
    </row>
    <row r="368" spans="1:27" s="18" customFormat="1" ht="15.75" x14ac:dyDescent="0.25">
      <c r="A368" s="959" t="b">
        <v>1</v>
      </c>
      <c r="B368" s="573" t="s">
        <v>367</v>
      </c>
      <c r="C368" s="386">
        <f>IFERROR(IF(A368=TRUE,E330,""),"")</f>
        <v>632</v>
      </c>
      <c r="D368" s="386">
        <f>IFERROR(IF(A368=TRUE,E331,""),"")</f>
        <v>787</v>
      </c>
      <c r="E368" s="962" t="b">
        <v>1</v>
      </c>
      <c r="F368" s="967"/>
      <c r="G368" s="574">
        <f>IFERROR(IF(E368=TRUE,(C368+D368)/2, F368),0)</f>
        <v>709.5</v>
      </c>
      <c r="H368" s="386">
        <f>G368*'ARHIGRAM 6'!$I$16</f>
        <v>39022.5</v>
      </c>
      <c r="I368" s="386">
        <f>STAVBE!X175</f>
        <v>39022.499999999993</v>
      </c>
    </row>
    <row r="369" spans="1:23" s="18" customFormat="1" ht="15.75" x14ac:dyDescent="0.25">
      <c r="A369" s="960" t="b">
        <v>1</v>
      </c>
      <c r="B369" s="575" t="s">
        <v>2</v>
      </c>
      <c r="C369" s="656">
        <f>IFERROR(IF(A369=TRUE,E341,""),"")</f>
        <v>0</v>
      </c>
      <c r="D369" s="656">
        <f>IFERROR(IF(A369=TRUE,E342,""),"")</f>
        <v>0</v>
      </c>
      <c r="E369" s="963" t="b">
        <v>1</v>
      </c>
      <c r="F369" s="968"/>
      <c r="G369" s="576">
        <f>IFERROR(IF(E369=TRUE,(C369+D369)/2, F369),0)</f>
        <v>0</v>
      </c>
      <c r="H369" s="387">
        <f>G369*'ARHIGRAM 6'!$I$16</f>
        <v>0</v>
      </c>
      <c r="I369" s="387"/>
    </row>
    <row r="370" spans="1:23" s="18" customFormat="1" ht="15.75" x14ac:dyDescent="0.25">
      <c r="A370" s="960" t="b">
        <v>1</v>
      </c>
      <c r="B370" s="575" t="s">
        <v>217</v>
      </c>
      <c r="C370" s="656">
        <f>IFERROR(IF(A370=TRUE,E348,""),"")</f>
        <v>200</v>
      </c>
      <c r="D370" s="656">
        <f>IFERROR(IF(A370=TRUE,E349,""),"")</f>
        <v>241</v>
      </c>
      <c r="E370" s="963" t="b">
        <v>1</v>
      </c>
      <c r="F370" s="968"/>
      <c r="G370" s="576">
        <f>IFERROR(IF(E370=TRUE,(C370+D370)/2, F370),0)</f>
        <v>220.5</v>
      </c>
      <c r="H370" s="387">
        <f>G370*'ARHIGRAM 6'!$I$16</f>
        <v>12127.5</v>
      </c>
      <c r="I370" s="387">
        <f>'ODPRTI PROSTOR'!X175</f>
        <v>12127.5</v>
      </c>
    </row>
    <row r="371" spans="1:23" s="18" customFormat="1" ht="15.75" x14ac:dyDescent="0.25">
      <c r="A371" s="21"/>
      <c r="B371" s="598" t="s">
        <v>918</v>
      </c>
      <c r="C371" s="578"/>
      <c r="D371" s="578"/>
      <c r="E371" s="390"/>
      <c r="F371" s="390"/>
      <c r="G371" s="389"/>
      <c r="H371" s="389"/>
      <c r="I371" s="389"/>
    </row>
    <row r="372" spans="1:23" s="18" customFormat="1" ht="15.75" x14ac:dyDescent="0.25">
      <c r="A372" s="959" t="b">
        <v>1</v>
      </c>
      <c r="B372" s="662" t="s">
        <v>369</v>
      </c>
      <c r="C372" s="663">
        <f>IFERROR(IF(A372=TRUE,('GRADBENE KONSTRUKCIJE'!C28+'GRADBENE KONSTRUKCIJE'!C51+'GRADBENE KONSTRUKCIJE'!C74+'GRADBENE KONSTRUKCIJE'!C97+'GRADBENE KONSTRUKCIJE'!C120),""),"")</f>
        <v>198</v>
      </c>
      <c r="D372" s="663">
        <f>IFERROR(IF(A372=TRUE,('GRADBENE KONSTRUKCIJE'!C29+'GRADBENE KONSTRUKCIJE'!C52+'GRADBENE KONSTRUKCIJE'!C75+'GRADBENE KONSTRUKCIJE'!C98+'GRADBENE KONSTRUKCIJE'!C121),""),"")</f>
        <v>252</v>
      </c>
      <c r="E372" s="964" t="b">
        <v>1</v>
      </c>
      <c r="F372" s="969"/>
      <c r="G372" s="664">
        <f>IFERROR(IF(E372=TRUE,(C372+D372)/2, F372),0)</f>
        <v>225</v>
      </c>
      <c r="H372" s="665">
        <f>G372*'ARHIGRAM 6'!$I$16</f>
        <v>12375</v>
      </c>
      <c r="I372" s="666">
        <f>'GRADBENE KONSTRUKCIJE'!H166</f>
        <v>8662.5</v>
      </c>
    </row>
    <row r="373" spans="1:23" s="18" customFormat="1" ht="15.75" x14ac:dyDescent="0.25">
      <c r="A373" s="960" t="b">
        <v>1</v>
      </c>
      <c r="B373" s="667" t="s">
        <v>370</v>
      </c>
      <c r="C373" s="668">
        <f>IFERROR(IF(A373=TRUE,('TEHNIČNA OPREMA'!C28+'TEHNIČNA OPREMA'!C51+'TEHNIČNA OPREMA'!C74+'TEHNIČNA OPREMA'!C97+'TEHNIČNA OPREMA'!C120),""),"")</f>
        <v>85</v>
      </c>
      <c r="D373" s="668" cm="1">
        <f t="array" ref="D373">IFERROR(IF(A373=TRUE,('TEHNIČNA OPREMA'!C29+'TEHNIČNA OPREMA'!C52+'TEHNIČNA OPREMA'!C75+'TEHNIČNA OPREMA'!C98+'TEHNIČNA OPREMA'!C121:C121),""),"")</f>
        <v>102</v>
      </c>
      <c r="E373" s="965" t="b">
        <v>1</v>
      </c>
      <c r="F373" s="970"/>
      <c r="G373" s="669">
        <f>IFERROR(IF(E373=TRUE,(C373+D373)/2, F373),0)</f>
        <v>93.5</v>
      </c>
      <c r="H373" s="670">
        <f>G373*'ARHIGRAM 6'!$I$16</f>
        <v>5142.5</v>
      </c>
      <c r="I373" s="670">
        <f>'TEHNIČNA OPREMA'!H171</f>
        <v>4731.0999999999995</v>
      </c>
    </row>
    <row r="374" spans="1:23" s="18" customFormat="1" ht="15.75" x14ac:dyDescent="0.25">
      <c r="A374" s="960" t="b">
        <v>1</v>
      </c>
      <c r="B374" s="667" t="s">
        <v>371</v>
      </c>
      <c r="C374" s="668">
        <f>IFERROR(IF(A374=TRUE,('TEHNIČNA OPREMA'!G28+'TEHNIČNA OPREMA'!G51+'TEHNIČNA OPREMA'!G74+'TEHNIČNA OPREMA'!G97+'TEHNIČNA OPREMA'!G120),""),"")</f>
        <v>174</v>
      </c>
      <c r="D374" s="668">
        <f>IFERROR(IF(A374=TRUE,('TEHNIČNA OPREMA'!G29+'TEHNIČNA OPREMA'!G52+'TEHNIČNA OPREMA'!G75+'TEHNIČNA OPREMA'!G98+'TEHNIČNA OPREMA'!G121),""),"")</f>
        <v>207</v>
      </c>
      <c r="E374" s="965" t="b">
        <v>1</v>
      </c>
      <c r="F374" s="970"/>
      <c r="G374" s="669">
        <f t="shared" ref="G374:G379" si="0">IFERROR(IF(E374=TRUE,(C374+D374)/2, F374),0)</f>
        <v>190.5</v>
      </c>
      <c r="H374" s="670">
        <f>G374*'ARHIGRAM 6'!$I$16</f>
        <v>10477.5</v>
      </c>
      <c r="I374" s="670">
        <f>'TEHNIČNA OPREMA'!H222</f>
        <v>9639.2999999999993</v>
      </c>
    </row>
    <row r="375" spans="1:23" s="18" customFormat="1" ht="15.75" x14ac:dyDescent="0.25">
      <c r="A375" s="960" t="b">
        <v>1</v>
      </c>
      <c r="B375" s="667" t="s">
        <v>364</v>
      </c>
      <c r="C375" s="668">
        <f>IFERROR(IF(A375=TRUE,('TEHNIČNA OPREMA'!K28+'TEHNIČNA OPREMA'!K51+'TEHNIČNA OPREMA'!K74+'TEHNIČNA OPREMA'!K97+'TEHNIČNA OPREMA'!K120),""),"")</f>
        <v>29</v>
      </c>
      <c r="D375" s="668">
        <f>IFERROR(IF(A375=TRUE,('TEHNIČNA OPREMA'!K29+'TEHNIČNA OPREMA'!K52+'TEHNIČNA OPREMA'!K75+'TEHNIČNA OPREMA'!K98+'TEHNIČNA OPREMA'!K121),""),"")</f>
        <v>35</v>
      </c>
      <c r="E375" s="965" t="b">
        <v>1</v>
      </c>
      <c r="F375" s="970"/>
      <c r="G375" s="669">
        <f t="shared" si="0"/>
        <v>32</v>
      </c>
      <c r="H375" s="670">
        <f>G375*'ARHIGRAM 6'!$I$16</f>
        <v>1760</v>
      </c>
      <c r="I375" s="670">
        <f>'TEHNIČNA OPREMA'!H270</f>
        <v>1689.6</v>
      </c>
    </row>
    <row r="376" spans="1:23" s="18" customFormat="1" ht="15.75" x14ac:dyDescent="0.25">
      <c r="A376" s="960" t="b">
        <v>1</v>
      </c>
      <c r="B376" s="667" t="s">
        <v>374</v>
      </c>
      <c r="C376" s="668">
        <f>IFERROR(IF(A376=TRUE,('POŽARNA VARNOST'!C28+'POŽARNA VARNOST'!C51+'POŽARNA VARNOST'!C74+'POŽARNA VARNOST'!C97+'POŽARNA VARNOST'!C120),""),"")</f>
        <v>13</v>
      </c>
      <c r="D376" s="668">
        <f>IFERROR(IF(A376=TRUE,('POŽARNA VARNOST'!C29+'POŽARNA VARNOST'!C52+'POŽARNA VARNOST'!C75+'POŽARNA VARNOST'!C98+'POŽARNA VARNOST'!C121),""),"")</f>
        <v>15</v>
      </c>
      <c r="E376" s="965" t="b">
        <v>1</v>
      </c>
      <c r="F376" s="970"/>
      <c r="G376" s="669">
        <f t="shared" si="0"/>
        <v>14</v>
      </c>
      <c r="H376" s="670">
        <f>G376*'ARHIGRAM 6'!$I$16</f>
        <v>770</v>
      </c>
      <c r="I376" s="670">
        <f>'POŽARNA VARNOST'!H181</f>
        <v>770.00000000000011</v>
      </c>
    </row>
    <row r="377" spans="1:23" s="18" customFormat="1" ht="15.75" x14ac:dyDescent="0.25">
      <c r="A377" s="960" t="b">
        <v>1</v>
      </c>
      <c r="B377" s="671" t="s">
        <v>372</v>
      </c>
      <c r="C377" s="672">
        <f>IFERROR(IF(A377=TRUE,('GRADBENA FIZIKA'!C29+'GRADBENA FIZIKA'!C52+'GRADBENA FIZIKA'!C75+'GRADBENA FIZIKA'!C98+'GRADBENA FIZIKA'!C121),""),"")</f>
        <v>30</v>
      </c>
      <c r="D377" s="672">
        <f>IFERROR(IF(A377=TRUE,('GRADBENA FIZIKA'!C30+'GRADBENA FIZIKA'!C53+'GRADBENA FIZIKA'!C76+'GRADBENA FIZIKA'!C99+'GRADBENA FIZIKA'!C122),""),"")</f>
        <v>37</v>
      </c>
      <c r="E377" s="965" t="b">
        <v>1</v>
      </c>
      <c r="F377" s="970"/>
      <c r="G377" s="669">
        <f t="shared" si="0"/>
        <v>33.5</v>
      </c>
      <c r="H377" s="670">
        <f>G377*'ARHIGRAM 6'!$I$16</f>
        <v>1842.5</v>
      </c>
      <c r="I377" s="670">
        <f>'GRADBENA FIZIKA'!H171</f>
        <v>1842.5</v>
      </c>
    </row>
    <row r="378" spans="1:23" s="18" customFormat="1" ht="15.75" x14ac:dyDescent="0.25">
      <c r="A378" s="960" t="b">
        <v>1</v>
      </c>
      <c r="B378" s="673" t="s">
        <v>69</v>
      </c>
      <c r="C378" s="674">
        <f>IFERROR(IF(A378=TRUE,('GRADBENA FIZIKA'!G29+'GRADBENA FIZIKA'!G52+'GRADBENA FIZIKA'!G75+'GRADBENA FIZIKA'!G98+'GRADBENA FIZIKA'!G121),""),"")</f>
        <v>25</v>
      </c>
      <c r="D378" s="674">
        <f>IFERROR(IF(A378=TRUE,('GRADBENA FIZIKA'!G30+'GRADBENA FIZIKA'!G53+'GRADBENA FIZIKA'!G76+'GRADBENA FIZIKA'!G99+'GRADBENA FIZIKA'!G122),""),"")</f>
        <v>29</v>
      </c>
      <c r="E378" s="965" t="b">
        <v>1</v>
      </c>
      <c r="F378" s="970"/>
      <c r="G378" s="669">
        <f t="shared" si="0"/>
        <v>27</v>
      </c>
      <c r="H378" s="670">
        <f>G378*'ARHIGRAM 6'!$I$16</f>
        <v>1485</v>
      </c>
      <c r="I378" s="670">
        <f>'GRADBENA FIZIKA'!H216</f>
        <v>1485</v>
      </c>
    </row>
    <row r="379" spans="1:23" s="18" customFormat="1" ht="15.75" x14ac:dyDescent="0.25">
      <c r="A379" s="961" t="b">
        <v>1</v>
      </c>
      <c r="B379" s="675" t="s">
        <v>373</v>
      </c>
      <c r="C379" s="676">
        <f>IFERROR(IF(A379=TRUE,IF(E329&gt;50000,"NI DOLOČENO",('GRADBENA FIZIKA'!K29+'GRADBENA FIZIKA'!K52+'GRADBENA FIZIKA'!K75+'GRADBENA FIZIKA'!K98+'GRADBENA FIZIKA'!K121)),""),"")</f>
        <v>36</v>
      </c>
      <c r="D379" s="676">
        <f>IFERROR(IF(A379=TRUE,IF(E329&gt;50000,"NI DOLOČENO",('GRADBENA FIZIKA'!K30+'GRADBENA FIZIKA'!K53+'GRADBENA FIZIKA'!K76+'GRADBENA FIZIKA'!K99+'GRADBENA FIZIKA'!K122)),""),"")</f>
        <v>46</v>
      </c>
      <c r="E379" s="966" t="b">
        <v>1</v>
      </c>
      <c r="F379" s="971"/>
      <c r="G379" s="677">
        <f t="shared" si="0"/>
        <v>41</v>
      </c>
      <c r="H379" s="670">
        <f>G379*'ARHIGRAM 6'!$I$16</f>
        <v>2255</v>
      </c>
      <c r="I379" s="678">
        <f>'GRADBENA FIZIKA'!H261</f>
        <v>2255.0000000000005</v>
      </c>
    </row>
    <row r="380" spans="1:23" s="18" customFormat="1" ht="15.75" x14ac:dyDescent="0.25">
      <c r="A380" s="21"/>
      <c r="B380" s="22"/>
      <c r="C380" s="22"/>
      <c r="D380" s="23"/>
      <c r="E380" s="23"/>
      <c r="F380" s="23"/>
      <c r="G380" s="23"/>
      <c r="H380" s="291">
        <f>SUM(H368:H379)</f>
        <v>87257.5</v>
      </c>
      <c r="I380" s="291">
        <f>SUM(I368:I379)</f>
        <v>82225</v>
      </c>
      <c r="J380" s="24"/>
      <c r="K380" s="24"/>
    </row>
    <row r="381" spans="1:23" s="18" customFormat="1" ht="18.75" x14ac:dyDescent="0.25">
      <c r="A381" s="1" t="s">
        <v>919</v>
      </c>
      <c r="B381" s="62"/>
      <c r="C381" s="62"/>
      <c r="D381" s="62"/>
      <c r="E381" s="337"/>
      <c r="F381" s="62"/>
      <c r="L381" s="292"/>
      <c r="M381" s="292"/>
    </row>
    <row r="382" spans="1:23" s="18" customFormat="1" ht="15.75" customHeight="1" x14ac:dyDescent="0.25">
      <c r="B382" s="34" t="s">
        <v>1061</v>
      </c>
      <c r="C382" s="34"/>
      <c r="D382" s="226"/>
      <c r="E382" s="226"/>
      <c r="F382" s="226"/>
    </row>
    <row r="383" spans="1:23" ht="15.75" x14ac:dyDescent="0.25">
      <c r="A383" s="18"/>
      <c r="B383" s="378"/>
      <c r="C383" s="378"/>
      <c r="D383" s="379"/>
      <c r="E383" s="380"/>
      <c r="F383" s="378"/>
      <c r="G383" s="378" t="s">
        <v>735</v>
      </c>
      <c r="H383" s="378"/>
      <c r="I383" s="378"/>
      <c r="J383" s="378"/>
      <c r="K383" s="378"/>
      <c r="L383" s="378"/>
    </row>
    <row r="384" spans="1:23" s="34" customFormat="1" ht="15.75" x14ac:dyDescent="0.25">
      <c r="A384" s="18"/>
      <c r="B384" s="381" t="s">
        <v>485</v>
      </c>
      <c r="C384" s="381"/>
      <c r="D384" s="382"/>
      <c r="E384" s="383" t="s">
        <v>479</v>
      </c>
      <c r="F384" s="972">
        <v>0</v>
      </c>
      <c r="G384" s="764" t="s">
        <v>1175</v>
      </c>
      <c r="H384" s="764"/>
      <c r="I384" s="764"/>
      <c r="J384" s="764"/>
      <c r="K384" s="764"/>
      <c r="L384" s="764"/>
      <c r="W384" s="37"/>
    </row>
    <row r="385" spans="1:23" ht="15.75" x14ac:dyDescent="0.25">
      <c r="A385" s="18"/>
      <c r="B385" s="648" t="s">
        <v>1081</v>
      </c>
      <c r="C385" s="648"/>
      <c r="D385" s="384"/>
      <c r="E385" s="809" t="s">
        <v>480</v>
      </c>
      <c r="F385" s="973">
        <v>0</v>
      </c>
      <c r="G385" s="810" t="s">
        <v>1082</v>
      </c>
      <c r="H385" s="765"/>
      <c r="I385" s="765"/>
      <c r="J385" s="765"/>
      <c r="K385" s="765"/>
      <c r="L385" s="765"/>
    </row>
    <row r="386" spans="1:23" ht="15.75" x14ac:dyDescent="0.25">
      <c r="A386" s="18"/>
      <c r="B386" s="394"/>
      <c r="C386" s="394"/>
      <c r="D386" s="395"/>
      <c r="E386" s="396"/>
      <c r="F386" s="711"/>
      <c r="G386" s="397"/>
      <c r="H386" s="397"/>
      <c r="I386" s="397"/>
      <c r="J386" s="397"/>
      <c r="K386" s="397"/>
      <c r="L386" s="397"/>
    </row>
    <row r="387" spans="1:23" ht="25.5" x14ac:dyDescent="0.25">
      <c r="A387" s="18"/>
      <c r="B387" s="392" t="s">
        <v>482</v>
      </c>
      <c r="C387" s="392"/>
      <c r="D387" s="393"/>
      <c r="E387" s="393"/>
      <c r="F387" s="1257" t="b">
        <v>1</v>
      </c>
      <c r="G387" s="845" t="s">
        <v>1101</v>
      </c>
      <c r="H387" s="391"/>
      <c r="I387" s="391"/>
      <c r="J387" s="391"/>
      <c r="K387" s="391"/>
      <c r="L387" s="391"/>
    </row>
    <row r="388" spans="1:23" s="34" customFormat="1" ht="15.75" x14ac:dyDescent="0.25">
      <c r="A388" s="18"/>
      <c r="B388" s="377" t="s">
        <v>483</v>
      </c>
      <c r="C388" s="377"/>
      <c r="D388" s="376"/>
      <c r="E388" s="376"/>
      <c r="F388" s="1258" t="b">
        <v>1</v>
      </c>
      <c r="G388" s="377" t="s">
        <v>1102</v>
      </c>
      <c r="H388" s="286"/>
      <c r="W388" s="37"/>
    </row>
    <row r="389" spans="1:23" s="34" customFormat="1" ht="25.5" x14ac:dyDescent="0.25">
      <c r="A389" s="18"/>
      <c r="B389" s="1254" t="s">
        <v>484</v>
      </c>
      <c r="C389" s="1254"/>
      <c r="D389" s="1255"/>
      <c r="E389" s="1255"/>
      <c r="F389" s="1259" t="b">
        <v>1</v>
      </c>
      <c r="G389" s="1324" t="s">
        <v>1102</v>
      </c>
      <c r="H389" s="1256"/>
      <c r="I389" s="1256"/>
      <c r="J389" s="1256"/>
      <c r="K389" s="1256"/>
      <c r="L389" s="1256"/>
      <c r="W389" s="37"/>
    </row>
    <row r="390" spans="1:23" ht="15.75" x14ac:dyDescent="0.25">
      <c r="A390" s="18"/>
      <c r="B390" s="39"/>
      <c r="C390" s="39"/>
      <c r="D390" s="41"/>
      <c r="E390" s="348"/>
      <c r="F390" s="27"/>
    </row>
    <row r="391" spans="1:23" x14ac:dyDescent="0.2">
      <c r="A391" s="34"/>
      <c r="B391" s="34"/>
      <c r="C391" s="34"/>
      <c r="D391" s="51"/>
      <c r="E391" s="342"/>
    </row>
    <row r="392" spans="1:23" ht="15.75" x14ac:dyDescent="0.25">
      <c r="A392" s="31"/>
      <c r="B392" s="219" t="s">
        <v>1159</v>
      </c>
      <c r="C392" s="219"/>
      <c r="D392" s="220"/>
      <c r="E392" s="349"/>
      <c r="F392" s="221"/>
      <c r="G392" s="221"/>
      <c r="H392" s="221"/>
      <c r="I392" s="221"/>
      <c r="J392" s="221"/>
      <c r="K392" s="221"/>
      <c r="L392" s="221"/>
    </row>
  </sheetData>
  <sheetProtection algorithmName="SHA-512" hashValue="X0lVUJQmRCTniWDngEIhOSwiKt7WSKwQysvyCj/BFGPuo9uewXQMNVwCdpNbCN5lAqvm8yerQjtK9Ox9h4/Qqg==" saltValue="PRcsCq2gLXzG7aGHfFzKkg==" spinCount="100000" sheet="1" objects="1" scenarios="1"/>
  <dataConsolidate link="1"/>
  <mergeCells count="23">
    <mergeCell ref="E188:F188"/>
    <mergeCell ref="E199:F199"/>
    <mergeCell ref="E15:F15"/>
    <mergeCell ref="E47:F47"/>
    <mergeCell ref="E46:F46"/>
    <mergeCell ref="E77:F77"/>
    <mergeCell ref="E78:F78"/>
    <mergeCell ref="B362:F362"/>
    <mergeCell ref="B361:F361"/>
    <mergeCell ref="B363:F363"/>
    <mergeCell ref="E16:F16"/>
    <mergeCell ref="E108:F108"/>
    <mergeCell ref="E109:F109"/>
    <mergeCell ref="E140:F140"/>
    <mergeCell ref="E139:F139"/>
    <mergeCell ref="E176:F176"/>
    <mergeCell ref="E187:F187"/>
    <mergeCell ref="E198:F198"/>
    <mergeCell ref="E209:F209"/>
    <mergeCell ref="E210:F210"/>
    <mergeCell ref="E221:F221"/>
    <mergeCell ref="E220:F220"/>
    <mergeCell ref="E177:F177"/>
  </mergeCells>
  <phoneticPr fontId="65" type="noConversion"/>
  <pageMargins left="0.7" right="0.7" top="0.75" bottom="0.75" header="0.3" footer="0.3"/>
  <pageSetup paperSize="8"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57" r:id="rId4" name="Check Box 13">
              <controlPr defaultSize="0" autoFill="0" autoLine="0" autoPict="0">
                <anchor moveWithCells="1">
                  <from>
                    <xdr:col>5</xdr:col>
                    <xdr:colOff>38100</xdr:colOff>
                    <xdr:row>388</xdr:row>
                    <xdr:rowOff>47625</xdr:rowOff>
                  </from>
                  <to>
                    <xdr:col>5</xdr:col>
                    <xdr:colOff>342900</xdr:colOff>
                    <xdr:row>389</xdr:row>
                    <xdr:rowOff>0</xdr:rowOff>
                  </to>
                </anchor>
              </controlPr>
            </control>
          </mc:Choice>
        </mc:AlternateContent>
        <mc:AlternateContent xmlns:mc="http://schemas.openxmlformats.org/markup-compatibility/2006">
          <mc:Choice Requires="x14">
            <control shapeId="31761" r:id="rId5" name="Check Box 17">
              <controlPr defaultSize="0" autoFill="0" autoLine="0" autoPict="0">
                <anchor moveWithCells="1">
                  <from>
                    <xdr:col>5</xdr:col>
                    <xdr:colOff>38100</xdr:colOff>
                    <xdr:row>386</xdr:row>
                    <xdr:rowOff>304800</xdr:rowOff>
                  </from>
                  <to>
                    <xdr:col>5</xdr:col>
                    <xdr:colOff>342900</xdr:colOff>
                    <xdr:row>388</xdr:row>
                    <xdr:rowOff>0</xdr:rowOff>
                  </to>
                </anchor>
              </controlPr>
            </control>
          </mc:Choice>
        </mc:AlternateContent>
        <mc:AlternateContent xmlns:mc="http://schemas.openxmlformats.org/markup-compatibility/2006">
          <mc:Choice Requires="x14">
            <control shapeId="31762" r:id="rId6" name="Check Box 18">
              <controlPr defaultSize="0" autoFill="0" autoLine="0" autoPict="0">
                <anchor moveWithCells="1">
                  <from>
                    <xdr:col>5</xdr:col>
                    <xdr:colOff>38100</xdr:colOff>
                    <xdr:row>386</xdr:row>
                    <xdr:rowOff>9525</xdr:rowOff>
                  </from>
                  <to>
                    <xdr:col>5</xdr:col>
                    <xdr:colOff>342900</xdr:colOff>
                    <xdr:row>387</xdr:row>
                    <xdr:rowOff>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4</xdr:col>
                    <xdr:colOff>76200</xdr:colOff>
                    <xdr:row>367</xdr:row>
                    <xdr:rowOff>19050</xdr:rowOff>
                  </from>
                  <to>
                    <xdr:col>4</xdr:col>
                    <xdr:colOff>323850</xdr:colOff>
                    <xdr:row>367</xdr:row>
                    <xdr:rowOff>180975</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4</xdr:col>
                    <xdr:colOff>76200</xdr:colOff>
                    <xdr:row>368</xdr:row>
                    <xdr:rowOff>19050</xdr:rowOff>
                  </from>
                  <to>
                    <xdr:col>4</xdr:col>
                    <xdr:colOff>323850</xdr:colOff>
                    <xdr:row>368</xdr:row>
                    <xdr:rowOff>180975</xdr:rowOff>
                  </to>
                </anchor>
              </controlPr>
            </control>
          </mc:Choice>
        </mc:AlternateContent>
        <mc:AlternateContent xmlns:mc="http://schemas.openxmlformats.org/markup-compatibility/2006">
          <mc:Choice Requires="x14">
            <control shapeId="31790" r:id="rId9" name="Check Box 46">
              <controlPr defaultSize="0" autoFill="0" autoLine="0" autoPict="0">
                <anchor moveWithCells="1">
                  <from>
                    <xdr:col>4</xdr:col>
                    <xdr:colOff>76200</xdr:colOff>
                    <xdr:row>369</xdr:row>
                    <xdr:rowOff>19050</xdr:rowOff>
                  </from>
                  <to>
                    <xdr:col>4</xdr:col>
                    <xdr:colOff>323850</xdr:colOff>
                    <xdr:row>369</xdr:row>
                    <xdr:rowOff>180975</xdr:rowOff>
                  </to>
                </anchor>
              </controlPr>
            </control>
          </mc:Choice>
        </mc:AlternateContent>
        <mc:AlternateContent xmlns:mc="http://schemas.openxmlformats.org/markup-compatibility/2006">
          <mc:Choice Requires="x14">
            <control shapeId="31791" r:id="rId10" name="Check Box 47">
              <controlPr defaultSize="0" autoFill="0" autoLine="0" autoPict="0">
                <anchor moveWithCells="1">
                  <from>
                    <xdr:col>4</xdr:col>
                    <xdr:colOff>76200</xdr:colOff>
                    <xdr:row>371</xdr:row>
                    <xdr:rowOff>19050</xdr:rowOff>
                  </from>
                  <to>
                    <xdr:col>4</xdr:col>
                    <xdr:colOff>323850</xdr:colOff>
                    <xdr:row>371</xdr:row>
                    <xdr:rowOff>180975</xdr:rowOff>
                  </to>
                </anchor>
              </controlPr>
            </control>
          </mc:Choice>
        </mc:AlternateContent>
        <mc:AlternateContent xmlns:mc="http://schemas.openxmlformats.org/markup-compatibility/2006">
          <mc:Choice Requires="x14">
            <control shapeId="31792" r:id="rId11" name="Check Box 48">
              <controlPr defaultSize="0" autoFill="0" autoLine="0" autoPict="0">
                <anchor moveWithCells="1">
                  <from>
                    <xdr:col>4</xdr:col>
                    <xdr:colOff>76200</xdr:colOff>
                    <xdr:row>372</xdr:row>
                    <xdr:rowOff>19050</xdr:rowOff>
                  </from>
                  <to>
                    <xdr:col>4</xdr:col>
                    <xdr:colOff>323850</xdr:colOff>
                    <xdr:row>372</xdr:row>
                    <xdr:rowOff>180975</xdr:rowOff>
                  </to>
                </anchor>
              </controlPr>
            </control>
          </mc:Choice>
        </mc:AlternateContent>
        <mc:AlternateContent xmlns:mc="http://schemas.openxmlformats.org/markup-compatibility/2006">
          <mc:Choice Requires="x14">
            <control shapeId="31793" r:id="rId12" name="Check Box 49">
              <controlPr defaultSize="0" autoFill="0" autoLine="0" autoPict="0">
                <anchor moveWithCells="1">
                  <from>
                    <xdr:col>4</xdr:col>
                    <xdr:colOff>76200</xdr:colOff>
                    <xdr:row>373</xdr:row>
                    <xdr:rowOff>19050</xdr:rowOff>
                  </from>
                  <to>
                    <xdr:col>4</xdr:col>
                    <xdr:colOff>323850</xdr:colOff>
                    <xdr:row>373</xdr:row>
                    <xdr:rowOff>180975</xdr:rowOff>
                  </to>
                </anchor>
              </controlPr>
            </control>
          </mc:Choice>
        </mc:AlternateContent>
        <mc:AlternateContent xmlns:mc="http://schemas.openxmlformats.org/markup-compatibility/2006">
          <mc:Choice Requires="x14">
            <control shapeId="31794" r:id="rId13" name="Check Box 50">
              <controlPr defaultSize="0" autoFill="0" autoLine="0" autoPict="0">
                <anchor moveWithCells="1">
                  <from>
                    <xdr:col>4</xdr:col>
                    <xdr:colOff>76200</xdr:colOff>
                    <xdr:row>374</xdr:row>
                    <xdr:rowOff>19050</xdr:rowOff>
                  </from>
                  <to>
                    <xdr:col>4</xdr:col>
                    <xdr:colOff>323850</xdr:colOff>
                    <xdr:row>374</xdr:row>
                    <xdr:rowOff>180975</xdr:rowOff>
                  </to>
                </anchor>
              </controlPr>
            </control>
          </mc:Choice>
        </mc:AlternateContent>
        <mc:AlternateContent xmlns:mc="http://schemas.openxmlformats.org/markup-compatibility/2006">
          <mc:Choice Requires="x14">
            <control shapeId="31795" r:id="rId14" name="Check Box 51">
              <controlPr defaultSize="0" autoFill="0" autoLine="0" autoPict="0">
                <anchor moveWithCells="1">
                  <from>
                    <xdr:col>4</xdr:col>
                    <xdr:colOff>76200</xdr:colOff>
                    <xdr:row>375</xdr:row>
                    <xdr:rowOff>19050</xdr:rowOff>
                  </from>
                  <to>
                    <xdr:col>4</xdr:col>
                    <xdr:colOff>323850</xdr:colOff>
                    <xdr:row>375</xdr:row>
                    <xdr:rowOff>180975</xdr:rowOff>
                  </to>
                </anchor>
              </controlPr>
            </control>
          </mc:Choice>
        </mc:AlternateContent>
        <mc:AlternateContent xmlns:mc="http://schemas.openxmlformats.org/markup-compatibility/2006">
          <mc:Choice Requires="x14">
            <control shapeId="31798" r:id="rId15" name="Check Box 54">
              <controlPr defaultSize="0" autoFill="0" autoLine="0" autoPict="0">
                <anchor moveWithCells="1">
                  <from>
                    <xdr:col>4</xdr:col>
                    <xdr:colOff>76200</xdr:colOff>
                    <xdr:row>376</xdr:row>
                    <xdr:rowOff>19050</xdr:rowOff>
                  </from>
                  <to>
                    <xdr:col>4</xdr:col>
                    <xdr:colOff>323850</xdr:colOff>
                    <xdr:row>376</xdr:row>
                    <xdr:rowOff>180975</xdr:rowOff>
                  </to>
                </anchor>
              </controlPr>
            </control>
          </mc:Choice>
        </mc:AlternateContent>
        <mc:AlternateContent xmlns:mc="http://schemas.openxmlformats.org/markup-compatibility/2006">
          <mc:Choice Requires="x14">
            <control shapeId="31799" r:id="rId16" name="Check Box 55">
              <controlPr defaultSize="0" autoFill="0" autoLine="0" autoPict="0">
                <anchor moveWithCells="1">
                  <from>
                    <xdr:col>4</xdr:col>
                    <xdr:colOff>76200</xdr:colOff>
                    <xdr:row>377</xdr:row>
                    <xdr:rowOff>19050</xdr:rowOff>
                  </from>
                  <to>
                    <xdr:col>4</xdr:col>
                    <xdr:colOff>323850</xdr:colOff>
                    <xdr:row>377</xdr:row>
                    <xdr:rowOff>180975</xdr:rowOff>
                  </to>
                </anchor>
              </controlPr>
            </control>
          </mc:Choice>
        </mc:AlternateContent>
        <mc:AlternateContent xmlns:mc="http://schemas.openxmlformats.org/markup-compatibility/2006">
          <mc:Choice Requires="x14">
            <control shapeId="31800" r:id="rId17" name="Check Box 56">
              <controlPr defaultSize="0" autoFill="0" autoLine="0" autoPict="0">
                <anchor moveWithCells="1">
                  <from>
                    <xdr:col>4</xdr:col>
                    <xdr:colOff>76200</xdr:colOff>
                    <xdr:row>378</xdr:row>
                    <xdr:rowOff>19050</xdr:rowOff>
                  </from>
                  <to>
                    <xdr:col>4</xdr:col>
                    <xdr:colOff>323850</xdr:colOff>
                    <xdr:row>378</xdr:row>
                    <xdr:rowOff>180975</xdr:rowOff>
                  </to>
                </anchor>
              </controlPr>
            </control>
          </mc:Choice>
        </mc:AlternateContent>
        <mc:AlternateContent xmlns:mc="http://schemas.openxmlformats.org/markup-compatibility/2006">
          <mc:Choice Requires="x14">
            <control shapeId="31828" r:id="rId18" name="Check Box 84">
              <controlPr defaultSize="0" autoFill="0" autoLine="0" autoPict="0">
                <anchor moveWithCells="1">
                  <from>
                    <xdr:col>0</xdr:col>
                    <xdr:colOff>76200</xdr:colOff>
                    <xdr:row>367</xdr:row>
                    <xdr:rowOff>19050</xdr:rowOff>
                  </from>
                  <to>
                    <xdr:col>0</xdr:col>
                    <xdr:colOff>323850</xdr:colOff>
                    <xdr:row>367</xdr:row>
                    <xdr:rowOff>180975</xdr:rowOff>
                  </to>
                </anchor>
              </controlPr>
            </control>
          </mc:Choice>
        </mc:AlternateContent>
        <mc:AlternateContent xmlns:mc="http://schemas.openxmlformats.org/markup-compatibility/2006">
          <mc:Choice Requires="x14">
            <control shapeId="31829" r:id="rId19" name="Check Box 85">
              <controlPr defaultSize="0" autoFill="0" autoLine="0" autoPict="0">
                <anchor moveWithCells="1">
                  <from>
                    <xdr:col>0</xdr:col>
                    <xdr:colOff>76200</xdr:colOff>
                    <xdr:row>368</xdr:row>
                    <xdr:rowOff>19050</xdr:rowOff>
                  </from>
                  <to>
                    <xdr:col>0</xdr:col>
                    <xdr:colOff>323850</xdr:colOff>
                    <xdr:row>368</xdr:row>
                    <xdr:rowOff>180975</xdr:rowOff>
                  </to>
                </anchor>
              </controlPr>
            </control>
          </mc:Choice>
        </mc:AlternateContent>
        <mc:AlternateContent xmlns:mc="http://schemas.openxmlformats.org/markup-compatibility/2006">
          <mc:Choice Requires="x14">
            <control shapeId="31830" r:id="rId20" name="Check Box 86">
              <controlPr defaultSize="0" autoFill="0" autoLine="0" autoPict="0">
                <anchor moveWithCells="1">
                  <from>
                    <xdr:col>0</xdr:col>
                    <xdr:colOff>76200</xdr:colOff>
                    <xdr:row>369</xdr:row>
                    <xdr:rowOff>19050</xdr:rowOff>
                  </from>
                  <to>
                    <xdr:col>0</xdr:col>
                    <xdr:colOff>323850</xdr:colOff>
                    <xdr:row>369</xdr:row>
                    <xdr:rowOff>180975</xdr:rowOff>
                  </to>
                </anchor>
              </controlPr>
            </control>
          </mc:Choice>
        </mc:AlternateContent>
        <mc:AlternateContent xmlns:mc="http://schemas.openxmlformats.org/markup-compatibility/2006">
          <mc:Choice Requires="x14">
            <control shapeId="31833" r:id="rId21" name="Check Box 89">
              <controlPr defaultSize="0" autoFill="0" autoLine="0" autoPict="0">
                <anchor moveWithCells="1">
                  <from>
                    <xdr:col>0</xdr:col>
                    <xdr:colOff>76200</xdr:colOff>
                    <xdr:row>371</xdr:row>
                    <xdr:rowOff>19050</xdr:rowOff>
                  </from>
                  <to>
                    <xdr:col>0</xdr:col>
                    <xdr:colOff>323850</xdr:colOff>
                    <xdr:row>371</xdr:row>
                    <xdr:rowOff>180975</xdr:rowOff>
                  </to>
                </anchor>
              </controlPr>
            </control>
          </mc:Choice>
        </mc:AlternateContent>
        <mc:AlternateContent xmlns:mc="http://schemas.openxmlformats.org/markup-compatibility/2006">
          <mc:Choice Requires="x14">
            <control shapeId="31834" r:id="rId22" name="Check Box 90">
              <controlPr defaultSize="0" autoFill="0" autoLine="0" autoPict="0">
                <anchor moveWithCells="1">
                  <from>
                    <xdr:col>0</xdr:col>
                    <xdr:colOff>76200</xdr:colOff>
                    <xdr:row>372</xdr:row>
                    <xdr:rowOff>19050</xdr:rowOff>
                  </from>
                  <to>
                    <xdr:col>0</xdr:col>
                    <xdr:colOff>323850</xdr:colOff>
                    <xdr:row>372</xdr:row>
                    <xdr:rowOff>180975</xdr:rowOff>
                  </to>
                </anchor>
              </controlPr>
            </control>
          </mc:Choice>
        </mc:AlternateContent>
        <mc:AlternateContent xmlns:mc="http://schemas.openxmlformats.org/markup-compatibility/2006">
          <mc:Choice Requires="x14">
            <control shapeId="31835" r:id="rId23" name="Check Box 91">
              <controlPr defaultSize="0" autoFill="0" autoLine="0" autoPict="0">
                <anchor moveWithCells="1">
                  <from>
                    <xdr:col>0</xdr:col>
                    <xdr:colOff>76200</xdr:colOff>
                    <xdr:row>373</xdr:row>
                    <xdr:rowOff>19050</xdr:rowOff>
                  </from>
                  <to>
                    <xdr:col>0</xdr:col>
                    <xdr:colOff>323850</xdr:colOff>
                    <xdr:row>373</xdr:row>
                    <xdr:rowOff>180975</xdr:rowOff>
                  </to>
                </anchor>
              </controlPr>
            </control>
          </mc:Choice>
        </mc:AlternateContent>
        <mc:AlternateContent xmlns:mc="http://schemas.openxmlformats.org/markup-compatibility/2006">
          <mc:Choice Requires="x14">
            <control shapeId="31836" r:id="rId24" name="Check Box 92">
              <controlPr defaultSize="0" autoFill="0" autoLine="0" autoPict="0">
                <anchor moveWithCells="1">
                  <from>
                    <xdr:col>0</xdr:col>
                    <xdr:colOff>76200</xdr:colOff>
                    <xdr:row>374</xdr:row>
                    <xdr:rowOff>19050</xdr:rowOff>
                  </from>
                  <to>
                    <xdr:col>0</xdr:col>
                    <xdr:colOff>323850</xdr:colOff>
                    <xdr:row>374</xdr:row>
                    <xdr:rowOff>180975</xdr:rowOff>
                  </to>
                </anchor>
              </controlPr>
            </control>
          </mc:Choice>
        </mc:AlternateContent>
        <mc:AlternateContent xmlns:mc="http://schemas.openxmlformats.org/markup-compatibility/2006">
          <mc:Choice Requires="x14">
            <control shapeId="31837" r:id="rId25" name="Check Box 93">
              <controlPr defaultSize="0" autoFill="0" autoLine="0" autoPict="0">
                <anchor moveWithCells="1">
                  <from>
                    <xdr:col>0</xdr:col>
                    <xdr:colOff>76200</xdr:colOff>
                    <xdr:row>375</xdr:row>
                    <xdr:rowOff>19050</xdr:rowOff>
                  </from>
                  <to>
                    <xdr:col>0</xdr:col>
                    <xdr:colOff>323850</xdr:colOff>
                    <xdr:row>375</xdr:row>
                    <xdr:rowOff>180975</xdr:rowOff>
                  </to>
                </anchor>
              </controlPr>
            </control>
          </mc:Choice>
        </mc:AlternateContent>
        <mc:AlternateContent xmlns:mc="http://schemas.openxmlformats.org/markup-compatibility/2006">
          <mc:Choice Requires="x14">
            <control shapeId="31838" r:id="rId26" name="Check Box 94">
              <controlPr defaultSize="0" autoFill="0" autoLine="0" autoPict="0">
                <anchor moveWithCells="1">
                  <from>
                    <xdr:col>0</xdr:col>
                    <xdr:colOff>76200</xdr:colOff>
                    <xdr:row>376</xdr:row>
                    <xdr:rowOff>19050</xdr:rowOff>
                  </from>
                  <to>
                    <xdr:col>0</xdr:col>
                    <xdr:colOff>323850</xdr:colOff>
                    <xdr:row>376</xdr:row>
                    <xdr:rowOff>180975</xdr:rowOff>
                  </to>
                </anchor>
              </controlPr>
            </control>
          </mc:Choice>
        </mc:AlternateContent>
        <mc:AlternateContent xmlns:mc="http://schemas.openxmlformats.org/markup-compatibility/2006">
          <mc:Choice Requires="x14">
            <control shapeId="31839" r:id="rId27" name="Check Box 95">
              <controlPr defaultSize="0" autoFill="0" autoLine="0" autoPict="0">
                <anchor moveWithCells="1">
                  <from>
                    <xdr:col>0</xdr:col>
                    <xdr:colOff>76200</xdr:colOff>
                    <xdr:row>377</xdr:row>
                    <xdr:rowOff>19050</xdr:rowOff>
                  </from>
                  <to>
                    <xdr:col>0</xdr:col>
                    <xdr:colOff>323850</xdr:colOff>
                    <xdr:row>377</xdr:row>
                    <xdr:rowOff>180975</xdr:rowOff>
                  </to>
                </anchor>
              </controlPr>
            </control>
          </mc:Choice>
        </mc:AlternateContent>
        <mc:AlternateContent xmlns:mc="http://schemas.openxmlformats.org/markup-compatibility/2006">
          <mc:Choice Requires="x14">
            <control shapeId="31840" r:id="rId28" name="Check Box 96">
              <controlPr defaultSize="0" autoFill="0" autoLine="0" autoPict="0">
                <anchor moveWithCells="1">
                  <from>
                    <xdr:col>0</xdr:col>
                    <xdr:colOff>76200</xdr:colOff>
                    <xdr:row>378</xdr:row>
                    <xdr:rowOff>19050</xdr:rowOff>
                  </from>
                  <to>
                    <xdr:col>0</xdr:col>
                    <xdr:colOff>323850</xdr:colOff>
                    <xdr:row>378</xdr:row>
                    <xdr:rowOff>180975</xdr:rowOff>
                  </to>
                </anchor>
              </controlPr>
            </control>
          </mc:Choice>
        </mc:AlternateContent>
        <mc:AlternateContent xmlns:mc="http://schemas.openxmlformats.org/markup-compatibility/2006">
          <mc:Choice Requires="x14">
            <control shapeId="31841" r:id="rId29" name="Check Box 97">
              <controlPr defaultSize="0" autoFill="0" autoLine="0" autoPict="0">
                <anchor moveWithCells="1">
                  <from>
                    <xdr:col>0</xdr:col>
                    <xdr:colOff>76200</xdr:colOff>
                    <xdr:row>365</xdr:row>
                    <xdr:rowOff>19050</xdr:rowOff>
                  </from>
                  <to>
                    <xdr:col>0</xdr:col>
                    <xdr:colOff>323850</xdr:colOff>
                    <xdr:row>365</xdr:row>
                    <xdr:rowOff>180975</xdr:rowOff>
                  </to>
                </anchor>
              </controlPr>
            </control>
          </mc:Choice>
        </mc:AlternateContent>
        <mc:AlternateContent xmlns:mc="http://schemas.openxmlformats.org/markup-compatibility/2006">
          <mc:Choice Requires="x14">
            <control shapeId="31880" r:id="rId30" name="Option Button 136">
              <controlPr defaultSize="0" autoFill="0" autoLine="0" autoPict="0">
                <anchor moveWithCells="1">
                  <from>
                    <xdr:col>5</xdr:col>
                    <xdr:colOff>19050</xdr:colOff>
                    <xdr:row>10</xdr:row>
                    <xdr:rowOff>0</xdr:rowOff>
                  </from>
                  <to>
                    <xdr:col>5</xdr:col>
                    <xdr:colOff>381000</xdr:colOff>
                    <xdr:row>11</xdr:row>
                    <xdr:rowOff>19050</xdr:rowOff>
                  </to>
                </anchor>
              </controlPr>
            </control>
          </mc:Choice>
        </mc:AlternateContent>
        <mc:AlternateContent xmlns:mc="http://schemas.openxmlformats.org/markup-compatibility/2006">
          <mc:Choice Requires="x14">
            <control shapeId="31881" r:id="rId31" name="Option Button 137">
              <controlPr defaultSize="0" autoFill="0" autoLine="0" autoPict="0">
                <anchor moveWithCells="1">
                  <from>
                    <xdr:col>5</xdr:col>
                    <xdr:colOff>9525</xdr:colOff>
                    <xdr:row>10</xdr:row>
                    <xdr:rowOff>180975</xdr:rowOff>
                  </from>
                  <to>
                    <xdr:col>5</xdr:col>
                    <xdr:colOff>314325</xdr:colOff>
                    <xdr:row>12</xdr:row>
                    <xdr:rowOff>0</xdr:rowOff>
                  </to>
                </anchor>
              </controlPr>
            </control>
          </mc:Choice>
        </mc:AlternateContent>
        <mc:AlternateContent xmlns:mc="http://schemas.openxmlformats.org/markup-compatibility/2006">
          <mc:Choice Requires="x14">
            <control shapeId="31882" r:id="rId32" name="Option Button 138">
              <controlPr defaultSize="0" autoFill="0" autoLine="0" autoPict="0">
                <anchor moveWithCells="1">
                  <from>
                    <xdr:col>5</xdr:col>
                    <xdr:colOff>19050</xdr:colOff>
                    <xdr:row>171</xdr:row>
                    <xdr:rowOff>0</xdr:rowOff>
                  </from>
                  <to>
                    <xdr:col>5</xdr:col>
                    <xdr:colOff>381000</xdr:colOff>
                    <xdr:row>172</xdr:row>
                    <xdr:rowOff>19050</xdr:rowOff>
                  </to>
                </anchor>
              </controlPr>
            </control>
          </mc:Choice>
        </mc:AlternateContent>
        <mc:AlternateContent xmlns:mc="http://schemas.openxmlformats.org/markup-compatibility/2006">
          <mc:Choice Requires="x14">
            <control shapeId="31883" r:id="rId33" name="Option Button 139">
              <controlPr defaultSize="0" autoFill="0" autoLine="0" autoPict="0">
                <anchor moveWithCells="1">
                  <from>
                    <xdr:col>5</xdr:col>
                    <xdr:colOff>9525</xdr:colOff>
                    <xdr:row>171</xdr:row>
                    <xdr:rowOff>180975</xdr:rowOff>
                  </from>
                  <to>
                    <xdr:col>5</xdr:col>
                    <xdr:colOff>314325</xdr:colOff>
                    <xdr:row>173</xdr:row>
                    <xdr:rowOff>0</xdr:rowOff>
                  </to>
                </anchor>
              </controlPr>
            </control>
          </mc:Choice>
        </mc:AlternateContent>
        <mc:AlternateContent xmlns:mc="http://schemas.openxmlformats.org/markup-compatibility/2006">
          <mc:Choice Requires="x14">
            <control shapeId="31884" r:id="rId34" name="Group Box Stavbe">
              <controlPr defaultSize="0" autoFill="0" autoPict="0">
                <anchor moveWithCells="1">
                  <from>
                    <xdr:col>4</xdr:col>
                    <xdr:colOff>2133600</xdr:colOff>
                    <xdr:row>9</xdr:row>
                    <xdr:rowOff>66675</xdr:rowOff>
                  </from>
                  <to>
                    <xdr:col>5</xdr:col>
                    <xdr:colOff>771525</xdr:colOff>
                    <xdr:row>12</xdr:row>
                    <xdr:rowOff>47625</xdr:rowOff>
                  </to>
                </anchor>
              </controlPr>
            </control>
          </mc:Choice>
        </mc:AlternateContent>
        <mc:AlternateContent xmlns:mc="http://schemas.openxmlformats.org/markup-compatibility/2006">
          <mc:Choice Requires="x14">
            <control shapeId="31885" r:id="rId35" name="Group Box Oprema">
              <controlPr defaultSize="0" autoFill="0" autoPict="0">
                <anchor moveWithCells="1">
                  <from>
                    <xdr:col>4</xdr:col>
                    <xdr:colOff>2124075</xdr:colOff>
                    <xdr:row>170</xdr:row>
                    <xdr:rowOff>104775</xdr:rowOff>
                  </from>
                  <to>
                    <xdr:col>6</xdr:col>
                    <xdr:colOff>133350</xdr:colOff>
                    <xdr:row>173</xdr:row>
                    <xdr:rowOff>95250</xdr:rowOff>
                  </to>
                </anchor>
              </controlPr>
            </control>
          </mc:Choice>
        </mc:AlternateContent>
        <mc:AlternateContent xmlns:mc="http://schemas.openxmlformats.org/markup-compatibility/2006">
          <mc:Choice Requires="x14">
            <control shapeId="31886" r:id="rId36" name="Option Button 142">
              <controlPr defaultSize="0" autoFill="0" autoLine="0" autoPict="0">
                <anchor moveWithCells="1">
                  <from>
                    <xdr:col>5</xdr:col>
                    <xdr:colOff>19050</xdr:colOff>
                    <xdr:row>232</xdr:row>
                    <xdr:rowOff>0</xdr:rowOff>
                  </from>
                  <to>
                    <xdr:col>5</xdr:col>
                    <xdr:colOff>381000</xdr:colOff>
                    <xdr:row>233</xdr:row>
                    <xdr:rowOff>19050</xdr:rowOff>
                  </to>
                </anchor>
              </controlPr>
            </control>
          </mc:Choice>
        </mc:AlternateContent>
        <mc:AlternateContent xmlns:mc="http://schemas.openxmlformats.org/markup-compatibility/2006">
          <mc:Choice Requires="x14">
            <control shapeId="31887" r:id="rId37" name="Option Button 143">
              <controlPr defaultSize="0" autoFill="0" autoLine="0" autoPict="0">
                <anchor moveWithCells="1">
                  <from>
                    <xdr:col>5</xdr:col>
                    <xdr:colOff>9525</xdr:colOff>
                    <xdr:row>232</xdr:row>
                    <xdr:rowOff>180975</xdr:rowOff>
                  </from>
                  <to>
                    <xdr:col>5</xdr:col>
                    <xdr:colOff>314325</xdr:colOff>
                    <xdr:row>234</xdr:row>
                    <xdr:rowOff>0</xdr:rowOff>
                  </to>
                </anchor>
              </controlPr>
            </control>
          </mc:Choice>
        </mc:AlternateContent>
        <mc:AlternateContent xmlns:mc="http://schemas.openxmlformats.org/markup-compatibility/2006">
          <mc:Choice Requires="x14">
            <control shapeId="31889" r:id="rId38" name="Group Box Prostor">
              <controlPr defaultSize="0" autoFill="0" autoPict="0">
                <anchor moveWithCells="1">
                  <from>
                    <xdr:col>4</xdr:col>
                    <xdr:colOff>2105025</xdr:colOff>
                    <xdr:row>231</xdr:row>
                    <xdr:rowOff>114300</xdr:rowOff>
                  </from>
                  <to>
                    <xdr:col>6</xdr:col>
                    <xdr:colOff>104775</xdr:colOff>
                    <xdr:row>234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15EF01EB-C237-4964-94F3-B5CCC6919BFA}">
          <x14:formula1>
            <xm:f>'CENOVNI RAZREDI'!$B$7:$B$93</xm:f>
          </x14:formula1>
          <xm:sqref>E78 E109 E16 E47 E140</xm:sqref>
        </x14:dataValidation>
        <x14:dataValidation type="list" allowBlank="1" showInputMessage="1" showErrorMessage="1" xr:uid="{037F4E00-D1C2-46E5-961E-54AFA38638B1}">
          <x14:formula1>
            <xm:f>'CENOVNI RAZREDI'!$I$96:$I$100</xm:f>
          </x14:formula1>
          <xm:sqref>E119:E120 E150:E151 E49:E50 E88:E89 E18:E19 E223 E311 E26:E27 E57:E58 E80:E81 E275 E293 E239 E257 E111:E112 E179 E190 E201 E212 E142:E143</xm:sqref>
        </x14:dataValidation>
        <x14:dataValidation type="list" allowBlank="1" showInputMessage="1" showErrorMessage="1" xr:uid="{D5C7D1B1-BF81-42D6-A4FD-445C82D55735}">
          <x14:formula1>
            <xm:f>'CENOVNI RAZREDI'!$B$184:$B$243</xm:f>
          </x14:formula1>
          <xm:sqref>E255 E237 E291 E273 E309</xm:sqref>
        </x14:dataValidation>
        <x14:dataValidation type="list" allowBlank="1" showInputMessage="1" showErrorMessage="1" xr:uid="{4EBBAD55-7988-45F6-84BB-1A5D3B838CAC}">
          <x14:formula1>
            <xm:f>'CENOVNI RAZREDI'!$I$96:$I$98</xm:f>
          </x14:formula1>
          <xm:sqref>E20:E23 E25 E51:E54 E56 E113:E116 E118 E82:E85 E87 E144:E147 E149</xm:sqref>
        </x14:dataValidation>
        <x14:dataValidation type="list" allowBlank="1" showInputMessage="1" showErrorMessage="1" xr:uid="{962B6849-3AF1-4338-AFAD-0BDC4E01BEA3}">
          <x14:formula1>
            <xm:f>'CENOVNI RAZREDI'!$B$114:$B$171</xm:f>
          </x14:formula1>
          <xm:sqref>E177:F177 E188:F188 E199:F199 E210:F210 E221:F221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E266D-EBC6-4DEF-86EF-0F4169E51259}">
  <sheetPr codeName="Sheet5">
    <tabColor rgb="FF00B0F0"/>
    <outlinePr summaryBelow="0"/>
  </sheetPr>
  <dimension ref="A1:Z673"/>
  <sheetViews>
    <sheetView topLeftCell="A49" zoomScale="80" zoomScaleNormal="80" workbookViewId="0">
      <selection activeCell="G96" sqref="G96"/>
    </sheetView>
  </sheetViews>
  <sheetFormatPr defaultRowHeight="12.75" x14ac:dyDescent="0.2"/>
  <cols>
    <col min="2" max="2" width="72" customWidth="1"/>
    <col min="3" max="7" width="9.140625" style="251"/>
    <col min="8" max="8" width="3.7109375" customWidth="1"/>
    <col min="9" max="9" width="15.5703125" customWidth="1"/>
    <col min="10" max="10" width="15.28515625" customWidth="1"/>
    <col min="11" max="14" width="10" customWidth="1"/>
    <col min="16" max="16" width="3.5703125" customWidth="1"/>
    <col min="17" max="18" width="13.28515625" customWidth="1"/>
    <col min="19" max="19" width="14.28515625" customWidth="1"/>
  </cols>
  <sheetData>
    <row r="1" spans="2:22" ht="23.25" x14ac:dyDescent="0.35">
      <c r="B1" s="1283" t="s">
        <v>407</v>
      </c>
      <c r="Q1" s="234"/>
      <c r="R1" s="234"/>
      <c r="S1" s="375">
        <f>0.84*R2</f>
        <v>1.0920000000000001</v>
      </c>
    </row>
    <row r="2" spans="2:22" ht="51" x14ac:dyDescent="0.2">
      <c r="B2" s="260"/>
      <c r="C2" s="295" t="s">
        <v>222</v>
      </c>
      <c r="D2" s="295" t="s">
        <v>223</v>
      </c>
      <c r="E2" s="295" t="s">
        <v>224</v>
      </c>
      <c r="F2" s="295" t="s">
        <v>225</v>
      </c>
      <c r="G2" s="295" t="s">
        <v>226</v>
      </c>
      <c r="I2" s="260" t="s">
        <v>850</v>
      </c>
      <c r="J2" s="260" t="s">
        <v>851</v>
      </c>
      <c r="K2" s="295" t="s">
        <v>864</v>
      </c>
      <c r="L2" s="295" t="s">
        <v>861</v>
      </c>
      <c r="M2" s="295" t="s">
        <v>862</v>
      </c>
      <c r="N2" s="295" t="s">
        <v>863</v>
      </c>
      <c r="O2" s="295"/>
      <c r="P2" s="600"/>
      <c r="Q2" s="234" t="s">
        <v>1160</v>
      </c>
      <c r="R2" s="374">
        <v>1.3</v>
      </c>
    </row>
    <row r="3" spans="2:22" x14ac:dyDescent="0.2">
      <c r="B3" s="235"/>
      <c r="C3" s="253"/>
      <c r="D3" s="253"/>
      <c r="E3" s="253"/>
      <c r="F3" s="253"/>
      <c r="G3" s="253"/>
    </row>
    <row r="4" spans="2:22" ht="54" customHeight="1" x14ac:dyDescent="0.2">
      <c r="B4" s="1308" t="s">
        <v>966</v>
      </c>
      <c r="C4" s="1308"/>
      <c r="D4" s="1308"/>
      <c r="E4" s="1308"/>
      <c r="F4" s="1308"/>
      <c r="G4" s="1308"/>
      <c r="Q4" s="234"/>
      <c r="R4" s="234"/>
      <c r="S4" s="375"/>
    </row>
    <row r="5" spans="2:22" x14ac:dyDescent="0.2">
      <c r="Q5">
        <v>1000</v>
      </c>
    </row>
    <row r="6" spans="2:22" ht="63.75" x14ac:dyDescent="0.2">
      <c r="B6" s="229" t="s">
        <v>367</v>
      </c>
      <c r="C6" s="294" t="s">
        <v>222</v>
      </c>
      <c r="D6" s="294" t="s">
        <v>223</v>
      </c>
      <c r="E6" s="294" t="s">
        <v>224</v>
      </c>
      <c r="F6" s="294" t="s">
        <v>225</v>
      </c>
      <c r="G6" s="294" t="s">
        <v>226</v>
      </c>
      <c r="H6" s="241"/>
      <c r="I6" s="362" t="s">
        <v>852</v>
      </c>
      <c r="J6" s="362" t="s">
        <v>853</v>
      </c>
      <c r="K6" s="295" t="s">
        <v>864</v>
      </c>
      <c r="L6" s="295" t="s">
        <v>861</v>
      </c>
      <c r="M6" s="295" t="s">
        <v>862</v>
      </c>
      <c r="N6" s="295" t="s">
        <v>863</v>
      </c>
      <c r="O6" s="294"/>
      <c r="P6" s="241"/>
      <c r="Q6" s="362" t="s">
        <v>865</v>
      </c>
      <c r="R6" s="362" t="s">
        <v>915</v>
      </c>
      <c r="S6" s="362" t="s">
        <v>910</v>
      </c>
      <c r="T6" s="362" t="s">
        <v>911</v>
      </c>
      <c r="U6" s="362" t="s">
        <v>912</v>
      </c>
      <c r="V6" s="620" t="s">
        <v>945</v>
      </c>
    </row>
    <row r="7" spans="2:22" ht="15.75" x14ac:dyDescent="0.2">
      <c r="B7" s="258" t="s">
        <v>777</v>
      </c>
      <c r="C7" s="259"/>
      <c r="D7" s="259"/>
      <c r="E7" s="259"/>
      <c r="F7" s="259"/>
      <c r="G7" s="259"/>
      <c r="H7" s="242"/>
      <c r="I7" s="1284">
        <f t="shared" ref="I7:N7" si="0">AVERAGE(I8:I20)</f>
        <v>1166.088</v>
      </c>
      <c r="J7" s="1284">
        <f t="shared" si="0"/>
        <v>1647.7440000000001</v>
      </c>
      <c r="K7" s="372">
        <f t="shared" si="0"/>
        <v>0.80046153846153834</v>
      </c>
      <c r="L7" s="372">
        <f t="shared" si="0"/>
        <v>0.137907</v>
      </c>
      <c r="M7" s="372">
        <f t="shared" si="0"/>
        <v>4.9840415384615394E-2</v>
      </c>
      <c r="N7" s="372">
        <f t="shared" si="0"/>
        <v>1.1825307692307692E-2</v>
      </c>
      <c r="O7" s="373"/>
      <c r="P7" s="242"/>
      <c r="Q7" s="629">
        <f t="shared" ref="Q7:V7" si="1">AVERAGE(Q8:Q20)</f>
        <v>82.243076923076899</v>
      </c>
      <c r="R7" s="621">
        <f t="shared" si="1"/>
        <v>0.99067022086824053</v>
      </c>
      <c r="S7" s="621">
        <f t="shared" si="1"/>
        <v>1.2238383443967202</v>
      </c>
      <c r="T7" s="621">
        <f t="shared" si="1"/>
        <v>0.44118275103669458</v>
      </c>
      <c r="U7" s="621">
        <f t="shared" si="1"/>
        <v>0.29931425767712089</v>
      </c>
      <c r="V7" s="621">
        <f t="shared" si="1"/>
        <v>0.99264896376495715</v>
      </c>
    </row>
    <row r="8" spans="2:22" x14ac:dyDescent="0.2">
      <c r="B8" s="254" t="s">
        <v>772</v>
      </c>
      <c r="C8" s="255" t="s">
        <v>227</v>
      </c>
      <c r="D8" s="255"/>
      <c r="E8" s="255"/>
      <c r="F8" s="255"/>
      <c r="G8" s="255"/>
      <c r="I8" s="1285">
        <f>820*$S$1*0.6</f>
        <v>537.26400000000001</v>
      </c>
      <c r="J8" s="1285">
        <f>1110*$S$1*0.6</f>
        <v>727.27200000000005</v>
      </c>
      <c r="K8" s="369">
        <v>0.81</v>
      </c>
      <c r="L8" s="369">
        <f>(37.6+32+4.8)/100*19.1/100</f>
        <v>0.14210399999999998</v>
      </c>
      <c r="M8" s="369">
        <f>(21.7+3.3)/100*19.1/100</f>
        <v>4.7750000000000001E-2</v>
      </c>
      <c r="N8" s="369">
        <v>0</v>
      </c>
      <c r="O8" s="370">
        <f>SUM(K8:N8)</f>
        <v>0.99985400000000002</v>
      </c>
      <c r="Q8" s="628">
        <v>-513.6400000000001</v>
      </c>
      <c r="R8" s="622">
        <f>+K8/$K$13</f>
        <v>1.0024752475247525</v>
      </c>
      <c r="S8" s="622">
        <f>+L8/$L$24</f>
        <v>1.2610840935714032</v>
      </c>
      <c r="T8" s="622">
        <f>+M8/$M$24</f>
        <v>0.42267858723554924</v>
      </c>
      <c r="U8" s="622">
        <f>+N8/$N$25</f>
        <v>0</v>
      </c>
      <c r="V8" s="622">
        <f>(K8*0.55+(M8+L8+N8)*0.1)/($K$13*0.55+($M$13+$L$13+$N$13)*0.1)</f>
        <v>1.0018683436751541</v>
      </c>
    </row>
    <row r="9" spans="2:22" x14ac:dyDescent="0.2">
      <c r="B9" s="254" t="s">
        <v>736</v>
      </c>
      <c r="C9" s="255"/>
      <c r="D9" s="255" t="s">
        <v>227</v>
      </c>
      <c r="E9" s="255"/>
      <c r="F9" s="255"/>
      <c r="G9" s="255"/>
      <c r="I9" s="1285">
        <f>900*$S$1</f>
        <v>982.80000000000007</v>
      </c>
      <c r="J9" s="1285">
        <f>1060*$S$1</f>
        <v>1157.52</v>
      </c>
      <c r="K9" s="369">
        <v>0.86</v>
      </c>
      <c r="L9" s="369">
        <f>(36+40.7+0.1)/100*14.1/100</f>
        <v>0.108288</v>
      </c>
      <c r="M9" s="369">
        <f>(19.2+3.6)/100*14.1/100</f>
        <v>3.2147999999999996E-2</v>
      </c>
      <c r="N9" s="369">
        <v>0</v>
      </c>
      <c r="O9" s="370">
        <f t="shared" ref="O9:O19" si="2">SUM(K9:N9)</f>
        <v>1.0004360000000001</v>
      </c>
      <c r="Q9" s="628">
        <v>-176.79999999999995</v>
      </c>
      <c r="R9" s="622">
        <f t="shared" ref="R9:R72" si="3">+K9/$K$13</f>
        <v>1.0643564356435642</v>
      </c>
      <c r="S9" s="622">
        <f t="shared" ref="S9:S20" si="4">+L9/$L$24</f>
        <v>0.96098825032835189</v>
      </c>
      <c r="T9" s="622">
        <f t="shared" ref="T9:T20" si="5">+M9/$M$24</f>
        <v>0.28457112507745413</v>
      </c>
      <c r="U9" s="622">
        <f t="shared" ref="U9:U72" si="6">+N9/$N$25</f>
        <v>0</v>
      </c>
      <c r="V9" s="622">
        <f t="shared" ref="V9:V72" si="7">(K9*0.55+(M9+L9+N9)*0.1)/($K$13*0.55+($M$13+$L$13+$N$13)*0.1)</f>
        <v>1.0505250861051483</v>
      </c>
    </row>
    <row r="10" spans="2:22" x14ac:dyDescent="0.2">
      <c r="B10" s="254" t="s">
        <v>722</v>
      </c>
      <c r="C10" s="255"/>
      <c r="D10" s="255"/>
      <c r="E10" s="255" t="s">
        <v>227</v>
      </c>
      <c r="F10" s="255"/>
      <c r="G10" s="255"/>
      <c r="I10" s="1285">
        <f>1120*$S$1</f>
        <v>1223.0400000000002</v>
      </c>
      <c r="J10" s="1285">
        <f>1540*$S$1</f>
        <v>1681.68</v>
      </c>
      <c r="K10" s="369">
        <v>0.82</v>
      </c>
      <c r="L10" s="369">
        <f>(29.1+41.5+4.6)/100*18/100</f>
        <v>0.13535999999999998</v>
      </c>
      <c r="M10" s="369">
        <f>(20.6+3.5)/100*18/100</f>
        <v>4.3380000000000002E-2</v>
      </c>
      <c r="N10" s="369">
        <f>(0.5)/100*18/100</f>
        <v>8.9999999999999998E-4</v>
      </c>
      <c r="O10" s="370">
        <f t="shared" si="2"/>
        <v>0.99963999999999997</v>
      </c>
      <c r="Q10" s="628">
        <v>117.19999999999982</v>
      </c>
      <c r="R10" s="622">
        <f t="shared" si="3"/>
        <v>1.0148514851485146</v>
      </c>
      <c r="S10" s="622">
        <f t="shared" si="4"/>
        <v>1.2012353129104396</v>
      </c>
      <c r="T10" s="622">
        <f t="shared" si="5"/>
        <v>0.38399575108435868</v>
      </c>
      <c r="U10" s="622">
        <f t="shared" si="6"/>
        <v>2.2780196415915759E-2</v>
      </c>
      <c r="V10" s="622">
        <f t="shared" si="7"/>
        <v>1.0115284267778382</v>
      </c>
    </row>
    <row r="11" spans="2:22" x14ac:dyDescent="0.2">
      <c r="B11" s="254" t="s">
        <v>723</v>
      </c>
      <c r="C11" s="255"/>
      <c r="D11" s="255"/>
      <c r="E11" s="255"/>
      <c r="F11" s="255" t="s">
        <v>227</v>
      </c>
      <c r="G11" s="255"/>
      <c r="I11" s="1285">
        <f>1360*$S$1</f>
        <v>1485.1200000000001</v>
      </c>
      <c r="J11" s="1285">
        <f>1940*$S$1</f>
        <v>2118.48</v>
      </c>
      <c r="K11" s="369">
        <v>0.80900000000000005</v>
      </c>
      <c r="L11" s="369">
        <f>(24.4+43+5.7)/100*19.1/100</f>
        <v>0.13962100000000002</v>
      </c>
      <c r="M11" s="369">
        <f>(19.1+5.1)/100*19.1/100</f>
        <v>4.6222000000000006E-2</v>
      </c>
      <c r="N11" s="369">
        <f>(2.7)/100*19.1/100</f>
        <v>5.1570000000000001E-3</v>
      </c>
      <c r="O11" s="370">
        <f t="shared" si="2"/>
        <v>1</v>
      </c>
      <c r="Q11" s="628">
        <v>386</v>
      </c>
      <c r="R11" s="622">
        <f t="shared" si="3"/>
        <v>1.0012376237623761</v>
      </c>
      <c r="S11" s="622">
        <f t="shared" si="4"/>
        <v>1.2390490220439463</v>
      </c>
      <c r="T11" s="622">
        <f t="shared" si="5"/>
        <v>0.40915287244401172</v>
      </c>
      <c r="U11" s="622">
        <f t="shared" si="6"/>
        <v>0.13053052546319729</v>
      </c>
      <c r="V11" s="622">
        <f t="shared" si="7"/>
        <v>1.0009292108696102</v>
      </c>
    </row>
    <row r="12" spans="2:22" x14ac:dyDescent="0.2">
      <c r="B12" s="254" t="s">
        <v>724</v>
      </c>
      <c r="C12" s="255"/>
      <c r="D12" s="255" t="s">
        <v>227</v>
      </c>
      <c r="E12" s="255"/>
      <c r="F12" s="255"/>
      <c r="G12" s="255"/>
      <c r="I12" s="1285">
        <f>910*$S$1</f>
        <v>993.72</v>
      </c>
      <c r="J12" s="1285">
        <f>1220*$S$1</f>
        <v>1332.24</v>
      </c>
      <c r="K12" s="369">
        <v>0.81699999999999995</v>
      </c>
      <c r="L12" s="369">
        <f>(32.4+42.6+6)/100*18.3/100</f>
        <v>0.14823000000000003</v>
      </c>
      <c r="M12" s="369">
        <f>(15.6+3.2)/100*18.38/100</f>
        <v>3.4554399999999999E-2</v>
      </c>
      <c r="N12" s="369">
        <v>0</v>
      </c>
      <c r="O12" s="370">
        <f t="shared" si="2"/>
        <v>0.99978440000000002</v>
      </c>
      <c r="Q12" s="628">
        <v>-105.40000000000009</v>
      </c>
      <c r="R12" s="622">
        <f t="shared" si="3"/>
        <v>1.011138613861386</v>
      </c>
      <c r="S12" s="622">
        <f t="shared" si="4"/>
        <v>1.3154485108799834</v>
      </c>
      <c r="T12" s="622">
        <f t="shared" si="5"/>
        <v>0.30587235549260866</v>
      </c>
      <c r="U12" s="622">
        <f t="shared" si="6"/>
        <v>0</v>
      </c>
      <c r="V12" s="622">
        <f t="shared" si="7"/>
        <v>1.008647700526639</v>
      </c>
    </row>
    <row r="13" spans="2:22" x14ac:dyDescent="0.2">
      <c r="B13" s="254" t="s">
        <v>725</v>
      </c>
      <c r="C13" s="255"/>
      <c r="D13" s="255"/>
      <c r="E13" s="255" t="s">
        <v>227</v>
      </c>
      <c r="F13" s="255"/>
      <c r="G13" s="255"/>
      <c r="I13" s="1285">
        <f>1200*$S$1</f>
        <v>1310.4000000000001</v>
      </c>
      <c r="J13" s="1285">
        <f>1730*$S$1</f>
        <v>1889.16</v>
      </c>
      <c r="K13" s="369">
        <v>0.80800000000000005</v>
      </c>
      <c r="L13" s="369">
        <f>(32+40.1+4.8)/100*19.2/100</f>
        <v>0.14764799999999997</v>
      </c>
      <c r="M13" s="369">
        <f>(18.6+4.6)/100*19.2/100</f>
        <v>4.4544000000000007E-2</v>
      </c>
      <c r="N13" s="369">
        <v>0</v>
      </c>
      <c r="O13" s="370">
        <f t="shared" si="2"/>
        <v>1.000192</v>
      </c>
      <c r="Q13" s="628">
        <v>230.59999999999991</v>
      </c>
      <c r="R13" s="627">
        <f t="shared" si="3"/>
        <v>1</v>
      </c>
      <c r="S13" s="622">
        <f t="shared" si="4"/>
        <v>1.310283625004437</v>
      </c>
      <c r="T13" s="622">
        <f t="shared" si="5"/>
        <v>0.39429937151456146</v>
      </c>
      <c r="U13" s="622">
        <f t="shared" si="6"/>
        <v>0</v>
      </c>
      <c r="V13" s="627">
        <f t="shared" si="7"/>
        <v>1</v>
      </c>
    </row>
    <row r="14" spans="2:22" x14ac:dyDescent="0.2">
      <c r="B14" s="254" t="s">
        <v>726</v>
      </c>
      <c r="C14" s="255"/>
      <c r="D14" s="255"/>
      <c r="E14" s="255"/>
      <c r="F14" s="255" t="s">
        <v>227</v>
      </c>
      <c r="G14" s="255"/>
      <c r="I14" s="1285">
        <f>1470*$S$1</f>
        <v>1605.24</v>
      </c>
      <c r="J14" s="1285">
        <f>2100*$S$1</f>
        <v>2293.2000000000003</v>
      </c>
      <c r="K14" s="369">
        <v>0.80900000000000005</v>
      </c>
      <c r="L14" s="369">
        <f>(24.4+43+5.7)/100*19.1/100</f>
        <v>0.13962100000000002</v>
      </c>
      <c r="M14" s="369">
        <f>(19.1+5.1)/100*19.1/100</f>
        <v>4.6222000000000006E-2</v>
      </c>
      <c r="N14" s="369">
        <f>(2.7)/100*19.1/100</f>
        <v>5.1570000000000001E-3</v>
      </c>
      <c r="O14" s="370">
        <f t="shared" si="2"/>
        <v>1</v>
      </c>
      <c r="Q14" s="628">
        <v>499.40000000000009</v>
      </c>
      <c r="R14" s="622">
        <f t="shared" si="3"/>
        <v>1.0012376237623761</v>
      </c>
      <c r="S14" s="622">
        <f t="shared" si="4"/>
        <v>1.2390490220439463</v>
      </c>
      <c r="T14" s="622">
        <f t="shared" si="5"/>
        <v>0.40915287244401172</v>
      </c>
      <c r="U14" s="622">
        <f t="shared" si="6"/>
        <v>0.13053052546319729</v>
      </c>
      <c r="V14" s="622">
        <f t="shared" si="7"/>
        <v>1.0009292108696102</v>
      </c>
    </row>
    <row r="15" spans="2:22" ht="25.5" x14ac:dyDescent="0.2">
      <c r="B15" s="254" t="s">
        <v>719</v>
      </c>
      <c r="C15" s="255"/>
      <c r="D15" s="255" t="s">
        <v>227</v>
      </c>
      <c r="E15" s="255"/>
      <c r="F15" s="255"/>
      <c r="G15" s="255"/>
      <c r="I15" s="1285">
        <f>820*$S$1</f>
        <v>895.44</v>
      </c>
      <c r="J15" s="1285">
        <f>1110*$S$1</f>
        <v>1212.1200000000001</v>
      </c>
      <c r="K15" s="369">
        <v>0.81</v>
      </c>
      <c r="L15" s="369">
        <f>(37.6+32+4.8)/100*19.1/100</f>
        <v>0.14210399999999998</v>
      </c>
      <c r="M15" s="369">
        <f>(21.7+3.3)/100*19.1/100</f>
        <v>4.7750000000000001E-2</v>
      </c>
      <c r="N15" s="371">
        <f>(0.2)/100*19.1/100</f>
        <v>3.8200000000000007E-4</v>
      </c>
      <c r="O15" s="370">
        <f t="shared" si="2"/>
        <v>1.0002360000000001</v>
      </c>
      <c r="Q15" s="628">
        <v>-189.40000000000009</v>
      </c>
      <c r="R15" s="622">
        <f t="shared" si="3"/>
        <v>1.0024752475247525</v>
      </c>
      <c r="S15" s="622">
        <f t="shared" si="4"/>
        <v>1.2610840935714032</v>
      </c>
      <c r="T15" s="622">
        <f t="shared" si="5"/>
        <v>0.42267858723554924</v>
      </c>
      <c r="U15" s="622">
        <f t="shared" si="6"/>
        <v>9.6689278120886905E-3</v>
      </c>
      <c r="V15" s="622">
        <f t="shared" si="7"/>
        <v>1.0019507388822551</v>
      </c>
    </row>
    <row r="16" spans="2:22" ht="25.5" x14ac:dyDescent="0.2">
      <c r="B16" s="254" t="s">
        <v>720</v>
      </c>
      <c r="C16" s="255"/>
      <c r="D16" s="255"/>
      <c r="E16" s="255" t="s">
        <v>227</v>
      </c>
      <c r="F16" s="255"/>
      <c r="G16" s="255"/>
      <c r="I16" s="1285">
        <f>960*$S$1</f>
        <v>1048.3200000000002</v>
      </c>
      <c r="J16" s="1285">
        <f>1390*$S$1</f>
        <v>1517.88</v>
      </c>
      <c r="K16" s="369">
        <v>0.79500000000000004</v>
      </c>
      <c r="L16" s="369">
        <f>(32.9+29.2+4.1)/100*20.5/100</f>
        <v>0.13570999999999997</v>
      </c>
      <c r="M16" s="369">
        <f>(23.8+3)/100*20.5/100</f>
        <v>5.494000000000001E-2</v>
      </c>
      <c r="N16" s="369">
        <f>(6.9)/100*20.5/100</f>
        <v>1.4145000000000001E-2</v>
      </c>
      <c r="O16" s="370">
        <f t="shared" si="2"/>
        <v>0.99979499999999999</v>
      </c>
      <c r="Q16" s="628">
        <v>-13</v>
      </c>
      <c r="R16" s="622">
        <f t="shared" si="3"/>
        <v>0.9839108910891089</v>
      </c>
      <c r="S16" s="622">
        <f t="shared" si="4"/>
        <v>1.2043413439352524</v>
      </c>
      <c r="T16" s="622">
        <f t="shared" si="5"/>
        <v>0.48632380277949905</v>
      </c>
      <c r="U16" s="622">
        <f t="shared" si="6"/>
        <v>0.3580287536701427</v>
      </c>
      <c r="V16" s="622">
        <f t="shared" si="7"/>
        <v>0.98729625520254549</v>
      </c>
    </row>
    <row r="17" spans="2:23" ht="25.5" x14ac:dyDescent="0.2">
      <c r="B17" s="254" t="s">
        <v>721</v>
      </c>
      <c r="C17" s="255"/>
      <c r="D17" s="255"/>
      <c r="E17" s="255"/>
      <c r="F17" s="255" t="s">
        <v>227</v>
      </c>
      <c r="G17" s="255"/>
      <c r="I17" s="1285">
        <f>1130*$S$1</f>
        <v>1233.96</v>
      </c>
      <c r="J17" s="1285">
        <f>1580*$S$1</f>
        <v>1725.3600000000001</v>
      </c>
      <c r="K17" s="369">
        <v>0.79700000000000004</v>
      </c>
      <c r="L17" s="369">
        <f>(33+24.5+5)/100*20.3/100</f>
        <v>0.12687499999999999</v>
      </c>
      <c r="M17" s="369">
        <f>(15.8+4.5)/100*20.3/100</f>
        <v>4.120900000000001E-2</v>
      </c>
      <c r="N17" s="369">
        <f>(17.2)/100*20.3/100</f>
        <v>3.4916000000000003E-2</v>
      </c>
      <c r="O17" s="370">
        <f t="shared" si="2"/>
        <v>1</v>
      </c>
      <c r="Q17" s="628">
        <v>138.20000000000005</v>
      </c>
      <c r="R17" s="622">
        <f t="shared" si="3"/>
        <v>0.98638613861386137</v>
      </c>
      <c r="S17" s="622">
        <f t="shared" si="4"/>
        <v>1.1259362464946221</v>
      </c>
      <c r="T17" s="622">
        <f t="shared" si="5"/>
        <v>0.36477825971496863</v>
      </c>
      <c r="U17" s="622">
        <f t="shared" si="6"/>
        <v>0.8837703756201275</v>
      </c>
      <c r="V17" s="622">
        <f t="shared" si="7"/>
        <v>0.98928172086056831</v>
      </c>
    </row>
    <row r="18" spans="2:23" x14ac:dyDescent="0.2">
      <c r="B18" s="254" t="s">
        <v>727</v>
      </c>
      <c r="C18" s="255"/>
      <c r="D18" s="255"/>
      <c r="E18" s="255" t="s">
        <v>227</v>
      </c>
      <c r="F18" s="255"/>
      <c r="G18" s="255"/>
      <c r="I18" s="1285">
        <f>1030*$S$1</f>
        <v>1124.76</v>
      </c>
      <c r="J18" s="1285">
        <f>1510*$S$1</f>
        <v>1648.92</v>
      </c>
      <c r="K18" s="369">
        <v>0.753</v>
      </c>
      <c r="L18" s="369">
        <f>(30.9+20.6+3.9)/100*24.8/100</f>
        <v>0.13739199999999999</v>
      </c>
      <c r="M18" s="369">
        <f>(22.8+6)/100*24.8/100</f>
        <v>7.1424000000000015E-2</v>
      </c>
      <c r="N18" s="369">
        <f>(14.9+0.6)/100*24.8/100</f>
        <v>3.8440000000000002E-2</v>
      </c>
      <c r="O18" s="370">
        <f t="shared" si="2"/>
        <v>1.000256</v>
      </c>
      <c r="Q18" s="628">
        <v>66.799999999999955</v>
      </c>
      <c r="R18" s="622">
        <f t="shared" si="3"/>
        <v>0.93193069306930687</v>
      </c>
      <c r="S18" s="622">
        <f t="shared" si="4"/>
        <v>1.219268041603067</v>
      </c>
      <c r="T18" s="622">
        <f t="shared" si="5"/>
        <v>0.63223864742852098</v>
      </c>
      <c r="U18" s="622">
        <f t="shared" si="6"/>
        <v>0.97296750025311318</v>
      </c>
      <c r="V18" s="622">
        <f t="shared" si="7"/>
        <v>0.94662947522449448</v>
      </c>
    </row>
    <row r="19" spans="2:23" x14ac:dyDescent="0.2">
      <c r="B19" s="254" t="s">
        <v>728</v>
      </c>
      <c r="C19" s="255"/>
      <c r="D19" s="255"/>
      <c r="E19" s="255"/>
      <c r="F19" s="255" t="s">
        <v>227</v>
      </c>
      <c r="G19" s="255"/>
      <c r="I19" s="1285">
        <f>1100*$S$1</f>
        <v>1201.2</v>
      </c>
      <c r="J19" s="1285">
        <f>1770*$S$1</f>
        <v>1932.8400000000001</v>
      </c>
      <c r="K19" s="369">
        <v>0.748</v>
      </c>
      <c r="L19" s="369">
        <f>(27.1+35.3+0.5)/100*25.2/100</f>
        <v>0.15850799999999998</v>
      </c>
      <c r="M19" s="369">
        <f>(19.6+4.5)/100*25.2/100</f>
        <v>6.0732000000000001E-2</v>
      </c>
      <c r="N19" s="369">
        <f>(12.9+0.2)/100*25.2/100</f>
        <v>3.3012E-2</v>
      </c>
      <c r="O19" s="370">
        <f t="shared" si="2"/>
        <v>1.0002519999999999</v>
      </c>
      <c r="Q19" s="628">
        <v>205.40000000000009</v>
      </c>
      <c r="R19" s="622">
        <f t="shared" si="3"/>
        <v>0.92574257425742568</v>
      </c>
      <c r="S19" s="622">
        <f t="shared" si="4"/>
        <v>1.4066593305171984</v>
      </c>
      <c r="T19" s="622">
        <f t="shared" si="5"/>
        <v>0.53759405151810213</v>
      </c>
      <c r="U19" s="622">
        <f t="shared" si="6"/>
        <v>0.83557760453579</v>
      </c>
      <c r="V19" s="622">
        <f t="shared" si="7"/>
        <v>0.94177549161035601</v>
      </c>
    </row>
    <row r="20" spans="2:23" x14ac:dyDescent="0.2">
      <c r="B20" s="254" t="s">
        <v>729</v>
      </c>
      <c r="C20" s="255"/>
      <c r="D20" s="255"/>
      <c r="E20" s="255" t="s">
        <v>227</v>
      </c>
      <c r="F20" s="255" t="s">
        <v>227</v>
      </c>
      <c r="G20" s="255"/>
      <c r="I20" s="1285">
        <f>1390*$S$1</f>
        <v>1517.88</v>
      </c>
      <c r="J20" s="1285">
        <f>2000*$S$1</f>
        <v>2184</v>
      </c>
      <c r="K20" s="369">
        <v>0.77</v>
      </c>
      <c r="L20" s="369">
        <f>(24.4+25.8+6.9)/100*23/100</f>
        <v>0.13133</v>
      </c>
      <c r="M20" s="369">
        <f>(27.3+6.2)/100*23/100</f>
        <v>7.7050000000000007E-2</v>
      </c>
      <c r="N20" s="369">
        <f>(4.1+3.3+1.5+0.5)/100*23/100</f>
        <v>2.1619999999999993E-2</v>
      </c>
      <c r="O20" s="370">
        <f>SUM(K20:N20)</f>
        <v>1</v>
      </c>
      <c r="Q20" s="628">
        <v>423.79999999999995</v>
      </c>
      <c r="R20" s="622">
        <f t="shared" si="3"/>
        <v>0.95297029702970293</v>
      </c>
      <c r="S20" s="622">
        <f t="shared" si="4"/>
        <v>1.1654715842533103</v>
      </c>
      <c r="T20" s="622">
        <f t="shared" si="5"/>
        <v>0.68203947950783395</v>
      </c>
      <c r="U20" s="622">
        <f t="shared" si="6"/>
        <v>0.54723094056899835</v>
      </c>
      <c r="V20" s="622">
        <f t="shared" si="7"/>
        <v>0.96307486834022404</v>
      </c>
    </row>
    <row r="21" spans="2:23" ht="15.75" x14ac:dyDescent="0.2">
      <c r="B21" s="263" t="s">
        <v>783</v>
      </c>
      <c r="C21" s="257"/>
      <c r="D21" s="257"/>
      <c r="E21" s="257"/>
      <c r="F21" s="257"/>
      <c r="G21" s="257"/>
      <c r="H21" s="243"/>
      <c r="I21" s="1284">
        <f t="shared" ref="I21:N21" si="8">AVERAGE(I22:I27)</f>
        <v>1832.74</v>
      </c>
      <c r="J21" s="1284">
        <f t="shared" si="8"/>
        <v>2693.6000000000004</v>
      </c>
      <c r="K21" s="372">
        <f t="shared" si="8"/>
        <v>0.73099999999999998</v>
      </c>
      <c r="L21" s="372">
        <f t="shared" si="8"/>
        <v>0.13594933333333334</v>
      </c>
      <c r="M21" s="372">
        <f t="shared" si="8"/>
        <v>9.1583166666666674E-2</v>
      </c>
      <c r="N21" s="372">
        <f t="shared" si="8"/>
        <v>4.1590500000000009E-2</v>
      </c>
      <c r="O21" s="370"/>
      <c r="P21" s="243"/>
      <c r="Q21" s="629">
        <f t="shared" ref="Q21:V21" si="9">AVERAGE(Q22:Q27)</f>
        <v>740.9</v>
      </c>
      <c r="R21" s="621">
        <f t="shared" si="9"/>
        <v>0.90470297029702962</v>
      </c>
      <c r="S21" s="621">
        <f t="shared" si="9"/>
        <v>1.2064652775312676</v>
      </c>
      <c r="T21" s="621">
        <f t="shared" si="9"/>
        <v>0.81068572777433545</v>
      </c>
      <c r="U21" s="621">
        <f t="shared" si="9"/>
        <v>1.0527108433734937</v>
      </c>
      <c r="V21" s="621">
        <f t="shared" si="9"/>
        <v>0.92524705620474723</v>
      </c>
    </row>
    <row r="22" spans="2:23" x14ac:dyDescent="0.2">
      <c r="B22" s="254" t="s">
        <v>867</v>
      </c>
      <c r="C22" s="255" t="s">
        <v>227</v>
      </c>
      <c r="D22" s="255"/>
      <c r="E22" s="255"/>
      <c r="F22" s="255"/>
      <c r="G22" s="255"/>
      <c r="I22" s="1285">
        <f>1500*$S$1</f>
        <v>1638.0000000000002</v>
      </c>
      <c r="J22" s="1285">
        <f>2050*$S$1</f>
        <v>2238.6000000000004</v>
      </c>
      <c r="K22" s="369">
        <v>0.76600000000000001</v>
      </c>
      <c r="L22" s="369">
        <f>(26.6+18.5+13.4)/100*23.4/100</f>
        <v>0.13688999999999998</v>
      </c>
      <c r="M22" s="369">
        <f>(36.7+3.2)/100*23.4/100</f>
        <v>9.3366000000000005E-2</v>
      </c>
      <c r="N22" s="369">
        <f>(0.1+1.6)/100*23.4/100</f>
        <v>3.9779999999999998E-3</v>
      </c>
      <c r="O22" s="370">
        <f t="shared" ref="O22:O27" si="10">SUM(K22:N22)</f>
        <v>1.0002340000000001</v>
      </c>
      <c r="Q22" s="628">
        <v>491</v>
      </c>
      <c r="R22" s="622">
        <f t="shared" si="3"/>
        <v>0.94801980198019797</v>
      </c>
      <c r="S22" s="622">
        <f t="shared" ref="S22:S27" si="11">+L22/$L$24</f>
        <v>1.2148131056760498</v>
      </c>
      <c r="T22" s="622">
        <f t="shared" ref="T22:T27" si="12">+M22/$M$24</f>
        <v>0.82646720368239357</v>
      </c>
      <c r="U22" s="622">
        <f t="shared" si="6"/>
        <v>0.10068846815834764</v>
      </c>
      <c r="V22" s="622">
        <f t="shared" si="7"/>
        <v>0.95924284412724925</v>
      </c>
    </row>
    <row r="23" spans="2:23" ht="15.75" x14ac:dyDescent="0.25">
      <c r="B23" s="254" t="s">
        <v>731</v>
      </c>
      <c r="C23" s="255"/>
      <c r="D23" s="255"/>
      <c r="E23" s="255" t="s">
        <v>227</v>
      </c>
      <c r="F23" s="255"/>
      <c r="G23" s="255"/>
      <c r="H23" s="242"/>
      <c r="I23" s="1285">
        <f>1480*$S$1</f>
        <v>1616.16</v>
      </c>
      <c r="J23" s="1285">
        <f>2180*$S$1</f>
        <v>2380.5600000000004</v>
      </c>
      <c r="K23" s="369">
        <v>0.77200000000000002</v>
      </c>
      <c r="L23" s="369">
        <f>(14.8+18.8+11.4)/100*22.8/100</f>
        <v>0.1026</v>
      </c>
      <c r="M23" s="369">
        <f>(34.5+6.8)/100*22.8/100</f>
        <v>9.4163999999999998E-2</v>
      </c>
      <c r="N23" s="369">
        <f>(3+5.6+3.5+1.6)/100*22.8/100</f>
        <v>3.1235999999999996E-2</v>
      </c>
      <c r="O23" s="370">
        <f t="shared" si="10"/>
        <v>1</v>
      </c>
      <c r="P23" s="242"/>
      <c r="Q23" s="628">
        <v>537.20000000000005</v>
      </c>
      <c r="R23" s="622">
        <f t="shared" si="3"/>
        <v>0.95544554455445541</v>
      </c>
      <c r="S23" s="622">
        <f t="shared" si="11"/>
        <v>0.91051080898796632</v>
      </c>
      <c r="T23" s="622">
        <f t="shared" si="12"/>
        <v>0.83353102593608919</v>
      </c>
      <c r="U23" s="622">
        <f t="shared" si="6"/>
        <v>0.79062468360838289</v>
      </c>
      <c r="V23" s="622">
        <f t="shared" si="7"/>
        <v>0.96501611667506426</v>
      </c>
      <c r="W23" s="63"/>
    </row>
    <row r="24" spans="2:23" ht="15.75" x14ac:dyDescent="0.25">
      <c r="B24" s="254" t="s">
        <v>730</v>
      </c>
      <c r="C24" s="255"/>
      <c r="D24" s="255"/>
      <c r="E24" s="255" t="s">
        <v>227</v>
      </c>
      <c r="F24" s="255"/>
      <c r="G24" s="255"/>
      <c r="H24" s="242"/>
      <c r="I24" s="1285">
        <f>1400*$S$1</f>
        <v>1528.8000000000002</v>
      </c>
      <c r="J24" s="1285">
        <f>2290*$S$1</f>
        <v>2500.6800000000003</v>
      </c>
      <c r="K24" s="369">
        <v>0.71399999999999997</v>
      </c>
      <c r="L24" s="369">
        <f>(13.1+13.6+12.7)/100*28.6/100</f>
        <v>0.11268399999999999</v>
      </c>
      <c r="M24" s="369">
        <f>(31.4+8.1)/100*28.6/100</f>
        <v>0.11297</v>
      </c>
      <c r="N24" s="369">
        <f>(3.3+12.2+5.6+0.1)/100*28.6/100</f>
        <v>6.0632000000000012E-2</v>
      </c>
      <c r="O24" s="370">
        <f t="shared" si="10"/>
        <v>1.000286</v>
      </c>
      <c r="P24" s="242"/>
      <c r="Q24" s="628">
        <v>549.79999999999995</v>
      </c>
      <c r="R24" s="622">
        <f t="shared" si="3"/>
        <v>0.88366336633663356</v>
      </c>
      <c r="S24" s="627">
        <f t="shared" si="11"/>
        <v>1</v>
      </c>
      <c r="T24" s="627">
        <f t="shared" si="12"/>
        <v>1</v>
      </c>
      <c r="U24" s="622">
        <f t="shared" si="6"/>
        <v>1.5346765212108939</v>
      </c>
      <c r="V24" s="622">
        <f t="shared" si="7"/>
        <v>0.90878160352289106</v>
      </c>
      <c r="W24" s="63"/>
    </row>
    <row r="25" spans="2:23" ht="25.5" x14ac:dyDescent="0.25">
      <c r="B25" s="254" t="s">
        <v>823</v>
      </c>
      <c r="C25" s="255"/>
      <c r="D25" s="255"/>
      <c r="E25" s="255"/>
      <c r="F25" s="255" t="s">
        <v>227</v>
      </c>
      <c r="G25" s="255"/>
      <c r="H25" s="242"/>
      <c r="I25" s="1285">
        <f>1850*$S$1</f>
        <v>2020.2</v>
      </c>
      <c r="J25" s="1285">
        <f>2400*$S$1</f>
        <v>2620.8000000000002</v>
      </c>
      <c r="K25" s="369">
        <v>0.76200000000000001</v>
      </c>
      <c r="L25" s="369">
        <f>(21.7+16.7+11.5)/100*23.8/100</f>
        <v>0.11876200000000001</v>
      </c>
      <c r="M25" s="369">
        <f>(28.7+4.8)/100*23.8/100</f>
        <v>7.9730000000000009E-2</v>
      </c>
      <c r="N25" s="369">
        <f>(3.9+7.1+5.6+0)/100*23.8/100</f>
        <v>3.9508000000000008E-2</v>
      </c>
      <c r="O25" s="370">
        <f t="shared" si="10"/>
        <v>1</v>
      </c>
      <c r="P25" s="242"/>
      <c r="Q25" s="628">
        <v>785</v>
      </c>
      <c r="R25" s="622">
        <f t="shared" si="3"/>
        <v>0.94306930693069302</v>
      </c>
      <c r="S25" s="622">
        <f t="shared" si="11"/>
        <v>1.0539384473394626</v>
      </c>
      <c r="T25" s="622">
        <f t="shared" si="12"/>
        <v>0.70576259183854129</v>
      </c>
      <c r="U25" s="627">
        <f t="shared" si="6"/>
        <v>1</v>
      </c>
      <c r="V25" s="622">
        <f t="shared" si="7"/>
        <v>0.95530987500086273</v>
      </c>
      <c r="W25" s="63"/>
    </row>
    <row r="26" spans="2:23" x14ac:dyDescent="0.2">
      <c r="B26" s="254" t="s">
        <v>378</v>
      </c>
      <c r="C26" s="255"/>
      <c r="D26" s="255"/>
      <c r="E26" s="255"/>
      <c r="F26" s="255" t="s">
        <v>227</v>
      </c>
      <c r="G26" s="255"/>
      <c r="H26" s="242"/>
      <c r="I26" s="1285">
        <f>1850*$S$1</f>
        <v>2020.2</v>
      </c>
      <c r="J26" s="1285">
        <f>2400*$S$1</f>
        <v>2620.8000000000002</v>
      </c>
      <c r="K26" s="369">
        <v>0.76200000000000001</v>
      </c>
      <c r="L26" s="369">
        <f>(21.7+16.7+11.5)/100*23.8/100</f>
        <v>0.11876200000000001</v>
      </c>
      <c r="M26" s="369">
        <f>(28.7+4.8)/100*23.8/100</f>
        <v>7.9730000000000009E-2</v>
      </c>
      <c r="N26" s="369">
        <f>(3.9+7.1+5.6+0)/100*23.8/100</f>
        <v>3.9508000000000008E-2</v>
      </c>
      <c r="O26" s="370">
        <f t="shared" si="10"/>
        <v>1</v>
      </c>
      <c r="Q26" s="628">
        <v>785</v>
      </c>
      <c r="R26" s="622">
        <f t="shared" si="3"/>
        <v>0.94306930693069302</v>
      </c>
      <c r="S26" s="622">
        <f t="shared" si="11"/>
        <v>1.0539384473394626</v>
      </c>
      <c r="T26" s="622">
        <f t="shared" si="12"/>
        <v>0.70576259183854129</v>
      </c>
      <c r="U26" s="622">
        <f t="shared" si="6"/>
        <v>1</v>
      </c>
      <c r="V26" s="622">
        <f t="shared" si="7"/>
        <v>0.95530987500086273</v>
      </c>
    </row>
    <row r="27" spans="2:23" x14ac:dyDescent="0.2">
      <c r="B27" s="254" t="s">
        <v>379</v>
      </c>
      <c r="C27" s="255"/>
      <c r="D27" s="255"/>
      <c r="E27" s="255"/>
      <c r="F27" s="255" t="s">
        <v>227</v>
      </c>
      <c r="G27" s="255" t="s">
        <v>227</v>
      </c>
      <c r="H27" s="242"/>
      <c r="I27" s="1285">
        <f>1990*$S$1</f>
        <v>2173.0800000000004</v>
      </c>
      <c r="J27" s="1285">
        <f>3480*$S$1</f>
        <v>3800.1600000000003</v>
      </c>
      <c r="K27" s="369">
        <v>0.61</v>
      </c>
      <c r="L27" s="369">
        <f>(7.1+11.3+39.4)/100*39.1/100</f>
        <v>0.22599799999999998</v>
      </c>
      <c r="M27" s="369">
        <f>(17.4+5.5)/100*39.1/100</f>
        <v>8.9538999999999994E-2</v>
      </c>
      <c r="N27" s="369">
        <f>(0.5+13.5+4.6+0.5)/100*39.1/100</f>
        <v>7.4681000000000011E-2</v>
      </c>
      <c r="O27" s="370">
        <f t="shared" si="10"/>
        <v>1.0002180000000001</v>
      </c>
      <c r="P27" s="242"/>
      <c r="Q27" s="628">
        <v>1297.3999999999996</v>
      </c>
      <c r="R27" s="622">
        <f t="shared" si="3"/>
        <v>0.75495049504950484</v>
      </c>
      <c r="S27" s="622">
        <f t="shared" si="11"/>
        <v>2.0055908558446629</v>
      </c>
      <c r="T27" s="622">
        <f t="shared" si="12"/>
        <v>0.79259095335044694</v>
      </c>
      <c r="U27" s="622">
        <f t="shared" si="6"/>
        <v>1.8902753872633389</v>
      </c>
      <c r="V27" s="622">
        <f t="shared" si="7"/>
        <v>0.80782202290155358</v>
      </c>
    </row>
    <row r="28" spans="2:23" ht="15.75" x14ac:dyDescent="0.2">
      <c r="B28" s="256" t="s">
        <v>785</v>
      </c>
      <c r="C28" s="257"/>
      <c r="D28" s="257"/>
      <c r="E28" s="257"/>
      <c r="F28" s="257"/>
      <c r="G28" s="257"/>
      <c r="H28" s="242"/>
      <c r="I28" s="1284">
        <f t="shared" ref="I28:N28" si="13">AVERAGE(I29:I36)</f>
        <v>1691.2350000000004</v>
      </c>
      <c r="J28" s="1284">
        <f t="shared" si="13"/>
        <v>2624.8950000000004</v>
      </c>
      <c r="K28" s="372">
        <f t="shared" si="13"/>
        <v>0.74800000000000011</v>
      </c>
      <c r="L28" s="372">
        <f t="shared" si="13"/>
        <v>0.114477</v>
      </c>
      <c r="M28" s="372">
        <f t="shared" si="13"/>
        <v>0.10927265000000001</v>
      </c>
      <c r="N28" s="372">
        <f t="shared" si="13"/>
        <v>2.8224750000000007E-2</v>
      </c>
      <c r="O28" s="370"/>
      <c r="P28" s="242"/>
      <c r="Q28" s="629">
        <f t="shared" ref="Q28:V28" si="14">AVERAGE(Q29:Q36)</f>
        <v>660.05</v>
      </c>
      <c r="R28" s="621">
        <f t="shared" si="14"/>
        <v>0.92574257425742579</v>
      </c>
      <c r="S28" s="621">
        <f t="shared" si="14"/>
        <v>1.0159117532213982</v>
      </c>
      <c r="T28" s="621">
        <f t="shared" si="14"/>
        <v>0.96727139948658947</v>
      </c>
      <c r="U28" s="621">
        <f t="shared" si="14"/>
        <v>0.7144059431001315</v>
      </c>
      <c r="V28" s="621">
        <f t="shared" si="14"/>
        <v>0.94171561488393918</v>
      </c>
    </row>
    <row r="29" spans="2:23" x14ac:dyDescent="0.2">
      <c r="B29" s="254" t="s">
        <v>824</v>
      </c>
      <c r="C29" s="255"/>
      <c r="D29" s="255" t="s">
        <v>227</v>
      </c>
      <c r="E29" s="255"/>
      <c r="F29" s="255"/>
      <c r="G29" s="255"/>
      <c r="H29" s="242"/>
      <c r="I29" s="1285">
        <f>1020*$S$1</f>
        <v>1113.8400000000001</v>
      </c>
      <c r="J29" s="1285">
        <f>1390*$S$1</f>
        <v>1517.88</v>
      </c>
      <c r="K29" s="369">
        <v>0.81</v>
      </c>
      <c r="L29" s="369">
        <f>(16.1+24.9+7.2)/100*19/100</f>
        <v>9.1580000000000009E-2</v>
      </c>
      <c r="M29" s="369">
        <f>(36.8+7.4)/100*19/100</f>
        <v>8.3979999999999999E-2</v>
      </c>
      <c r="N29" s="369">
        <f>(5.6+0.4+1.6)/100*19/100</f>
        <v>1.444E-2</v>
      </c>
      <c r="O29" s="370">
        <f t="shared" ref="O29:O36" si="15">SUM(K29:N29)</f>
        <v>1</v>
      </c>
      <c r="P29" s="242"/>
      <c r="Q29" s="628">
        <v>12.199999999999932</v>
      </c>
      <c r="R29" s="622">
        <f t="shared" si="3"/>
        <v>1.0024752475247525</v>
      </c>
      <c r="S29" s="622">
        <f t="shared" ref="S29:S36" si="16">+L29/$L$24</f>
        <v>0.81271520357814786</v>
      </c>
      <c r="T29" s="622">
        <f t="shared" ref="T29:T36" si="17">+M29/$M$24</f>
        <v>0.74338319907940165</v>
      </c>
      <c r="U29" s="622">
        <f t="shared" si="6"/>
        <v>0.36549559582869284</v>
      </c>
      <c r="V29" s="622">
        <f t="shared" si="7"/>
        <v>1.0018998350370305</v>
      </c>
    </row>
    <row r="30" spans="2:23" x14ac:dyDescent="0.2">
      <c r="B30" s="254" t="s">
        <v>825</v>
      </c>
      <c r="C30" s="255"/>
      <c r="D30" s="255"/>
      <c r="E30" s="255" t="s">
        <v>227</v>
      </c>
      <c r="F30" s="255"/>
      <c r="G30" s="255"/>
      <c r="H30" s="242"/>
      <c r="I30" s="1285">
        <f>1480*$S$1</f>
        <v>1616.16</v>
      </c>
      <c r="J30" s="1285">
        <f>2010*$S$1</f>
        <v>2194.92</v>
      </c>
      <c r="K30" s="369">
        <v>0.76100000000000001</v>
      </c>
      <c r="L30" s="369">
        <f>(13.7+24+8.5)/100*23.9/100</f>
        <v>0.110418</v>
      </c>
      <c r="M30" s="369">
        <f>(32.9+14)/100*23.9/100</f>
        <v>0.112091</v>
      </c>
      <c r="N30" s="369">
        <f>(2.4+1.9+2.6+0)/100*23.9/100</f>
        <v>1.6490999999999999E-2</v>
      </c>
      <c r="O30" s="370">
        <f t="shared" si="15"/>
        <v>1</v>
      </c>
      <c r="P30" s="242"/>
      <c r="Q30" s="628">
        <v>465.79999999999995</v>
      </c>
      <c r="R30" s="622">
        <f t="shared" si="3"/>
        <v>0.94183168316831678</v>
      </c>
      <c r="S30" s="622">
        <f t="shared" si="16"/>
        <v>0.97989066770792665</v>
      </c>
      <c r="T30" s="622">
        <f t="shared" si="17"/>
        <v>0.9922191732318314</v>
      </c>
      <c r="U30" s="622">
        <f t="shared" si="6"/>
        <v>0.41740913232762972</v>
      </c>
      <c r="V30" s="622">
        <f t="shared" si="7"/>
        <v>0.95433925083344251</v>
      </c>
    </row>
    <row r="31" spans="2:23" x14ac:dyDescent="0.2">
      <c r="B31" s="254" t="s">
        <v>826</v>
      </c>
      <c r="C31" s="255"/>
      <c r="D31" s="255"/>
      <c r="E31" s="255"/>
      <c r="F31" s="255" t="s">
        <v>227</v>
      </c>
      <c r="G31" s="255"/>
      <c r="H31" s="242"/>
      <c r="I31" s="1285">
        <f>1840*$S$1</f>
        <v>2009.2800000000002</v>
      </c>
      <c r="J31" s="1285">
        <f>2900*$S$1</f>
        <v>3166.8</v>
      </c>
      <c r="K31" s="369">
        <v>0.73699999999999999</v>
      </c>
      <c r="L31" s="369">
        <f>(10.2+22.1+15)/100*26.3/100</f>
        <v>0.124399</v>
      </c>
      <c r="M31" s="369">
        <f>(31.5+11.2)/100*26.3/100</f>
        <v>0.11230100000000003</v>
      </c>
      <c r="N31" s="369">
        <f>(3.2+0.9+5.8+0.1)/100*26.3/100</f>
        <v>2.6300000000000004E-2</v>
      </c>
      <c r="O31" s="370">
        <f t="shared" si="15"/>
        <v>1</v>
      </c>
      <c r="P31" s="242"/>
      <c r="Q31" s="628">
        <v>990.8</v>
      </c>
      <c r="R31" s="622">
        <f t="shared" si="3"/>
        <v>0.91212871287128705</v>
      </c>
      <c r="S31" s="622">
        <f t="shared" si="16"/>
        <v>1.103963295587661</v>
      </c>
      <c r="T31" s="622">
        <f t="shared" si="17"/>
        <v>0.99407807382490954</v>
      </c>
      <c r="U31" s="622">
        <f t="shared" si="6"/>
        <v>0.66568796193176061</v>
      </c>
      <c r="V31" s="622">
        <f t="shared" si="7"/>
        <v>0.93104427081535879</v>
      </c>
    </row>
    <row r="32" spans="2:23" x14ac:dyDescent="0.2">
      <c r="B32" s="254" t="s">
        <v>827</v>
      </c>
      <c r="C32" s="255"/>
      <c r="D32" s="255"/>
      <c r="E32" s="255"/>
      <c r="F32" s="255" t="s">
        <v>227</v>
      </c>
      <c r="G32" s="255"/>
      <c r="H32" s="244"/>
      <c r="I32" s="1285">
        <f>1840*$S$1</f>
        <v>2009.2800000000002</v>
      </c>
      <c r="J32" s="1285">
        <f>2900*$S$1</f>
        <v>3166.8</v>
      </c>
      <c r="K32" s="369">
        <v>0.73699999999999999</v>
      </c>
      <c r="L32" s="369">
        <f>(10.2+22.1+15)/100*26.3/100</f>
        <v>0.124399</v>
      </c>
      <c r="M32" s="369">
        <f>(31.5+11.2)/100*26.3/100</f>
        <v>0.11230100000000003</v>
      </c>
      <c r="N32" s="369">
        <f>(3.2+0.9+5.8+0.1)/100*26.3/100</f>
        <v>2.6300000000000004E-2</v>
      </c>
      <c r="O32" s="370">
        <f t="shared" si="15"/>
        <v>1</v>
      </c>
      <c r="Q32" s="628">
        <v>990.8</v>
      </c>
      <c r="R32" s="622">
        <f t="shared" si="3"/>
        <v>0.91212871287128705</v>
      </c>
      <c r="S32" s="622">
        <f t="shared" si="16"/>
        <v>1.103963295587661</v>
      </c>
      <c r="T32" s="622">
        <f t="shared" si="17"/>
        <v>0.99407807382490954</v>
      </c>
      <c r="U32" s="622">
        <f t="shared" si="6"/>
        <v>0.66568796193176061</v>
      </c>
      <c r="V32" s="622">
        <f t="shared" si="7"/>
        <v>0.93104427081535879</v>
      </c>
    </row>
    <row r="33" spans="2:26" x14ac:dyDescent="0.2">
      <c r="B33" s="254" t="s">
        <v>380</v>
      </c>
      <c r="C33" s="255"/>
      <c r="D33" s="255"/>
      <c r="E33" s="255"/>
      <c r="F33" s="255" t="s">
        <v>227</v>
      </c>
      <c r="G33" s="255" t="s">
        <v>227</v>
      </c>
      <c r="H33" s="244"/>
      <c r="I33" s="1285">
        <f>1130*$S$1</f>
        <v>1233.96</v>
      </c>
      <c r="J33" s="1285">
        <f>1580*$S$1</f>
        <v>1725.3600000000001</v>
      </c>
      <c r="K33" s="369">
        <v>0.70399999999999996</v>
      </c>
      <c r="L33" s="369">
        <f>(14.8+8.4+17)/100*29.6/100</f>
        <v>0.118992</v>
      </c>
      <c r="M33" s="369">
        <f>(33.1+12.5)/100*29.62/100</f>
        <v>0.13506720000000003</v>
      </c>
      <c r="N33" s="369">
        <f>(7.1+2.5+4.2+0.3)/100*29.6/100</f>
        <v>4.1736000000000002E-2</v>
      </c>
      <c r="O33" s="370">
        <f t="shared" si="15"/>
        <v>0.9997952</v>
      </c>
      <c r="Q33" s="628">
        <v>138.20000000000005</v>
      </c>
      <c r="R33" s="622">
        <f t="shared" si="3"/>
        <v>0.87128712871287117</v>
      </c>
      <c r="S33" s="622">
        <f t="shared" si="16"/>
        <v>1.0559795534414824</v>
      </c>
      <c r="T33" s="622">
        <f t="shared" si="17"/>
        <v>1.1956023723112332</v>
      </c>
      <c r="U33" s="622">
        <f t="shared" si="6"/>
        <v>1.0563936417940669</v>
      </c>
      <c r="V33" s="622">
        <f t="shared" si="7"/>
        <v>0.89896949910616286</v>
      </c>
    </row>
    <row r="34" spans="2:26" x14ac:dyDescent="0.2">
      <c r="B34" s="254" t="s">
        <v>831</v>
      </c>
      <c r="C34" s="255"/>
      <c r="D34" s="255"/>
      <c r="E34" s="255" t="s">
        <v>227</v>
      </c>
      <c r="F34" s="255" t="s">
        <v>227</v>
      </c>
      <c r="G34" s="255"/>
      <c r="H34" s="244"/>
      <c r="I34" s="1285">
        <f>1420*$S$1</f>
        <v>1550.64</v>
      </c>
      <c r="J34" s="1285">
        <f>1980*$S$1</f>
        <v>2162.1600000000003</v>
      </c>
      <c r="K34" s="369">
        <v>0.753</v>
      </c>
      <c r="L34" s="369">
        <f>(18.4+14.6+11.2)/100*24.7/100</f>
        <v>0.10917400000000001</v>
      </c>
      <c r="M34" s="369">
        <f>(26.8+10.2)/100*24.7/100</f>
        <v>9.1389999999999999E-2</v>
      </c>
      <c r="N34" s="369">
        <f>(1.3+14+2.9+0.6)/100*24.7/100</f>
        <v>4.6436000000000005E-2</v>
      </c>
      <c r="O34" s="370">
        <f t="shared" si="15"/>
        <v>1</v>
      </c>
      <c r="P34" s="244"/>
      <c r="Q34" s="628">
        <v>428</v>
      </c>
      <c r="R34" s="622">
        <f t="shared" si="3"/>
        <v>0.93193069306930687</v>
      </c>
      <c r="S34" s="622">
        <f t="shared" si="16"/>
        <v>0.96885094600830657</v>
      </c>
      <c r="T34" s="622">
        <f t="shared" si="17"/>
        <v>0.80897583429228992</v>
      </c>
      <c r="U34" s="622">
        <f t="shared" si="6"/>
        <v>1.1753568897438493</v>
      </c>
      <c r="V34" s="622">
        <f t="shared" si="7"/>
        <v>0.94657425749408131</v>
      </c>
    </row>
    <row r="35" spans="2:26" x14ac:dyDescent="0.2">
      <c r="B35" s="254" t="s">
        <v>828</v>
      </c>
      <c r="C35" s="255"/>
      <c r="D35" s="255"/>
      <c r="E35" s="255" t="s">
        <v>227</v>
      </c>
      <c r="F35" s="255" t="s">
        <v>227</v>
      </c>
      <c r="G35" s="255"/>
      <c r="H35" s="244"/>
      <c r="I35" s="1285">
        <f>1840*$S$1</f>
        <v>2009.2800000000002</v>
      </c>
      <c r="J35" s="1285">
        <f>2900*$S$1</f>
        <v>3166.8</v>
      </c>
      <c r="K35" s="369">
        <v>0.73699999999999999</v>
      </c>
      <c r="L35" s="369">
        <f>(10.2+22.1+15)/100*26.3/100</f>
        <v>0.124399</v>
      </c>
      <c r="M35" s="369">
        <f>(31.5+11.2)/100*26.3/100</f>
        <v>0.11230100000000003</v>
      </c>
      <c r="N35" s="369">
        <f>(3.2+0.9+5.8+0.1)/100*26.3/100</f>
        <v>2.6300000000000004E-2</v>
      </c>
      <c r="O35" s="370">
        <f t="shared" si="15"/>
        <v>1</v>
      </c>
      <c r="P35" s="244"/>
      <c r="Q35" s="628">
        <v>990.8</v>
      </c>
      <c r="R35" s="622">
        <f t="shared" si="3"/>
        <v>0.91212871287128705</v>
      </c>
      <c r="S35" s="622">
        <f t="shared" si="16"/>
        <v>1.103963295587661</v>
      </c>
      <c r="T35" s="622">
        <f t="shared" si="17"/>
        <v>0.99407807382490954</v>
      </c>
      <c r="U35" s="622">
        <f t="shared" si="6"/>
        <v>0.66568796193176061</v>
      </c>
      <c r="V35" s="622">
        <f t="shared" si="7"/>
        <v>0.93104427081535879</v>
      </c>
    </row>
    <row r="36" spans="2:26" ht="15.75" x14ac:dyDescent="0.2">
      <c r="B36" s="254" t="s">
        <v>829</v>
      </c>
      <c r="C36" s="255"/>
      <c r="D36" s="255"/>
      <c r="E36" s="255" t="s">
        <v>227</v>
      </c>
      <c r="F36" s="255" t="s">
        <v>227</v>
      </c>
      <c r="G36" s="255"/>
      <c r="H36" s="244"/>
      <c r="I36" s="1285">
        <f>1820*$S$1</f>
        <v>1987.44</v>
      </c>
      <c r="J36" s="1285">
        <f>3570*$S$1</f>
        <v>3898.4400000000005</v>
      </c>
      <c r="K36" s="369">
        <v>0.745</v>
      </c>
      <c r="L36" s="369">
        <f>(13.5+19.7+10.9)/100*25.5/100</f>
        <v>0.112455</v>
      </c>
      <c r="M36" s="369">
        <f>(37.2+7.8)/100*25.5/100</f>
        <v>0.11474999999999999</v>
      </c>
      <c r="N36" s="369">
        <f>(1.6+5.2+2.8+1.3)/100*25.5/100</f>
        <v>2.7795000000000004E-2</v>
      </c>
      <c r="O36" s="370">
        <f t="shared" si="15"/>
        <v>1</v>
      </c>
      <c r="P36" s="244"/>
      <c r="Q36" s="628">
        <v>1263.7999999999997</v>
      </c>
      <c r="R36" s="622">
        <f t="shared" si="3"/>
        <v>0.92202970297029696</v>
      </c>
      <c r="S36" s="622">
        <f t="shared" si="16"/>
        <v>0.99796776827233691</v>
      </c>
      <c r="T36" s="622">
        <f t="shared" si="17"/>
        <v>1.0157563955032309</v>
      </c>
      <c r="U36" s="622">
        <f t="shared" si="6"/>
        <v>0.70352839931153177</v>
      </c>
      <c r="V36" s="622">
        <f t="shared" si="7"/>
        <v>0.93880926415471999</v>
      </c>
      <c r="W36" s="41"/>
      <c r="X36" s="41"/>
      <c r="Y36" s="41"/>
      <c r="Z36" s="41"/>
    </row>
    <row r="37" spans="2:26" ht="15.75" x14ac:dyDescent="0.25">
      <c r="B37" s="256" t="s">
        <v>830</v>
      </c>
      <c r="C37" s="257"/>
      <c r="D37" s="257"/>
      <c r="E37" s="257"/>
      <c r="F37" s="257"/>
      <c r="G37" s="257"/>
      <c r="H37" s="244"/>
      <c r="I37" s="1284">
        <f t="shared" ref="I37:N37" si="18">AVERAGE(I38:I48)</f>
        <v>1637.0072727272729</v>
      </c>
      <c r="J37" s="1284">
        <f t="shared" si="18"/>
        <v>2404.3854545454546</v>
      </c>
      <c r="K37" s="372">
        <f t="shared" si="18"/>
        <v>0.72670000000000001</v>
      </c>
      <c r="L37" s="372">
        <f t="shared" si="18"/>
        <v>0.13261972727272725</v>
      </c>
      <c r="M37" s="372">
        <f t="shared" si="18"/>
        <v>0.10934389090909093</v>
      </c>
      <c r="N37" s="372">
        <f t="shared" si="18"/>
        <v>3.1343181818181819E-2</v>
      </c>
      <c r="O37" s="370"/>
      <c r="P37" s="244"/>
      <c r="Q37" s="629">
        <f t="shared" ref="Q37:V37" si="19">AVERAGE(Q38:Q48)</f>
        <v>554.38181818181829</v>
      </c>
      <c r="R37" s="621">
        <f t="shared" si="19"/>
        <v>0.89938118811881185</v>
      </c>
      <c r="S37" s="621">
        <f t="shared" si="19"/>
        <v>1.1769171068894186</v>
      </c>
      <c r="T37" s="621">
        <f t="shared" si="19"/>
        <v>0.96790201743021076</v>
      </c>
      <c r="U37" s="621">
        <f t="shared" si="19"/>
        <v>0.79333759790882385</v>
      </c>
      <c r="V37" s="621">
        <f t="shared" si="19"/>
        <v>0.92104830861189546</v>
      </c>
      <c r="W37" s="18"/>
      <c r="X37" s="18"/>
      <c r="Y37" s="18"/>
      <c r="Z37" s="18"/>
    </row>
    <row r="38" spans="2:26" x14ac:dyDescent="0.2">
      <c r="B38" s="254" t="s">
        <v>866</v>
      </c>
      <c r="C38" s="255" t="s">
        <v>227</v>
      </c>
      <c r="D38" s="255"/>
      <c r="E38" s="255"/>
      <c r="F38" s="255"/>
      <c r="G38" s="255"/>
      <c r="H38" s="244"/>
      <c r="I38" s="1285">
        <f>1500*$S$1</f>
        <v>1638.0000000000002</v>
      </c>
      <c r="J38" s="1285">
        <f>2050*$S$1</f>
        <v>2238.6000000000004</v>
      </c>
      <c r="K38" s="369">
        <v>0.76600000000000001</v>
      </c>
      <c r="L38" s="369">
        <f>(26.6+18.5+13.4)/100*23.4/100</f>
        <v>0.13688999999999998</v>
      </c>
      <c r="M38" s="369">
        <f>(36.7+3.2)/100*23.4/100</f>
        <v>9.3366000000000005E-2</v>
      </c>
      <c r="N38" s="369">
        <f>(0.1+1.6)/100*23.4/100</f>
        <v>3.9779999999999998E-3</v>
      </c>
      <c r="O38" s="370">
        <f t="shared" ref="O38:O48" si="20">SUM(K38:N38)</f>
        <v>1.0002340000000001</v>
      </c>
      <c r="Q38" s="628">
        <v>491</v>
      </c>
      <c r="R38" s="622">
        <f t="shared" si="3"/>
        <v>0.94801980198019797</v>
      </c>
      <c r="S38" s="622">
        <f t="shared" ref="S38:S48" si="21">+L38/$L$24</f>
        <v>1.2148131056760498</v>
      </c>
      <c r="T38" s="622">
        <f t="shared" ref="T38:T48" si="22">+M38/$M$24</f>
        <v>0.82646720368239357</v>
      </c>
      <c r="U38" s="622">
        <f t="shared" si="6"/>
        <v>0.10068846815834764</v>
      </c>
      <c r="V38" s="622">
        <f t="shared" si="7"/>
        <v>0.95924284412724925</v>
      </c>
      <c r="W38" s="77"/>
      <c r="X38" s="77"/>
      <c r="Y38" s="77"/>
      <c r="Z38" s="77"/>
    </row>
    <row r="39" spans="2:26" x14ac:dyDescent="0.2">
      <c r="B39" s="254" t="s">
        <v>743</v>
      </c>
      <c r="C39" s="255"/>
      <c r="D39" s="255"/>
      <c r="E39" s="255" t="s">
        <v>227</v>
      </c>
      <c r="F39" s="255"/>
      <c r="G39" s="255"/>
      <c r="H39" s="244"/>
      <c r="I39" s="1285">
        <f>1520*$S$1</f>
        <v>1659.8400000000001</v>
      </c>
      <c r="J39" s="1285">
        <f>2300*$S$1</f>
        <v>2511.6000000000004</v>
      </c>
      <c r="K39" s="369">
        <v>0.78500000000000003</v>
      </c>
      <c r="L39" s="369">
        <f>(24.4+24.4+8)/100*21.6/100</f>
        <v>0.12268800000000001</v>
      </c>
      <c r="M39" s="369">
        <f>(31.8+5.7)/100*21.6/100</f>
        <v>8.1000000000000016E-2</v>
      </c>
      <c r="N39" s="369">
        <f>(1.2+2.6+0.8+0.7)/100*21.6/100</f>
        <v>1.1448E-2</v>
      </c>
      <c r="O39" s="370">
        <f t="shared" si="20"/>
        <v>1.0001359999999999</v>
      </c>
      <c r="P39" s="244"/>
      <c r="Q39" s="628">
        <v>604.40000000000009</v>
      </c>
      <c r="R39" s="622">
        <f t="shared" si="3"/>
        <v>0.97153465346534651</v>
      </c>
      <c r="S39" s="622">
        <f t="shared" si="21"/>
        <v>1.0887792410635051</v>
      </c>
      <c r="T39" s="622">
        <f t="shared" si="22"/>
        <v>0.71700451447286906</v>
      </c>
      <c r="U39" s="622">
        <f t="shared" si="6"/>
        <v>0.28976409841044848</v>
      </c>
      <c r="V39" s="622">
        <f t="shared" si="7"/>
        <v>0.97766356527080855</v>
      </c>
      <c r="W39" s="79"/>
      <c r="X39" s="79"/>
      <c r="Y39" s="79"/>
      <c r="Z39" s="79"/>
    </row>
    <row r="40" spans="2:26" x14ac:dyDescent="0.2">
      <c r="B40" s="254" t="s">
        <v>744</v>
      </c>
      <c r="C40" s="255"/>
      <c r="D40" s="255"/>
      <c r="E40" s="255" t="s">
        <v>227</v>
      </c>
      <c r="F40" s="255"/>
      <c r="G40" s="255"/>
      <c r="H40" s="244"/>
      <c r="I40" s="1285">
        <f>1600*$S$1</f>
        <v>1747.2</v>
      </c>
      <c r="J40" s="1285">
        <f>2190*$S$1</f>
        <v>2391.48</v>
      </c>
      <c r="K40" s="369">
        <v>0.79800000000000004</v>
      </c>
      <c r="L40" s="369">
        <f>(24.6+24.3+10.4)/100*20.2/100</f>
        <v>0.11978600000000002</v>
      </c>
      <c r="M40" s="369">
        <f>(32.6+3.8)/100*20.2/100</f>
        <v>7.3527999999999996E-2</v>
      </c>
      <c r="N40" s="369">
        <f>(0.3+3.3+0.7)/100*20.2/100</f>
        <v>8.6859999999999993E-3</v>
      </c>
      <c r="O40" s="370">
        <f t="shared" si="20"/>
        <v>1.0000000000000002</v>
      </c>
      <c r="P40" s="244"/>
      <c r="Q40" s="628">
        <v>591.79999999999995</v>
      </c>
      <c r="R40" s="622">
        <f t="shared" si="3"/>
        <v>0.98762376237623761</v>
      </c>
      <c r="S40" s="622">
        <f t="shared" si="21"/>
        <v>1.0630258066806293</v>
      </c>
      <c r="T40" s="622">
        <f t="shared" si="22"/>
        <v>0.65086306098964319</v>
      </c>
      <c r="U40" s="622">
        <f t="shared" si="6"/>
        <v>0.21985420674293807</v>
      </c>
      <c r="V40" s="622">
        <f t="shared" si="7"/>
        <v>0.99025234502798853</v>
      </c>
      <c r="W40" s="79"/>
      <c r="X40" s="79"/>
      <c r="Y40" s="79"/>
      <c r="Z40" s="79"/>
    </row>
    <row r="41" spans="2:26" x14ac:dyDescent="0.2">
      <c r="B41" s="254" t="s">
        <v>848</v>
      </c>
      <c r="C41" s="255"/>
      <c r="D41" s="255"/>
      <c r="E41" s="255" t="s">
        <v>227</v>
      </c>
      <c r="F41" s="255"/>
      <c r="G41" s="255"/>
      <c r="H41" s="244"/>
      <c r="I41" s="1285">
        <f>1480*$S$1</f>
        <v>1616.16</v>
      </c>
      <c r="J41" s="1285">
        <f>2010*$S$1</f>
        <v>2194.92</v>
      </c>
      <c r="K41" s="369">
        <v>0.76100000000000001</v>
      </c>
      <c r="L41" s="369">
        <f>(13.7+24+8.5)/100*23.9/100</f>
        <v>0.110418</v>
      </c>
      <c r="M41" s="369">
        <f>(32.9+14)/100*23.9/100</f>
        <v>0.112091</v>
      </c>
      <c r="N41" s="369">
        <f>(2.4+1.9+2.6+0)/100*23.9/100</f>
        <v>1.6490999999999999E-2</v>
      </c>
      <c r="O41" s="370">
        <f t="shared" si="20"/>
        <v>1</v>
      </c>
      <c r="Q41" s="628">
        <v>465.79999999999995</v>
      </c>
      <c r="R41" s="622">
        <f t="shared" si="3"/>
        <v>0.94183168316831678</v>
      </c>
      <c r="S41" s="622">
        <f t="shared" si="21"/>
        <v>0.97989066770792665</v>
      </c>
      <c r="T41" s="622">
        <f t="shared" si="22"/>
        <v>0.9922191732318314</v>
      </c>
      <c r="U41" s="622">
        <f t="shared" si="6"/>
        <v>0.41740913232762972</v>
      </c>
      <c r="V41" s="622">
        <f t="shared" si="7"/>
        <v>0.95433925083344251</v>
      </c>
      <c r="W41" s="79"/>
      <c r="X41" s="79"/>
      <c r="Y41" s="79"/>
      <c r="Z41" s="79"/>
    </row>
    <row r="42" spans="2:26" x14ac:dyDescent="0.2">
      <c r="B42" s="254" t="s">
        <v>381</v>
      </c>
      <c r="C42" s="255"/>
      <c r="D42" s="255"/>
      <c r="E42" s="255" t="s">
        <v>227</v>
      </c>
      <c r="F42" s="255"/>
      <c r="G42" s="255"/>
      <c r="H42" s="244"/>
      <c r="I42" s="1285">
        <f>1480*$S$1</f>
        <v>1616.16</v>
      </c>
      <c r="J42" s="1285">
        <f>2010*$S$1</f>
        <v>2194.92</v>
      </c>
      <c r="K42" s="369">
        <v>0.76100000000000001</v>
      </c>
      <c r="L42" s="369">
        <f>(13.7+24+8.5)/100*23.9/100</f>
        <v>0.110418</v>
      </c>
      <c r="M42" s="369">
        <f>(32.9+14)/100*23.9/100</f>
        <v>0.112091</v>
      </c>
      <c r="N42" s="369">
        <f>(2.4+1.9+2.6+0)/100*23.9/100</f>
        <v>1.6490999999999999E-2</v>
      </c>
      <c r="O42" s="370">
        <f t="shared" si="20"/>
        <v>1</v>
      </c>
      <c r="Q42" s="628">
        <v>465.79999999999995</v>
      </c>
      <c r="R42" s="622">
        <f t="shared" si="3"/>
        <v>0.94183168316831678</v>
      </c>
      <c r="S42" s="622">
        <f t="shared" si="21"/>
        <v>0.97989066770792665</v>
      </c>
      <c r="T42" s="622">
        <f t="shared" si="22"/>
        <v>0.9922191732318314</v>
      </c>
      <c r="U42" s="622">
        <f t="shared" si="6"/>
        <v>0.41740913232762972</v>
      </c>
      <c r="V42" s="622">
        <f t="shared" si="7"/>
        <v>0.95433925083344251</v>
      </c>
      <c r="W42" s="79"/>
      <c r="X42" s="79"/>
      <c r="Y42" s="79"/>
      <c r="Z42" s="79"/>
    </row>
    <row r="43" spans="2:26" ht="25.5" x14ac:dyDescent="0.2">
      <c r="B43" s="254" t="s">
        <v>382</v>
      </c>
      <c r="C43" s="255"/>
      <c r="D43" s="255"/>
      <c r="E43" s="255" t="s">
        <v>227</v>
      </c>
      <c r="F43" s="255" t="s">
        <v>227</v>
      </c>
      <c r="G43" s="255"/>
      <c r="H43" s="244"/>
      <c r="I43" s="1285">
        <f>1420*$S$1</f>
        <v>1550.64</v>
      </c>
      <c r="J43" s="1285">
        <f>2420*$S$1</f>
        <v>2642.6400000000003</v>
      </c>
      <c r="K43" s="369">
        <v>0.69669999999999999</v>
      </c>
      <c r="L43" s="369">
        <f>(28.2+9.1+14.4)/100*30.3/100</f>
        <v>0.15665099999999998</v>
      </c>
      <c r="M43" s="369">
        <f>(21.6+11.7)/100*30.3/100</f>
        <v>0.10089899999999999</v>
      </c>
      <c r="N43" s="369">
        <f>(3.9+10.9+0.3+0.1)/100*30.3/100</f>
        <v>4.6056000000000007E-2</v>
      </c>
      <c r="O43" s="370">
        <f t="shared" si="20"/>
        <v>1.0003059999999999</v>
      </c>
      <c r="P43" s="244"/>
      <c r="Q43" s="628">
        <v>612.79999999999995</v>
      </c>
      <c r="R43" s="622">
        <f t="shared" si="3"/>
        <v>0.86225247524752469</v>
      </c>
      <c r="S43" s="622">
        <f t="shared" si="21"/>
        <v>1.3901796173369776</v>
      </c>
      <c r="T43" s="622">
        <f t="shared" si="22"/>
        <v>0.89314862352837021</v>
      </c>
      <c r="U43" s="622">
        <f t="shared" si="6"/>
        <v>1.1657385845904626</v>
      </c>
      <c r="V43" s="622">
        <f t="shared" si="7"/>
        <v>0.89199411931171091</v>
      </c>
      <c r="W43" s="79"/>
      <c r="X43" s="79"/>
      <c r="Y43" s="79"/>
      <c r="Z43" s="79"/>
    </row>
    <row r="44" spans="2:26" x14ac:dyDescent="0.2">
      <c r="B44" s="254" t="s">
        <v>383</v>
      </c>
      <c r="C44" s="255"/>
      <c r="D44" s="255" t="s">
        <v>227</v>
      </c>
      <c r="E44" s="255" t="s">
        <v>227</v>
      </c>
      <c r="F44" s="255"/>
      <c r="G44" s="255"/>
      <c r="H44" s="244"/>
      <c r="I44" s="1285">
        <f>1130*$S$1</f>
        <v>1233.96</v>
      </c>
      <c r="J44" s="1285">
        <f>1580*$S$1</f>
        <v>1725.3600000000001</v>
      </c>
      <c r="K44" s="369">
        <v>0.70399999999999996</v>
      </c>
      <c r="L44" s="369">
        <f>(14.8+8.4+17)/100*29.6/100</f>
        <v>0.118992</v>
      </c>
      <c r="M44" s="369">
        <f>(33.1+12.5)/100*29.62/100</f>
        <v>0.13506720000000003</v>
      </c>
      <c r="N44" s="369">
        <f>(7.1+2.5+4.2+0.3)/100*29.6/100</f>
        <v>4.1736000000000002E-2</v>
      </c>
      <c r="O44" s="370">
        <f t="shared" si="20"/>
        <v>0.9997952</v>
      </c>
      <c r="Q44" s="628">
        <v>138.20000000000005</v>
      </c>
      <c r="R44" s="622">
        <f t="shared" si="3"/>
        <v>0.87128712871287117</v>
      </c>
      <c r="S44" s="622">
        <f t="shared" si="21"/>
        <v>1.0559795534414824</v>
      </c>
      <c r="T44" s="622">
        <f t="shared" si="22"/>
        <v>1.1956023723112332</v>
      </c>
      <c r="U44" s="622">
        <f t="shared" si="6"/>
        <v>1.0563936417940669</v>
      </c>
      <c r="V44" s="622">
        <f t="shared" si="7"/>
        <v>0.89896949910616286</v>
      </c>
      <c r="W44" s="79"/>
      <c r="X44" s="79"/>
      <c r="Y44" s="79"/>
      <c r="Z44" s="79"/>
    </row>
    <row r="45" spans="2:26" ht="25.5" x14ac:dyDescent="0.2">
      <c r="B45" s="254" t="s">
        <v>384</v>
      </c>
      <c r="C45" s="255"/>
      <c r="D45" s="255"/>
      <c r="E45" s="255" t="s">
        <v>227</v>
      </c>
      <c r="F45" s="255" t="s">
        <v>227</v>
      </c>
      <c r="G45" s="255"/>
      <c r="H45" s="244"/>
      <c r="I45" s="1285">
        <f>1620*$S$1</f>
        <v>1769.0400000000002</v>
      </c>
      <c r="J45" s="1285">
        <f>2300*$S$1</f>
        <v>2511.6000000000004</v>
      </c>
      <c r="K45" s="369">
        <v>0.70399999999999996</v>
      </c>
      <c r="L45" s="369">
        <f>(14.8+8.4+17)/100*29.6/100</f>
        <v>0.118992</v>
      </c>
      <c r="M45" s="369">
        <f>(33.1+12.5)/100*29.62/100</f>
        <v>0.13506720000000003</v>
      </c>
      <c r="N45" s="369">
        <f>(7.1+2.5+4.2+0.3)/100*29.6/100</f>
        <v>4.1736000000000002E-2</v>
      </c>
      <c r="O45" s="370">
        <f t="shared" si="20"/>
        <v>0.9997952</v>
      </c>
      <c r="Q45" s="628">
        <v>646.40000000000009</v>
      </c>
      <c r="R45" s="622">
        <f t="shared" si="3"/>
        <v>0.87128712871287117</v>
      </c>
      <c r="S45" s="622">
        <f t="shared" si="21"/>
        <v>1.0559795534414824</v>
      </c>
      <c r="T45" s="622">
        <f t="shared" si="22"/>
        <v>1.1956023723112332</v>
      </c>
      <c r="U45" s="622">
        <f t="shared" si="6"/>
        <v>1.0563936417940669</v>
      </c>
      <c r="V45" s="622">
        <f t="shared" si="7"/>
        <v>0.89896949910616286</v>
      </c>
    </row>
    <row r="46" spans="2:26" x14ac:dyDescent="0.2">
      <c r="B46" s="254" t="s">
        <v>385</v>
      </c>
      <c r="C46" s="255"/>
      <c r="D46" s="255"/>
      <c r="E46" s="255" t="s">
        <v>227</v>
      </c>
      <c r="F46" s="255"/>
      <c r="G46" s="255"/>
      <c r="H46" s="244"/>
      <c r="I46" s="1285">
        <f>1130*$S$1</f>
        <v>1233.96</v>
      </c>
      <c r="J46" s="1285">
        <f>1580*$S$1</f>
        <v>1725.3600000000001</v>
      </c>
      <c r="K46" s="369">
        <v>0.70399999999999996</v>
      </c>
      <c r="L46" s="369">
        <f>(14.8+8.4+17)/100*29.6/100</f>
        <v>0.118992</v>
      </c>
      <c r="M46" s="369">
        <f>(33.1+12.5)/100*29.62/100</f>
        <v>0.13506720000000003</v>
      </c>
      <c r="N46" s="369">
        <f>(7.1+2.5+4.2+0.3)/100*29.6/100</f>
        <v>4.1736000000000002E-2</v>
      </c>
      <c r="O46" s="370">
        <f t="shared" si="20"/>
        <v>0.9997952</v>
      </c>
      <c r="Q46" s="628">
        <v>138.20000000000005</v>
      </c>
      <c r="R46" s="622">
        <f t="shared" si="3"/>
        <v>0.87128712871287117</v>
      </c>
      <c r="S46" s="622">
        <f t="shared" si="21"/>
        <v>1.0559795534414824</v>
      </c>
      <c r="T46" s="622">
        <f t="shared" si="22"/>
        <v>1.1956023723112332</v>
      </c>
      <c r="U46" s="622">
        <f t="shared" si="6"/>
        <v>1.0563936417940669</v>
      </c>
      <c r="V46" s="622">
        <f t="shared" si="7"/>
        <v>0.89896949910616286</v>
      </c>
    </row>
    <row r="47" spans="2:26" x14ac:dyDescent="0.2">
      <c r="B47" s="254" t="s">
        <v>386</v>
      </c>
      <c r="C47" s="255"/>
      <c r="D47" s="255"/>
      <c r="E47" s="255"/>
      <c r="F47" s="255" t="s">
        <v>227</v>
      </c>
      <c r="G47" s="255"/>
      <c r="H47" s="244"/>
      <c r="I47" s="1285">
        <f>1620*$S$1</f>
        <v>1769.0400000000002</v>
      </c>
      <c r="J47" s="1285">
        <f>2300*$S$1</f>
        <v>2511.6000000000004</v>
      </c>
      <c r="K47" s="369">
        <v>0.70399999999999996</v>
      </c>
      <c r="L47" s="369">
        <f>(14.8+8.4+17)/100*29.6/100</f>
        <v>0.118992</v>
      </c>
      <c r="M47" s="369">
        <f>(33.1+12.5)/100*29.62/100</f>
        <v>0.13506720000000003</v>
      </c>
      <c r="N47" s="369">
        <f>(7.1+2.5+4.2+0.3)/100*29.6/100</f>
        <v>4.1736000000000002E-2</v>
      </c>
      <c r="O47" s="370">
        <f t="shared" si="20"/>
        <v>0.9997952</v>
      </c>
      <c r="P47" s="244"/>
      <c r="Q47" s="628">
        <v>646.40000000000009</v>
      </c>
      <c r="R47" s="622">
        <f t="shared" si="3"/>
        <v>0.87128712871287117</v>
      </c>
      <c r="S47" s="622">
        <f t="shared" si="21"/>
        <v>1.0559795534414824</v>
      </c>
      <c r="T47" s="622">
        <f t="shared" si="22"/>
        <v>1.1956023723112332</v>
      </c>
      <c r="U47" s="622">
        <f t="shared" si="6"/>
        <v>1.0563936417940669</v>
      </c>
      <c r="V47" s="622">
        <f t="shared" si="7"/>
        <v>0.89896949910616286</v>
      </c>
    </row>
    <row r="48" spans="2:26" x14ac:dyDescent="0.2">
      <c r="B48" s="254" t="s">
        <v>387</v>
      </c>
      <c r="C48" s="255"/>
      <c r="D48" s="255"/>
      <c r="E48" s="255"/>
      <c r="F48" s="255"/>
      <c r="G48" s="255" t="s">
        <v>227</v>
      </c>
      <c r="H48" s="244"/>
      <c r="I48" s="1285">
        <f>1990*$S$1</f>
        <v>2173.0800000000004</v>
      </c>
      <c r="J48" s="1285">
        <f>3480*$S$1</f>
        <v>3800.1600000000003</v>
      </c>
      <c r="K48" s="369">
        <v>0.61</v>
      </c>
      <c r="L48" s="369">
        <f>(7.1+11.3+39.4)/100*39.1/100</f>
        <v>0.22599799999999998</v>
      </c>
      <c r="M48" s="369">
        <f>(17.4+5.5)/100*39.1/100</f>
        <v>8.9538999999999994E-2</v>
      </c>
      <c r="N48" s="369">
        <f>(0.5+13.5+4.6+0.5)/100*39.1/100</f>
        <v>7.4681000000000011E-2</v>
      </c>
      <c r="O48" s="370">
        <f t="shared" si="20"/>
        <v>1.0002180000000001</v>
      </c>
      <c r="Q48" s="628">
        <v>1297.3999999999996</v>
      </c>
      <c r="R48" s="622">
        <f t="shared" si="3"/>
        <v>0.75495049504950484</v>
      </c>
      <c r="S48" s="622">
        <f t="shared" si="21"/>
        <v>2.0055908558446629</v>
      </c>
      <c r="T48" s="622">
        <f t="shared" si="22"/>
        <v>0.79259095335044694</v>
      </c>
      <c r="U48" s="622">
        <f t="shared" si="6"/>
        <v>1.8902753872633389</v>
      </c>
      <c r="V48" s="622">
        <f t="shared" si="7"/>
        <v>0.80782202290155358</v>
      </c>
    </row>
    <row r="49" spans="2:22" ht="15.75" x14ac:dyDescent="0.2">
      <c r="B49" s="256" t="s">
        <v>784</v>
      </c>
      <c r="C49" s="257"/>
      <c r="D49" s="257"/>
      <c r="E49" s="257"/>
      <c r="F49" s="257"/>
      <c r="G49" s="257"/>
      <c r="H49" s="244"/>
      <c r="I49" s="1284">
        <f t="shared" ref="I49:N49" si="23">AVERAGE(I50:I58)</f>
        <v>1285.1626666666666</v>
      </c>
      <c r="J49" s="1284">
        <f t="shared" si="23"/>
        <v>1991.8080000000004</v>
      </c>
      <c r="K49" s="372">
        <f t="shared" si="23"/>
        <v>0.76866666666666661</v>
      </c>
      <c r="L49" s="372">
        <f t="shared" si="23"/>
        <v>0.12836888888888889</v>
      </c>
      <c r="M49" s="372">
        <f t="shared" si="23"/>
        <v>6.9441888888888886E-2</v>
      </c>
      <c r="N49" s="372">
        <f t="shared" si="23"/>
        <v>3.3334999999999997E-2</v>
      </c>
      <c r="O49" s="370"/>
      <c r="P49" s="244"/>
      <c r="Q49" s="629">
        <f t="shared" ref="Q49:V49" si="24">AVERAGE(Q50:Q58)</f>
        <v>260.37333333333328</v>
      </c>
      <c r="R49" s="621">
        <f t="shared" si="24"/>
        <v>0.9513201320132012</v>
      </c>
      <c r="S49" s="621">
        <f t="shared" si="24"/>
        <v>1.1391935757417988</v>
      </c>
      <c r="T49" s="621">
        <f t="shared" si="24"/>
        <v>0.61469318304761356</v>
      </c>
      <c r="U49" s="621">
        <f t="shared" si="24"/>
        <v>0.84375316391616861</v>
      </c>
      <c r="V49" s="621">
        <f t="shared" si="24"/>
        <v>0.96174024812700709</v>
      </c>
    </row>
    <row r="50" spans="2:22" x14ac:dyDescent="0.2">
      <c r="B50" s="254" t="s">
        <v>388</v>
      </c>
      <c r="C50" s="255"/>
      <c r="D50" s="255" t="s">
        <v>227</v>
      </c>
      <c r="E50" s="255"/>
      <c r="F50" s="255"/>
      <c r="G50" s="255"/>
      <c r="H50" s="244"/>
      <c r="I50" s="1285">
        <f>460*$S$1</f>
        <v>502.32000000000005</v>
      </c>
      <c r="J50" s="1285">
        <f>1180*$S$1</f>
        <v>1288.5600000000002</v>
      </c>
      <c r="K50" s="369">
        <v>0.85799999999999998</v>
      </c>
      <c r="L50" s="369">
        <f>(21.8+17.8+2.5)/100*14.2/100</f>
        <v>5.9782000000000002E-2</v>
      </c>
      <c r="M50" s="369">
        <f>(49.4+4.8)/100*14.2/100</f>
        <v>7.6963999999999991E-2</v>
      </c>
      <c r="N50" s="369">
        <f>(0.1+2.5+0.8)/100*14.2/100</f>
        <v>4.8279999999999998E-3</v>
      </c>
      <c r="O50" s="370">
        <f t="shared" ref="O50:O58" si="25">SUM(K50:N50)</f>
        <v>0.99957400000000007</v>
      </c>
      <c r="Q50" s="628">
        <v>-311.20000000000005</v>
      </c>
      <c r="R50" s="622">
        <f t="shared" si="3"/>
        <v>1.0618811881188117</v>
      </c>
      <c r="S50" s="622">
        <f t="shared" ref="S50:S58" si="26">+L50/$L$24</f>
        <v>0.53052784778673112</v>
      </c>
      <c r="T50" s="622">
        <f t="shared" ref="T50:T58" si="27">+M50/$M$24</f>
        <v>0.68127821545543055</v>
      </c>
      <c r="U50" s="622">
        <f t="shared" si="6"/>
        <v>0.12220309810671254</v>
      </c>
      <c r="V50" s="622">
        <f t="shared" si="7"/>
        <v>1.0483979093186822</v>
      </c>
    </row>
    <row r="51" spans="2:22" x14ac:dyDescent="0.2">
      <c r="B51" s="254" t="s">
        <v>752</v>
      </c>
      <c r="C51" s="255"/>
      <c r="D51" s="255"/>
      <c r="E51" s="255" t="s">
        <v>227</v>
      </c>
      <c r="F51" s="255"/>
      <c r="G51" s="255"/>
      <c r="H51" s="244"/>
      <c r="I51" s="1285">
        <f>950*$S$1</f>
        <v>1037.4000000000001</v>
      </c>
      <c r="J51" s="1285">
        <f>1420*$S$1</f>
        <v>1550.64</v>
      </c>
      <c r="K51" s="369">
        <v>0.78300000000000003</v>
      </c>
      <c r="L51" s="369">
        <f>(14.6+22.6+17.9)/100*21.7/100</f>
        <v>0.11956700000000002</v>
      </c>
      <c r="M51" s="369">
        <f>(30.8+2)/100*21.7/100</f>
        <v>7.1175999999999989E-2</v>
      </c>
      <c r="N51" s="369">
        <f>(12.1)/100*21.7/100</f>
        <v>2.6256999999999996E-2</v>
      </c>
      <c r="O51" s="370">
        <f t="shared" si="25"/>
        <v>1</v>
      </c>
      <c r="P51" s="244"/>
      <c r="Q51" s="628">
        <v>-4.6000000000000227</v>
      </c>
      <c r="R51" s="622">
        <f t="shared" si="3"/>
        <v>0.96905940594059403</v>
      </c>
      <c r="S51" s="622">
        <f t="shared" si="26"/>
        <v>1.0610823186965321</v>
      </c>
      <c r="T51" s="622">
        <f t="shared" si="27"/>
        <v>0.63004337434717173</v>
      </c>
      <c r="U51" s="622">
        <f t="shared" si="6"/>
        <v>0.66459957476966669</v>
      </c>
      <c r="V51" s="622">
        <f t="shared" si="7"/>
        <v>0.97569298251668601</v>
      </c>
    </row>
    <row r="52" spans="2:22" x14ac:dyDescent="0.2">
      <c r="B52" s="254" t="s">
        <v>753</v>
      </c>
      <c r="C52" s="255"/>
      <c r="D52" s="255"/>
      <c r="E52" s="255"/>
      <c r="F52" s="255" t="s">
        <v>227</v>
      </c>
      <c r="G52" s="255"/>
      <c r="H52" s="244"/>
      <c r="I52" s="1285">
        <f>1220*$S$1</f>
        <v>1332.24</v>
      </c>
      <c r="J52" s="1285">
        <f>2200*$S$1</f>
        <v>2402.4</v>
      </c>
      <c r="K52" s="369">
        <v>0.78800000000000003</v>
      </c>
      <c r="L52" s="369">
        <f>(26.4+32.5+1.4)/100*21.2/100</f>
        <v>0.12783600000000001</v>
      </c>
      <c r="M52" s="369">
        <f>(22.2+4.2)/100*21.2/100</f>
        <v>5.5967999999999997E-2</v>
      </c>
      <c r="N52" s="369">
        <f>(13.3)/100*21.2/100</f>
        <v>2.8195999999999999E-2</v>
      </c>
      <c r="O52" s="370">
        <f t="shared" si="25"/>
        <v>1</v>
      </c>
      <c r="P52" s="244"/>
      <c r="Q52" s="628">
        <v>436.40000000000009</v>
      </c>
      <c r="R52" s="622">
        <f t="shared" si="3"/>
        <v>0.97524752475247523</v>
      </c>
      <c r="S52" s="622">
        <f t="shared" si="26"/>
        <v>1.1344645202513224</v>
      </c>
      <c r="T52" s="622">
        <f t="shared" si="27"/>
        <v>0.49542356377799412</v>
      </c>
      <c r="U52" s="622">
        <f t="shared" si="6"/>
        <v>0.71367824238128963</v>
      </c>
      <c r="V52" s="622">
        <f t="shared" si="7"/>
        <v>0.98054610335378689</v>
      </c>
    </row>
    <row r="53" spans="2:22" x14ac:dyDescent="0.2">
      <c r="B53" s="254" t="s">
        <v>751</v>
      </c>
      <c r="C53" s="255"/>
      <c r="D53" s="255"/>
      <c r="E53" s="255" t="s">
        <v>227</v>
      </c>
      <c r="F53" s="255" t="s">
        <v>227</v>
      </c>
      <c r="G53" s="255"/>
      <c r="H53" s="244"/>
      <c r="I53" s="1285">
        <f>1950*$S$1</f>
        <v>2129.4</v>
      </c>
      <c r="J53" s="1285">
        <f>2980*$S$1</f>
        <v>3254.1600000000003</v>
      </c>
      <c r="K53" s="369">
        <v>0.72199999999999998</v>
      </c>
      <c r="L53" s="369">
        <f>(14.9+17.4+24.7)/100*27.9/100</f>
        <v>0.15902999999999998</v>
      </c>
      <c r="M53" s="369">
        <f>(24.2+2.5)/100*27.92/100</f>
        <v>7.4546400000000013E-2</v>
      </c>
      <c r="N53" s="369">
        <f>(2.2+12.8+0.8)/100*27.9/100</f>
        <v>4.4081999999999996E-2</v>
      </c>
      <c r="O53" s="370">
        <f t="shared" si="25"/>
        <v>0.99965839999999995</v>
      </c>
      <c r="P53" s="244"/>
      <c r="Q53" s="628">
        <v>1070.5999999999999</v>
      </c>
      <c r="R53" s="622">
        <f t="shared" si="3"/>
        <v>0.89356435643564347</v>
      </c>
      <c r="S53" s="622">
        <f t="shared" si="26"/>
        <v>1.4112917539313476</v>
      </c>
      <c r="T53" s="622">
        <f t="shared" si="27"/>
        <v>0.6598778436753121</v>
      </c>
      <c r="U53" s="622">
        <f t="shared" si="6"/>
        <v>1.1157740204515538</v>
      </c>
      <c r="V53" s="622">
        <f t="shared" si="7"/>
        <v>0.91641122714503609</v>
      </c>
    </row>
    <row r="54" spans="2:22" x14ac:dyDescent="0.2">
      <c r="B54" s="254" t="s">
        <v>389</v>
      </c>
      <c r="C54" s="255"/>
      <c r="D54" s="255"/>
      <c r="E54" s="255"/>
      <c r="F54" s="255" t="s">
        <v>227</v>
      </c>
      <c r="G54" s="255"/>
      <c r="H54" s="244"/>
      <c r="I54" s="1285">
        <f>1950*$S$1</f>
        <v>2129.4</v>
      </c>
      <c r="J54" s="1285">
        <f>2980*$S$1</f>
        <v>3254.1600000000003</v>
      </c>
      <c r="K54" s="369">
        <v>0.64600000000000002</v>
      </c>
      <c r="L54" s="369">
        <f>(14.9+17.4+24.7)/100*27.9/100</f>
        <v>0.15902999999999998</v>
      </c>
      <c r="M54" s="369">
        <f>(24.2+2.5)/100*27.92/100</f>
        <v>7.4546400000000013E-2</v>
      </c>
      <c r="N54" s="369">
        <v>0.12</v>
      </c>
      <c r="O54" s="370">
        <f t="shared" si="25"/>
        <v>0.99957640000000003</v>
      </c>
      <c r="Q54" s="628">
        <v>1070.5999999999999</v>
      </c>
      <c r="R54" s="622">
        <f t="shared" si="3"/>
        <v>0.79950495049504944</v>
      </c>
      <c r="S54" s="622">
        <f t="shared" si="26"/>
        <v>1.4112917539313476</v>
      </c>
      <c r="T54" s="622">
        <f t="shared" si="27"/>
        <v>0.6598778436753121</v>
      </c>
      <c r="U54" s="622">
        <f t="shared" si="6"/>
        <v>3.037359522122101</v>
      </c>
      <c r="V54" s="622">
        <f t="shared" si="7"/>
        <v>0.84262610349183131</v>
      </c>
    </row>
    <row r="55" spans="2:22" ht="25.5" x14ac:dyDescent="0.2">
      <c r="B55" s="254" t="s">
        <v>821</v>
      </c>
      <c r="C55" s="255" t="s">
        <v>227</v>
      </c>
      <c r="D55" s="255"/>
      <c r="E55" s="255"/>
      <c r="F55" s="255"/>
      <c r="G55" s="255"/>
      <c r="I55" s="1285">
        <f>820*$S$1*0.6</f>
        <v>537.26400000000001</v>
      </c>
      <c r="J55" s="1285">
        <f>1110*$S$1*0.6</f>
        <v>727.27200000000005</v>
      </c>
      <c r="K55" s="369">
        <v>0.81</v>
      </c>
      <c r="L55" s="369">
        <f>(37.6+32+4.8)/100*19.1/100</f>
        <v>0.14210399999999998</v>
      </c>
      <c r="M55" s="369">
        <f>(21.7+3.3)/100*19.1/100</f>
        <v>4.7750000000000001E-2</v>
      </c>
      <c r="N55" s="369">
        <v>0</v>
      </c>
      <c r="O55" s="370">
        <f t="shared" si="25"/>
        <v>0.99985400000000002</v>
      </c>
      <c r="Q55" s="628">
        <v>-513.6400000000001</v>
      </c>
      <c r="R55" s="622">
        <f t="shared" si="3"/>
        <v>1.0024752475247525</v>
      </c>
      <c r="S55" s="622">
        <f t="shared" si="26"/>
        <v>1.2610840935714032</v>
      </c>
      <c r="T55" s="622">
        <f t="shared" si="27"/>
        <v>0.42267858723554924</v>
      </c>
      <c r="U55" s="622">
        <f t="shared" si="6"/>
        <v>0</v>
      </c>
      <c r="V55" s="622">
        <f t="shared" si="7"/>
        <v>1.0018683436751541</v>
      </c>
    </row>
    <row r="56" spans="2:22" x14ac:dyDescent="0.2">
      <c r="B56" s="254" t="s">
        <v>775</v>
      </c>
      <c r="C56" s="255"/>
      <c r="D56" s="255" t="s">
        <v>227</v>
      </c>
      <c r="E56" s="255"/>
      <c r="F56" s="255"/>
      <c r="G56" s="255"/>
      <c r="H56" s="244"/>
      <c r="I56" s="1285">
        <f>820*$S$1</f>
        <v>895.44</v>
      </c>
      <c r="J56" s="1285">
        <f>1110*$S$1</f>
        <v>1212.1200000000001</v>
      </c>
      <c r="K56" s="369">
        <v>0.81</v>
      </c>
      <c r="L56" s="369">
        <f>(37.6+32+4.8)/100*19.1/100</f>
        <v>0.14210399999999998</v>
      </c>
      <c r="M56" s="369">
        <f>(21.7+3.3)/100*19.1/100</f>
        <v>4.7750000000000001E-2</v>
      </c>
      <c r="N56" s="369">
        <v>0</v>
      </c>
      <c r="O56" s="370">
        <f t="shared" si="25"/>
        <v>0.99985400000000002</v>
      </c>
      <c r="Q56" s="628">
        <v>-189.40000000000009</v>
      </c>
      <c r="R56" s="622">
        <f t="shared" si="3"/>
        <v>1.0024752475247525</v>
      </c>
      <c r="S56" s="622">
        <f t="shared" si="26"/>
        <v>1.2610840935714032</v>
      </c>
      <c r="T56" s="622">
        <f t="shared" si="27"/>
        <v>0.42267858723554924</v>
      </c>
      <c r="U56" s="622">
        <f t="shared" si="6"/>
        <v>0</v>
      </c>
      <c r="V56" s="622">
        <f t="shared" si="7"/>
        <v>1.0018683436751541</v>
      </c>
    </row>
    <row r="57" spans="2:22" x14ac:dyDescent="0.2">
      <c r="B57" s="254" t="s">
        <v>773</v>
      </c>
      <c r="C57" s="255"/>
      <c r="D57" s="255"/>
      <c r="E57" s="255" t="s">
        <v>227</v>
      </c>
      <c r="F57" s="255"/>
      <c r="G57" s="255"/>
      <c r="H57" s="244"/>
      <c r="I57" s="1285">
        <f>1130*$S$1</f>
        <v>1233.96</v>
      </c>
      <c r="J57" s="1285">
        <f>1580*$S$1</f>
        <v>1725.3600000000001</v>
      </c>
      <c r="K57" s="369">
        <v>0.79700000000000004</v>
      </c>
      <c r="L57" s="369">
        <f>(33+24.5+5)/100*20.3/100</f>
        <v>0.12687499999999999</v>
      </c>
      <c r="M57" s="369">
        <f>(15.8+4.5)/100*20.3/100</f>
        <v>4.120900000000001E-2</v>
      </c>
      <c r="N57" s="369">
        <f>(17.2)/100*20.3/100</f>
        <v>3.4916000000000003E-2</v>
      </c>
      <c r="O57" s="370">
        <f t="shared" si="25"/>
        <v>1</v>
      </c>
      <c r="Q57" s="628">
        <v>138.20000000000005</v>
      </c>
      <c r="R57" s="622">
        <f t="shared" si="3"/>
        <v>0.98638613861386137</v>
      </c>
      <c r="S57" s="622">
        <f t="shared" si="26"/>
        <v>1.1259362464946221</v>
      </c>
      <c r="T57" s="622">
        <f t="shared" si="27"/>
        <v>0.36477825971496863</v>
      </c>
      <c r="U57" s="622">
        <f t="shared" si="6"/>
        <v>0.8837703756201275</v>
      </c>
      <c r="V57" s="622">
        <f t="shared" si="7"/>
        <v>0.98928172086056831</v>
      </c>
    </row>
    <row r="58" spans="2:22" x14ac:dyDescent="0.2">
      <c r="B58" s="254" t="s">
        <v>774</v>
      </c>
      <c r="C58" s="255"/>
      <c r="D58" s="255"/>
      <c r="E58" s="255"/>
      <c r="F58" s="255" t="s">
        <v>227</v>
      </c>
      <c r="G58" s="255"/>
      <c r="H58" s="244"/>
      <c r="I58" s="1285">
        <f>1620*$S$1</f>
        <v>1769.0400000000002</v>
      </c>
      <c r="J58" s="1285">
        <f>2300*$S$1</f>
        <v>2511.6000000000004</v>
      </c>
      <c r="K58" s="369">
        <v>0.70399999999999996</v>
      </c>
      <c r="L58" s="369">
        <f>(14.8+8.4+17)/100*29.6/100</f>
        <v>0.118992</v>
      </c>
      <c r="M58" s="369">
        <f>(33.1+12.5)/100*29.62/100</f>
        <v>0.13506720000000003</v>
      </c>
      <c r="N58" s="369">
        <f>(7.1+2.5+4.2+0.3)/100*29.6/100</f>
        <v>4.1736000000000002E-2</v>
      </c>
      <c r="O58" s="370">
        <f t="shared" si="25"/>
        <v>0.9997952</v>
      </c>
      <c r="Q58" s="628">
        <v>646.40000000000009</v>
      </c>
      <c r="R58" s="622">
        <f t="shared" si="3"/>
        <v>0.87128712871287117</v>
      </c>
      <c r="S58" s="622">
        <f t="shared" si="26"/>
        <v>1.0559795534414824</v>
      </c>
      <c r="T58" s="622">
        <f t="shared" si="27"/>
        <v>1.1956023723112332</v>
      </c>
      <c r="U58" s="622">
        <f t="shared" si="6"/>
        <v>1.0563936417940669</v>
      </c>
      <c r="V58" s="622">
        <f t="shared" si="7"/>
        <v>0.89896949910616286</v>
      </c>
    </row>
    <row r="59" spans="2:22" ht="15.75" x14ac:dyDescent="0.2">
      <c r="B59" s="256" t="s">
        <v>788</v>
      </c>
      <c r="C59" s="255"/>
      <c r="D59" s="255"/>
      <c r="E59" s="255"/>
      <c r="F59" s="255"/>
      <c r="G59" s="255"/>
      <c r="H59" s="244"/>
      <c r="I59" s="1284">
        <f t="shared" ref="I59:N59" si="28">AVERAGE(I60:I65)</f>
        <v>1385.0200000000002</v>
      </c>
      <c r="J59" s="1284">
        <f t="shared" si="28"/>
        <v>2076.6200000000003</v>
      </c>
      <c r="K59" s="372">
        <f t="shared" si="28"/>
        <v>0.81166666666666654</v>
      </c>
      <c r="L59" s="372">
        <f t="shared" si="28"/>
        <v>0.10618283333333334</v>
      </c>
      <c r="M59" s="372">
        <f t="shared" si="28"/>
        <v>6.1093166666666671E-2</v>
      </c>
      <c r="N59" s="372">
        <f t="shared" si="28"/>
        <v>2.1093833333333329E-2</v>
      </c>
      <c r="O59" s="370"/>
      <c r="P59" s="244"/>
      <c r="Q59" s="629">
        <f t="shared" ref="Q59:V59" si="29">AVERAGE(Q60:Q65)</f>
        <v>331.4</v>
      </c>
      <c r="R59" s="621">
        <f t="shared" si="29"/>
        <v>1.0045379537953794</v>
      </c>
      <c r="S59" s="621">
        <f t="shared" si="29"/>
        <v>0.94230621324529962</v>
      </c>
      <c r="T59" s="621">
        <f t="shared" si="29"/>
        <v>0.54079106547460976</v>
      </c>
      <c r="U59" s="621">
        <f t="shared" si="29"/>
        <v>0.5339129627754714</v>
      </c>
      <c r="V59" s="621">
        <f t="shared" si="29"/>
        <v>1.0035254148231998</v>
      </c>
    </row>
    <row r="60" spans="2:22" x14ac:dyDescent="0.2">
      <c r="B60" s="254" t="s">
        <v>390</v>
      </c>
      <c r="C60" s="255"/>
      <c r="D60" s="255" t="s">
        <v>227</v>
      </c>
      <c r="E60" s="255"/>
      <c r="F60" s="255"/>
      <c r="G60" s="255"/>
      <c r="H60" s="244"/>
      <c r="I60" s="1285">
        <f>410*$S$1</f>
        <v>447.72</v>
      </c>
      <c r="J60" s="1285">
        <f>710*$S$1</f>
        <v>775.32</v>
      </c>
      <c r="K60" s="369">
        <v>0.95499999999999996</v>
      </c>
      <c r="L60" s="369">
        <f>(38.7+4.1+0.2)/100*5.1/100</f>
        <v>2.1930000000000002E-2</v>
      </c>
      <c r="M60" s="369">
        <f>(44.8+0.3)/100*5.1/100</f>
        <v>2.3000999999999997E-2</v>
      </c>
      <c r="N60" s="369">
        <v>0</v>
      </c>
      <c r="O60" s="370">
        <f t="shared" ref="O60:O65" si="30">SUM(K60:N60)</f>
        <v>0.99993100000000001</v>
      </c>
      <c r="Q60" s="628">
        <v>-529.6</v>
      </c>
      <c r="R60" s="622">
        <f t="shared" si="3"/>
        <v>1.1819306930693068</v>
      </c>
      <c r="S60" s="622">
        <f t="shared" ref="S60:S65" si="31">+L60/$L$24</f>
        <v>0.19461502964041039</v>
      </c>
      <c r="T60" s="622">
        <f t="shared" ref="T60:T65" si="32">+M60/$M$24</f>
        <v>0.20360272638753649</v>
      </c>
      <c r="U60" s="622">
        <f t="shared" si="6"/>
        <v>0</v>
      </c>
      <c r="V60" s="622">
        <f t="shared" si="7"/>
        <v>1.1426254564090528</v>
      </c>
    </row>
    <row r="61" spans="2:22" x14ac:dyDescent="0.2">
      <c r="B61" s="254" t="s">
        <v>391</v>
      </c>
      <c r="C61" s="255"/>
      <c r="D61" s="255" t="s">
        <v>227</v>
      </c>
      <c r="E61" s="255"/>
      <c r="F61" s="255"/>
      <c r="G61" s="255"/>
      <c r="I61" s="1285">
        <f>410*$S$1</f>
        <v>447.72</v>
      </c>
      <c r="J61" s="1285">
        <f>710*$S$1</f>
        <v>775.32</v>
      </c>
      <c r="K61" s="369">
        <v>0.95499999999999996</v>
      </c>
      <c r="L61" s="369">
        <f>(38.7+4.1+0.2)/100*5.1/100</f>
        <v>2.1930000000000002E-2</v>
      </c>
      <c r="M61" s="369">
        <f>(44.8+0.3)/100*5.1/100</f>
        <v>2.3000999999999997E-2</v>
      </c>
      <c r="N61" s="369">
        <v>0</v>
      </c>
      <c r="O61" s="370">
        <f t="shared" si="30"/>
        <v>0.99993100000000001</v>
      </c>
      <c r="Q61" s="628">
        <v>-529.6</v>
      </c>
      <c r="R61" s="622">
        <f t="shared" si="3"/>
        <v>1.1819306930693068</v>
      </c>
      <c r="S61" s="622">
        <f t="shared" si="31"/>
        <v>0.19461502964041039</v>
      </c>
      <c r="T61" s="622">
        <f t="shared" si="32"/>
        <v>0.20360272638753649</v>
      </c>
      <c r="U61" s="622">
        <f t="shared" si="6"/>
        <v>0</v>
      </c>
      <c r="V61" s="622">
        <f t="shared" si="7"/>
        <v>1.1426254564090528</v>
      </c>
    </row>
    <row r="62" spans="2:22" x14ac:dyDescent="0.2">
      <c r="B62" s="254" t="s">
        <v>392</v>
      </c>
      <c r="C62" s="255"/>
      <c r="D62" s="255"/>
      <c r="E62" s="255" t="s">
        <v>227</v>
      </c>
      <c r="F62" s="255" t="s">
        <v>227</v>
      </c>
      <c r="G62" s="255"/>
      <c r="I62" s="1285">
        <f>1650*$S$1</f>
        <v>1801.8000000000002</v>
      </c>
      <c r="J62" s="1285">
        <f>2370*$S$1</f>
        <v>2588.0400000000004</v>
      </c>
      <c r="K62" s="369">
        <v>0.78</v>
      </c>
      <c r="L62" s="369">
        <f>(22.3+25.8+6.1)/100*22/100</f>
        <v>0.11924000000000001</v>
      </c>
      <c r="M62" s="369">
        <f>(40.2+5.5)/100*22/100</f>
        <v>0.10054</v>
      </c>
      <c r="N62" s="369">
        <f>(0.1)/100*22/100</f>
        <v>2.1999999999999998E-4</v>
      </c>
      <c r="O62" s="370">
        <f t="shared" si="30"/>
        <v>1</v>
      </c>
      <c r="Q62" s="628">
        <v>688.40000000000009</v>
      </c>
      <c r="R62" s="622">
        <f t="shared" si="3"/>
        <v>0.96534653465346532</v>
      </c>
      <c r="S62" s="622">
        <f t="shared" si="31"/>
        <v>1.0581803982819213</v>
      </c>
      <c r="T62" s="622">
        <f t="shared" si="32"/>
        <v>0.88997078870496593</v>
      </c>
      <c r="U62" s="622">
        <f t="shared" si="6"/>
        <v>5.5684924572238521E-3</v>
      </c>
      <c r="V62" s="622">
        <f t="shared" si="7"/>
        <v>0.97278111001442569</v>
      </c>
    </row>
    <row r="63" spans="2:22" x14ac:dyDescent="0.2">
      <c r="B63" s="254" t="s">
        <v>745</v>
      </c>
      <c r="C63" s="255"/>
      <c r="D63" s="255"/>
      <c r="E63" s="255"/>
      <c r="F63" s="255" t="s">
        <v>227</v>
      </c>
      <c r="G63" s="255" t="s">
        <v>227</v>
      </c>
      <c r="I63" s="1285">
        <f>1500*$S$1</f>
        <v>1638.0000000000002</v>
      </c>
      <c r="J63" s="1285">
        <f>2050*$S$1</f>
        <v>2238.6000000000004</v>
      </c>
      <c r="K63" s="369">
        <v>0.76600000000000001</v>
      </c>
      <c r="L63" s="369">
        <f>(26.6+18.5+13.4)/100*23.4/100</f>
        <v>0.13688999999999998</v>
      </c>
      <c r="M63" s="369">
        <f>(36.7+3.2)/100*23.4/100</f>
        <v>9.3366000000000005E-2</v>
      </c>
      <c r="N63" s="369">
        <f>(0.1+1.6)/100*23.4/100</f>
        <v>3.9779999999999998E-3</v>
      </c>
      <c r="O63" s="370">
        <f t="shared" si="30"/>
        <v>1.0002340000000001</v>
      </c>
      <c r="Q63" s="628">
        <v>491</v>
      </c>
      <c r="R63" s="622">
        <f t="shared" si="3"/>
        <v>0.94801980198019797</v>
      </c>
      <c r="S63" s="622">
        <f t="shared" si="31"/>
        <v>1.2148131056760498</v>
      </c>
      <c r="T63" s="622">
        <f t="shared" si="32"/>
        <v>0.82646720368239357</v>
      </c>
      <c r="U63" s="622">
        <f t="shared" si="6"/>
        <v>0.10068846815834764</v>
      </c>
      <c r="V63" s="622">
        <f t="shared" si="7"/>
        <v>0.95924284412724925</v>
      </c>
    </row>
    <row r="64" spans="2:22" x14ac:dyDescent="0.2">
      <c r="B64" s="254" t="s">
        <v>746</v>
      </c>
      <c r="C64" s="255"/>
      <c r="D64" s="255"/>
      <c r="E64" s="255"/>
      <c r="F64" s="255" t="s">
        <v>227</v>
      </c>
      <c r="G64" s="255" t="s">
        <v>227</v>
      </c>
      <c r="I64" s="1285">
        <f>1320*$S$1</f>
        <v>1441.44</v>
      </c>
      <c r="J64" s="1285">
        <f>2180*$S$1</f>
        <v>2380.5600000000004</v>
      </c>
      <c r="K64" s="369">
        <v>0.78200000000000003</v>
      </c>
      <c r="L64" s="369">
        <f>(23.4+29.5+17.4)/100*21.9/100</f>
        <v>0.15395699999999998</v>
      </c>
      <c r="M64" s="369">
        <f>(22.2+3.7)/100*21.9/100</f>
        <v>5.6720999999999994E-2</v>
      </c>
      <c r="N64" s="369">
        <f>(1.8+0.4+0.8+0.5)/100*21.9/100</f>
        <v>7.6650000000000008E-3</v>
      </c>
      <c r="O64" s="370">
        <f t="shared" si="30"/>
        <v>1.000343</v>
      </c>
      <c r="Q64" s="628">
        <v>470</v>
      </c>
      <c r="R64" s="622">
        <f t="shared" si="3"/>
        <v>0.96782178217821779</v>
      </c>
      <c r="S64" s="622">
        <f t="shared" si="31"/>
        <v>1.3662720528202761</v>
      </c>
      <c r="T64" s="622">
        <f t="shared" si="32"/>
        <v>0.50208905019031591</v>
      </c>
      <c r="U64" s="622">
        <f t="shared" si="6"/>
        <v>0.19401133947554924</v>
      </c>
      <c r="V64" s="622">
        <f t="shared" si="7"/>
        <v>0.97479634148024918</v>
      </c>
    </row>
    <row r="65" spans="2:22" x14ac:dyDescent="0.2">
      <c r="B65" s="254" t="s">
        <v>747</v>
      </c>
      <c r="C65" s="255"/>
      <c r="D65" s="255"/>
      <c r="E65" s="255"/>
      <c r="F65" s="255" t="s">
        <v>227</v>
      </c>
      <c r="G65" s="255" t="s">
        <v>227</v>
      </c>
      <c r="I65" s="1285">
        <f>2320*$S$1</f>
        <v>2533.44</v>
      </c>
      <c r="J65" s="1285">
        <f>3390*$S$1</f>
        <v>3701.88</v>
      </c>
      <c r="K65" s="369">
        <v>0.63200000000000001</v>
      </c>
      <c r="L65" s="369">
        <f>(14.8+17.1+17.6)/100*37/100</f>
        <v>0.18315000000000001</v>
      </c>
      <c r="M65" s="369">
        <f>(17.2+1.7)/100*37/100</f>
        <v>6.9929999999999992E-2</v>
      </c>
      <c r="N65" s="369">
        <f>(0.4+27.7+2.9)/100*37/100</f>
        <v>0.11469999999999997</v>
      </c>
      <c r="O65" s="370">
        <f t="shared" si="30"/>
        <v>0.99978000000000011</v>
      </c>
      <c r="Q65" s="628">
        <v>1398.1999999999998</v>
      </c>
      <c r="R65" s="622">
        <f t="shared" si="3"/>
        <v>0.7821782178217821</v>
      </c>
      <c r="S65" s="622">
        <f t="shared" si="31"/>
        <v>1.6253416634127296</v>
      </c>
      <c r="T65" s="622">
        <f t="shared" si="32"/>
        <v>0.61901389749491009</v>
      </c>
      <c r="U65" s="622">
        <f t="shared" si="6"/>
        <v>2.9032094765617078</v>
      </c>
      <c r="V65" s="622">
        <f t="shared" si="7"/>
        <v>0.82908128049916818</v>
      </c>
    </row>
    <row r="66" spans="2:22" ht="15.75" x14ac:dyDescent="0.2">
      <c r="B66" s="256" t="s">
        <v>787</v>
      </c>
      <c r="C66" s="257"/>
      <c r="D66" s="257"/>
      <c r="E66" s="257"/>
      <c r="F66" s="257"/>
      <c r="G66" s="257"/>
      <c r="I66" s="1284">
        <f t="shared" ref="I66:N66" si="33">AVERAGE(I67:I75)</f>
        <v>925.7733333333332</v>
      </c>
      <c r="J66" s="1284">
        <f t="shared" si="33"/>
        <v>1594.3200000000002</v>
      </c>
      <c r="K66" s="372">
        <f t="shared" si="33"/>
        <v>0.7949222222222222</v>
      </c>
      <c r="L66" s="372">
        <f t="shared" si="33"/>
        <v>9.3176444444444451E-2</v>
      </c>
      <c r="M66" s="372">
        <f t="shared" si="33"/>
        <v>6.8431888888888889E-2</v>
      </c>
      <c r="N66" s="372">
        <f t="shared" si="33"/>
        <v>4.3552444444444449E-2</v>
      </c>
      <c r="O66" s="370"/>
      <c r="Q66" s="629">
        <f t="shared" ref="Q66:V66" si="34">AVERAGE(Q67:Q75)</f>
        <v>-30.733333333333324</v>
      </c>
      <c r="R66" s="621">
        <f t="shared" si="34"/>
        <v>0.98381463146314607</v>
      </c>
      <c r="S66" s="621">
        <f t="shared" si="34"/>
        <v>0.82688264921767485</v>
      </c>
      <c r="T66" s="621">
        <f t="shared" si="34"/>
        <v>0.60575275638566783</v>
      </c>
      <c r="U66" s="621">
        <f t="shared" si="34"/>
        <v>1.1023702653752261</v>
      </c>
      <c r="V66" s="621">
        <f t="shared" si="34"/>
        <v>0.98728288215846105</v>
      </c>
    </row>
    <row r="67" spans="2:22" x14ac:dyDescent="0.2">
      <c r="B67" s="254" t="s">
        <v>847</v>
      </c>
      <c r="C67" s="255" t="s">
        <v>227</v>
      </c>
      <c r="D67" s="255"/>
      <c r="E67" s="255"/>
      <c r="F67" s="255"/>
      <c r="G67" s="255"/>
      <c r="I67" s="1285">
        <f>410*$S$1</f>
        <v>447.72</v>
      </c>
      <c r="J67" s="1285">
        <f>710*$S$1</f>
        <v>775.32</v>
      </c>
      <c r="K67" s="369">
        <v>0.95499999999999996</v>
      </c>
      <c r="L67" s="369">
        <f>(38.7+4.1+0.2)/100*5.1/100</f>
        <v>2.1930000000000002E-2</v>
      </c>
      <c r="M67" s="369">
        <f>(44.8+0.3)/100*5.1/100</f>
        <v>2.3000999999999997E-2</v>
      </c>
      <c r="N67" s="369">
        <v>0</v>
      </c>
      <c r="O67" s="370">
        <f t="shared" ref="O67:O75" si="35">SUM(K67:N67)</f>
        <v>0.99993100000000001</v>
      </c>
      <c r="Q67" s="628">
        <v>-529.6</v>
      </c>
      <c r="R67" s="622">
        <f t="shared" si="3"/>
        <v>1.1819306930693068</v>
      </c>
      <c r="S67" s="622">
        <f t="shared" ref="S67:S75" si="36">+L67/$L$24</f>
        <v>0.19461502964041039</v>
      </c>
      <c r="T67" s="622">
        <f t="shared" ref="T67:T75" si="37">+M67/$M$24</f>
        <v>0.20360272638753649</v>
      </c>
      <c r="U67" s="622">
        <f t="shared" si="6"/>
        <v>0</v>
      </c>
      <c r="V67" s="622">
        <f t="shared" si="7"/>
        <v>1.1426254564090528</v>
      </c>
    </row>
    <row r="68" spans="2:22" x14ac:dyDescent="0.2">
      <c r="B68" s="254" t="s">
        <v>393</v>
      </c>
      <c r="C68" s="255"/>
      <c r="D68" s="255" t="s">
        <v>227</v>
      </c>
      <c r="E68" s="255" t="s">
        <v>227</v>
      </c>
      <c r="F68" s="255" t="s">
        <v>227</v>
      </c>
      <c r="G68" s="255"/>
      <c r="I68" s="1285">
        <f>800*$S$1</f>
        <v>873.6</v>
      </c>
      <c r="J68" s="1285">
        <f>1230*$S$1</f>
        <v>1343.16</v>
      </c>
      <c r="K68" s="369">
        <v>0.78500000000000003</v>
      </c>
      <c r="L68" s="369">
        <f>(16.8+14.7+18.2)/100*21.6/100</f>
        <v>0.10735200000000003</v>
      </c>
      <c r="M68" s="369">
        <f>(21.9+3.3)/100*21.6/100</f>
        <v>5.4432000000000001E-2</v>
      </c>
      <c r="N68" s="369">
        <f>(17.9+4.1+2.7+0.1)/100*21.6/100</f>
        <v>5.3568000000000005E-2</v>
      </c>
      <c r="O68" s="370">
        <f t="shared" si="35"/>
        <v>1.0003520000000001</v>
      </c>
      <c r="Q68" s="628">
        <v>-147.39999999999998</v>
      </c>
      <c r="R68" s="622">
        <f t="shared" si="3"/>
        <v>0.97153465346534651</v>
      </c>
      <c r="S68" s="622">
        <f t="shared" si="36"/>
        <v>0.95268183593056721</v>
      </c>
      <c r="T68" s="622">
        <f t="shared" si="37"/>
        <v>0.48182703372576791</v>
      </c>
      <c r="U68" s="622">
        <f t="shared" si="6"/>
        <v>1.355877290675306</v>
      </c>
      <c r="V68" s="622">
        <f t="shared" si="7"/>
        <v>0.97771015523084459</v>
      </c>
    </row>
    <row r="69" spans="2:22" x14ac:dyDescent="0.2">
      <c r="B69" s="254" t="s">
        <v>394</v>
      </c>
      <c r="C69" s="255"/>
      <c r="D69" s="255" t="s">
        <v>227</v>
      </c>
      <c r="E69" s="255"/>
      <c r="F69" s="255"/>
      <c r="G69" s="255"/>
      <c r="I69" s="1285">
        <f>800*$S$1</f>
        <v>873.6</v>
      </c>
      <c r="J69" s="1285">
        <f>1230*$S$1</f>
        <v>1343.16</v>
      </c>
      <c r="K69" s="369">
        <v>0.78500000000000003</v>
      </c>
      <c r="L69" s="369">
        <f>(16.8+14.7+18.2)/100*21.6/100</f>
        <v>0.10735200000000003</v>
      </c>
      <c r="M69" s="369">
        <f>(21.9+3.3)/100*21.6/100</f>
        <v>5.4432000000000001E-2</v>
      </c>
      <c r="N69" s="369">
        <f>(17.9+4.1+2.7+0.1)/100*21.6/100</f>
        <v>5.3568000000000005E-2</v>
      </c>
      <c r="O69" s="370">
        <f t="shared" si="35"/>
        <v>1.0003520000000001</v>
      </c>
      <c r="Q69" s="628">
        <v>-147.39999999999998</v>
      </c>
      <c r="R69" s="622">
        <f t="shared" si="3"/>
        <v>0.97153465346534651</v>
      </c>
      <c r="S69" s="622">
        <f t="shared" si="36"/>
        <v>0.95268183593056721</v>
      </c>
      <c r="T69" s="622">
        <f t="shared" si="37"/>
        <v>0.48182703372576791</v>
      </c>
      <c r="U69" s="622">
        <f t="shared" si="6"/>
        <v>1.355877290675306</v>
      </c>
      <c r="V69" s="622">
        <f t="shared" si="7"/>
        <v>0.97771015523084459</v>
      </c>
    </row>
    <row r="70" spans="2:22" x14ac:dyDescent="0.2">
      <c r="B70" s="254" t="s">
        <v>849</v>
      </c>
      <c r="C70" s="255"/>
      <c r="D70" s="255"/>
      <c r="E70" s="255" t="s">
        <v>227</v>
      </c>
      <c r="F70" s="255" t="s">
        <v>227</v>
      </c>
      <c r="G70" s="255"/>
      <c r="H70" s="244"/>
      <c r="I70" s="1285">
        <f>1060*$S$1</f>
        <v>1157.52</v>
      </c>
      <c r="J70" s="1285">
        <f>2050*$S$1</f>
        <v>2238.6000000000004</v>
      </c>
      <c r="K70" s="369">
        <v>0.78300000000000003</v>
      </c>
      <c r="L70" s="369">
        <f>(11.9+18.7+16.4)/100*21.7/100</f>
        <v>0.10199</v>
      </c>
      <c r="M70" s="369">
        <f>(28.1+4.1)/100*21.7/100</f>
        <v>6.9874000000000006E-2</v>
      </c>
      <c r="N70" s="369">
        <f>(16.3+3.3+1.2)/100*21.7/100</f>
        <v>4.5136000000000003E-2</v>
      </c>
      <c r="O70" s="370">
        <f t="shared" si="35"/>
        <v>1</v>
      </c>
      <c r="Q70" s="628">
        <v>306.20000000000005</v>
      </c>
      <c r="R70" s="622">
        <f t="shared" si="3"/>
        <v>0.96905940594059403</v>
      </c>
      <c r="S70" s="622">
        <f t="shared" si="36"/>
        <v>0.90509744063043562</v>
      </c>
      <c r="T70" s="622">
        <f t="shared" si="37"/>
        <v>0.6185181906700894</v>
      </c>
      <c r="U70" s="622">
        <f t="shared" si="6"/>
        <v>1.1424521615875265</v>
      </c>
      <c r="V70" s="622">
        <f t="shared" si="7"/>
        <v>0.97569298251668601</v>
      </c>
    </row>
    <row r="71" spans="2:22" x14ac:dyDescent="0.2">
      <c r="B71" s="254" t="s">
        <v>395</v>
      </c>
      <c r="C71" s="255"/>
      <c r="D71" s="255" t="s">
        <v>227</v>
      </c>
      <c r="E71" s="255"/>
      <c r="F71" s="255"/>
      <c r="G71" s="255"/>
      <c r="I71" s="1285">
        <f>800*$S$1</f>
        <v>873.6</v>
      </c>
      <c r="J71" s="1285">
        <f>1230*$S$1</f>
        <v>1343.16</v>
      </c>
      <c r="K71" s="369">
        <v>0.78500000000000003</v>
      </c>
      <c r="L71" s="369">
        <f>(16.8+14.7+18.2)/100*21.6/100</f>
        <v>0.10735200000000003</v>
      </c>
      <c r="M71" s="369">
        <f>(21.9+3.3)/100*21.6/100</f>
        <v>5.4432000000000001E-2</v>
      </c>
      <c r="N71" s="369">
        <f>(17.9+4.1+2.7+0.1)/100*21.6/100</f>
        <v>5.3568000000000005E-2</v>
      </c>
      <c r="O71" s="370">
        <f t="shared" si="35"/>
        <v>1.0003520000000001</v>
      </c>
      <c r="Q71" s="628">
        <v>-147.39999999999998</v>
      </c>
      <c r="R71" s="622">
        <f t="shared" si="3"/>
        <v>0.97153465346534651</v>
      </c>
      <c r="S71" s="622">
        <f t="shared" si="36"/>
        <v>0.95268183593056721</v>
      </c>
      <c r="T71" s="622">
        <f t="shared" si="37"/>
        <v>0.48182703372576791</v>
      </c>
      <c r="U71" s="622">
        <f t="shared" si="6"/>
        <v>1.355877290675306</v>
      </c>
      <c r="V71" s="622">
        <f t="shared" si="7"/>
        <v>0.97771015523084459</v>
      </c>
    </row>
    <row r="72" spans="2:22" x14ac:dyDescent="0.2">
      <c r="B72" s="254" t="s">
        <v>396</v>
      </c>
      <c r="C72" s="255"/>
      <c r="D72" s="255"/>
      <c r="E72" s="255" t="s">
        <v>227</v>
      </c>
      <c r="F72" s="255"/>
      <c r="G72" s="255"/>
      <c r="I72" s="1285">
        <f>460*$S$1</f>
        <v>502.32000000000005</v>
      </c>
      <c r="J72" s="1285">
        <f>1180*$S$1</f>
        <v>1288.5600000000002</v>
      </c>
      <c r="K72" s="369">
        <v>0.85799999999999998</v>
      </c>
      <c r="L72" s="369">
        <f>(21.8+17.8+2.5)/100*14.2/100</f>
        <v>5.9782000000000002E-2</v>
      </c>
      <c r="M72" s="369">
        <f>(49.4+4.8)/100*14.2/100</f>
        <v>7.6963999999999991E-2</v>
      </c>
      <c r="N72" s="369">
        <f>(0.1+2.5+0.8)/100*14.2/100</f>
        <v>4.8279999999999998E-3</v>
      </c>
      <c r="O72" s="370">
        <f t="shared" si="35"/>
        <v>0.99957400000000007</v>
      </c>
      <c r="Q72" s="628">
        <v>-311.20000000000005</v>
      </c>
      <c r="R72" s="622">
        <f t="shared" si="3"/>
        <v>1.0618811881188117</v>
      </c>
      <c r="S72" s="622">
        <f t="shared" si="36"/>
        <v>0.53052784778673112</v>
      </c>
      <c r="T72" s="622">
        <f t="shared" si="37"/>
        <v>0.68127821545543055</v>
      </c>
      <c r="U72" s="622">
        <f t="shared" si="6"/>
        <v>0.12220309810671254</v>
      </c>
      <c r="V72" s="622">
        <f t="shared" si="7"/>
        <v>1.0483979093186822</v>
      </c>
    </row>
    <row r="73" spans="2:22" x14ac:dyDescent="0.2">
      <c r="B73" s="254" t="s">
        <v>750</v>
      </c>
      <c r="C73" s="255"/>
      <c r="D73" s="255" t="s">
        <v>227</v>
      </c>
      <c r="E73" s="255" t="s">
        <v>227</v>
      </c>
      <c r="F73" s="255" t="s">
        <v>227</v>
      </c>
      <c r="G73" s="255"/>
      <c r="I73" s="1285">
        <f>1060*$S$1</f>
        <v>1157.52</v>
      </c>
      <c r="J73" s="1285">
        <f>2050*$S$1</f>
        <v>2238.6000000000004</v>
      </c>
      <c r="K73" s="369">
        <v>0.78300000000000003</v>
      </c>
      <c r="L73" s="369">
        <f>(11.9+18.7+16.4)/100*21.7/100</f>
        <v>0.10199</v>
      </c>
      <c r="M73" s="369">
        <f>(28.1+4.1)/100*21.7/100</f>
        <v>6.9874000000000006E-2</v>
      </c>
      <c r="N73" s="369">
        <f>(16.3+3.3+1.2)/100*21.7/100</f>
        <v>4.5136000000000003E-2</v>
      </c>
      <c r="O73" s="370">
        <f t="shared" si="35"/>
        <v>1</v>
      </c>
      <c r="Q73" s="628">
        <v>306.20000000000005</v>
      </c>
      <c r="R73" s="622">
        <f>+K73/$K$13</f>
        <v>0.96905940594059403</v>
      </c>
      <c r="S73" s="622">
        <f t="shared" si="36"/>
        <v>0.90509744063043562</v>
      </c>
      <c r="T73" s="622">
        <f t="shared" si="37"/>
        <v>0.6185181906700894</v>
      </c>
      <c r="U73" s="622">
        <f>+N73/$N$25</f>
        <v>1.1424521615875265</v>
      </c>
      <c r="V73" s="622">
        <f>(K73*0.55+(M73+L73+N73)*0.1)/($K$13*0.55+($M$13+$L$13+$N$13)*0.1)</f>
        <v>0.97569298251668601</v>
      </c>
    </row>
    <row r="74" spans="2:22" x14ac:dyDescent="0.2">
      <c r="B74" s="254" t="s">
        <v>748</v>
      </c>
      <c r="C74" s="255"/>
      <c r="D74" s="255"/>
      <c r="E74" s="255" t="s">
        <v>227</v>
      </c>
      <c r="F74" s="255" t="s">
        <v>227</v>
      </c>
      <c r="G74" s="255" t="s">
        <v>227</v>
      </c>
      <c r="I74" s="1285">
        <f>1220*$S$1</f>
        <v>1332.24</v>
      </c>
      <c r="J74" s="1285">
        <f>1660*$S$1</f>
        <v>1812.72</v>
      </c>
      <c r="K74" s="369">
        <v>0.69230000000000003</v>
      </c>
      <c r="L74" s="369">
        <f>(17.8+22.2+5.6)/100*30.7/100</f>
        <v>0.13999200000000001</v>
      </c>
      <c r="M74" s="369">
        <f>(35.2+2.6)/100*30.7/100</f>
        <v>0.11604600000000001</v>
      </c>
      <c r="N74" s="369">
        <f>(1.9+14.9)/100*30.7/100</f>
        <v>5.1576000000000004E-2</v>
      </c>
      <c r="O74" s="370">
        <f t="shared" si="35"/>
        <v>0.99991399999999997</v>
      </c>
      <c r="Q74" s="628">
        <v>209.59999999999991</v>
      </c>
      <c r="R74" s="622">
        <f>+K74/$K$13</f>
        <v>0.85680693069306924</v>
      </c>
      <c r="S74" s="622">
        <f t="shared" si="36"/>
        <v>1.2423414149302476</v>
      </c>
      <c r="T74" s="622">
        <f t="shared" si="37"/>
        <v>1.0272284677347969</v>
      </c>
      <c r="U74" s="622">
        <f>+N74/$N$25</f>
        <v>1.3054571226080791</v>
      </c>
      <c r="V74" s="622">
        <f>(K74*0.55+(M74+L74+N74)*0.1)/($K$13*0.55+($M$13+$L$13+$N$13)*0.1)</f>
        <v>0.88763882082536694</v>
      </c>
    </row>
    <row r="75" spans="2:22" x14ac:dyDescent="0.2">
      <c r="B75" s="254" t="s">
        <v>749</v>
      </c>
      <c r="C75" s="255"/>
      <c r="D75" s="255"/>
      <c r="E75" s="255" t="s">
        <v>227</v>
      </c>
      <c r="F75" s="255" t="s">
        <v>227</v>
      </c>
      <c r="G75" s="255" t="s">
        <v>227</v>
      </c>
      <c r="I75" s="1285">
        <f>1020*$S$1</f>
        <v>1113.8400000000001</v>
      </c>
      <c r="J75" s="1285">
        <f>1800*$S$1</f>
        <v>1965.6000000000001</v>
      </c>
      <c r="K75" s="369">
        <v>0.72799999999999998</v>
      </c>
      <c r="L75" s="369">
        <f>(7.4+9.4+16.6)/100*27.2/100</f>
        <v>9.0848000000000012E-2</v>
      </c>
      <c r="M75" s="369">
        <f>(31.9+3.7)/100*27.2/100</f>
        <v>9.6832000000000015E-2</v>
      </c>
      <c r="N75" s="369">
        <f>(7.3+19.8+3.5+0.5)/100*27.2/100</f>
        <v>8.4591999999999987E-2</v>
      </c>
      <c r="O75" s="370">
        <f t="shared" si="35"/>
        <v>1.000272</v>
      </c>
      <c r="Q75" s="628">
        <v>184.40000000000009</v>
      </c>
      <c r="R75" s="622">
        <f>+K75/$K$13</f>
        <v>0.9009900990099009</v>
      </c>
      <c r="S75" s="622">
        <f t="shared" si="36"/>
        <v>0.806219161549111</v>
      </c>
      <c r="T75" s="622">
        <f t="shared" si="37"/>
        <v>0.85714791537576362</v>
      </c>
      <c r="U75" s="622">
        <f>+N75/$N$25</f>
        <v>2.1411359724612731</v>
      </c>
      <c r="V75" s="622">
        <f>(K75*0.55+(M75+L75+N75)*0.1)/($K$13*0.55+($M$13+$L$13+$N$13)*0.1)</f>
        <v>0.92236732214714146</v>
      </c>
    </row>
    <row r="76" spans="2:22" ht="15.75" x14ac:dyDescent="0.2">
      <c r="B76" s="256" t="s">
        <v>786</v>
      </c>
      <c r="C76" s="257"/>
      <c r="D76" s="257"/>
      <c r="E76" s="257"/>
      <c r="F76" s="257"/>
      <c r="G76" s="257"/>
      <c r="I76" s="1284">
        <f t="shared" ref="I76:N76" si="38">AVERAGE(I77:I82)</f>
        <v>882.33600000000001</v>
      </c>
      <c r="J76" s="1284">
        <f t="shared" si="38"/>
        <v>1450.1760000000002</v>
      </c>
      <c r="K76" s="372">
        <f t="shared" si="38"/>
        <v>0.86799999999999999</v>
      </c>
      <c r="L76" s="372">
        <f t="shared" si="38"/>
        <v>7.9954799999999993E-2</v>
      </c>
      <c r="M76" s="372">
        <f t="shared" si="38"/>
        <v>3.6718799999999996E-2</v>
      </c>
      <c r="N76" s="372">
        <f t="shared" si="38"/>
        <v>1.5296399999999998E-2</v>
      </c>
      <c r="O76" s="370"/>
      <c r="Q76" s="629">
        <f t="shared" ref="Q76:V76" si="39">AVERAGE(Q77:Q81)</f>
        <v>-102.88000000000002</v>
      </c>
      <c r="R76" s="621">
        <f t="shared" si="39"/>
        <v>1.0742574257425743</v>
      </c>
      <c r="S76" s="621">
        <f t="shared" si="39"/>
        <v>0.70954882680771003</v>
      </c>
      <c r="T76" s="621">
        <f t="shared" si="39"/>
        <v>0.32503142427193055</v>
      </c>
      <c r="U76" s="621">
        <f t="shared" si="39"/>
        <v>0.38717221828490422</v>
      </c>
      <c r="V76" s="621">
        <f t="shared" si="39"/>
        <v>1.0581895659196168</v>
      </c>
    </row>
    <row r="77" spans="2:22" x14ac:dyDescent="0.2">
      <c r="B77" s="254" t="s">
        <v>397</v>
      </c>
      <c r="C77" s="255" t="s">
        <v>227</v>
      </c>
      <c r="D77" s="255"/>
      <c r="E77" s="255"/>
      <c r="F77" s="255"/>
      <c r="G77" s="255"/>
      <c r="I77" s="1285">
        <f>410*$S$1</f>
        <v>447.72</v>
      </c>
      <c r="J77" s="1285">
        <f>710*$S$1</f>
        <v>775.32</v>
      </c>
      <c r="K77" s="369">
        <v>0.95499999999999996</v>
      </c>
      <c r="L77" s="369">
        <f>(38.7+4.1+0.2)/100*5.1/100</f>
        <v>2.1930000000000002E-2</v>
      </c>
      <c r="M77" s="369">
        <f>(44.8+0.3)/100*5.1/100</f>
        <v>2.3000999999999997E-2</v>
      </c>
      <c r="N77" s="369">
        <v>0</v>
      </c>
      <c r="O77" s="370">
        <f>SUM(K77:N77)</f>
        <v>0.99993100000000001</v>
      </c>
      <c r="Q77" s="628">
        <v>-529.6</v>
      </c>
      <c r="R77" s="622">
        <f>+K77/$K$13</f>
        <v>1.1819306930693068</v>
      </c>
      <c r="S77" s="622">
        <f>+L77/$L$24</f>
        <v>0.19461502964041039</v>
      </c>
      <c r="T77" s="622">
        <f>+M77/$M$24</f>
        <v>0.20360272638753649</v>
      </c>
      <c r="U77" s="622">
        <f>+N77/$N$25</f>
        <v>0</v>
      </c>
      <c r="V77" s="622">
        <f>(K77*0.55+(M77+L77+N77)*0.1)/($K$13*0.55+($M$13+$L$13+$N$13)*0.1)</f>
        <v>1.1426254564090528</v>
      </c>
    </row>
    <row r="78" spans="2:22" x14ac:dyDescent="0.2">
      <c r="B78" s="254" t="s">
        <v>398</v>
      </c>
      <c r="C78" s="255"/>
      <c r="D78" s="255" t="s">
        <v>227</v>
      </c>
      <c r="E78" s="255"/>
      <c r="F78" s="255"/>
      <c r="G78" s="255"/>
      <c r="I78" s="1285">
        <f>410*$S$1</f>
        <v>447.72</v>
      </c>
      <c r="J78" s="1285">
        <f>710*$S$1</f>
        <v>775.32</v>
      </c>
      <c r="K78" s="369">
        <v>0.94899999999999995</v>
      </c>
      <c r="L78" s="369">
        <f>(38.7+4.1+0.2)/100*5.1/100</f>
        <v>2.1930000000000002E-2</v>
      </c>
      <c r="M78" s="369">
        <f>(44.8+0.3)/100*5.1/100</f>
        <v>2.3000999999999997E-2</v>
      </c>
      <c r="N78" s="369">
        <f>(11.7)/100*5.1/100</f>
        <v>5.9669999999999992E-3</v>
      </c>
      <c r="O78" s="370">
        <f>SUM(K78:N78)</f>
        <v>0.99989799999999995</v>
      </c>
      <c r="Q78" s="628">
        <v>-529.6</v>
      </c>
      <c r="R78" s="622">
        <f>+K78/$K$13</f>
        <v>1.1745049504950493</v>
      </c>
      <c r="S78" s="622">
        <f>+L78/$L$24</f>
        <v>0.19461502964041039</v>
      </c>
      <c r="T78" s="622">
        <f>+M78/$M$24</f>
        <v>0.20360272638753649</v>
      </c>
      <c r="U78" s="622">
        <f>+N78/$N$25</f>
        <v>0.15103270223752147</v>
      </c>
      <c r="V78" s="622">
        <f>(K78*0.55+(M78+L78+N78)*0.1)/($K$13*0.55+($M$13+$L$13+$N$13)*0.1)</f>
        <v>1.1367945934939709</v>
      </c>
    </row>
    <row r="79" spans="2:22" ht="25.5" x14ac:dyDescent="0.2">
      <c r="B79" s="254" t="s">
        <v>399</v>
      </c>
      <c r="C79" s="255"/>
      <c r="D79" s="255" t="s">
        <v>227</v>
      </c>
      <c r="E79" s="255" t="s">
        <v>227</v>
      </c>
      <c r="F79" s="255"/>
      <c r="G79" s="255"/>
      <c r="I79" s="1285">
        <f>580*$S$1</f>
        <v>633.36</v>
      </c>
      <c r="J79" s="1285">
        <f>860*$S$1</f>
        <v>939.12000000000012</v>
      </c>
      <c r="K79" s="369">
        <v>0.92500000000000004</v>
      </c>
      <c r="L79" s="369">
        <f>(44.1+0+19.9)/100*7.5/100</f>
        <v>4.8000000000000001E-2</v>
      </c>
      <c r="M79" s="369">
        <f>(31.6+0.6)/100*7.5/100</f>
        <v>2.4150000000000001E-2</v>
      </c>
      <c r="N79" s="369">
        <f>(3.8)/100*7.5/100</f>
        <v>2.8499999999999997E-3</v>
      </c>
      <c r="O79" s="370">
        <f>SUM(K79:N79)</f>
        <v>1</v>
      </c>
      <c r="Q79" s="628">
        <v>-395.20000000000005</v>
      </c>
      <c r="R79" s="622">
        <f>+K79/$K$13</f>
        <v>1.1448019801980198</v>
      </c>
      <c r="S79" s="622">
        <f>+L79/$L$24</f>
        <v>0.42596996911717727</v>
      </c>
      <c r="T79" s="622">
        <f>+M79/$M$24</f>
        <v>0.21377356820394797</v>
      </c>
      <c r="U79" s="622">
        <f>+N79/$N$25</f>
        <v>7.2137288650399894E-2</v>
      </c>
      <c r="V79" s="622">
        <f>(K79*0.55+(M79+L79+N79)*0.1)/($K$13*0.55+($M$13+$L$13+$N$13)*0.1)</f>
        <v>1.1135216142903483</v>
      </c>
    </row>
    <row r="80" spans="2:22" x14ac:dyDescent="0.2">
      <c r="B80" s="254" t="s">
        <v>400</v>
      </c>
      <c r="C80" s="255"/>
      <c r="D80" s="255"/>
      <c r="E80" s="255"/>
      <c r="F80" s="255" t="s">
        <v>227</v>
      </c>
      <c r="G80" s="255"/>
      <c r="I80" s="1285">
        <f>1320*$S$1</f>
        <v>1441.44</v>
      </c>
      <c r="J80" s="1285">
        <f>2180*$S$1</f>
        <v>2380.5600000000004</v>
      </c>
      <c r="K80" s="369">
        <v>0.78200000000000003</v>
      </c>
      <c r="L80" s="369">
        <f>(23.4+29.5+17.4)/100*21.9/100</f>
        <v>0.15395699999999998</v>
      </c>
      <c r="M80" s="369">
        <f>(22.2+3.7)/100*21.9/100</f>
        <v>5.6720999999999994E-2</v>
      </c>
      <c r="N80" s="369">
        <f>(1.8+0.4+0.8+0.5)/100*21.9/100</f>
        <v>7.6650000000000008E-3</v>
      </c>
      <c r="O80" s="370">
        <f>SUM(K80:N80)</f>
        <v>1.000343</v>
      </c>
      <c r="Q80" s="628">
        <v>470</v>
      </c>
      <c r="R80" s="622">
        <f>+K80/$K$13</f>
        <v>0.96782178217821779</v>
      </c>
      <c r="S80" s="622">
        <f>+L80/$L$24</f>
        <v>1.3662720528202761</v>
      </c>
      <c r="T80" s="622">
        <f>+M80/$M$24</f>
        <v>0.50208905019031591</v>
      </c>
      <c r="U80" s="622">
        <f>+N80/$N$25</f>
        <v>0.19401133947554924</v>
      </c>
      <c r="V80" s="622">
        <f>(K80*0.55+(M80+L80+N80)*0.1)/($K$13*0.55+($M$13+$L$13+$N$13)*0.1)</f>
        <v>0.97479634148024918</v>
      </c>
    </row>
    <row r="81" spans="1:22" x14ac:dyDescent="0.2">
      <c r="B81" s="254" t="s">
        <v>401</v>
      </c>
      <c r="C81" s="255"/>
      <c r="D81" s="255"/>
      <c r="E81" s="255"/>
      <c r="F81" s="255" t="s">
        <v>227</v>
      </c>
      <c r="G81" s="255" t="s">
        <v>227</v>
      </c>
      <c r="I81" s="1285">
        <f>1320*$S$1</f>
        <v>1441.44</v>
      </c>
      <c r="J81" s="1285">
        <f>2180*$S$1</f>
        <v>2380.5600000000004</v>
      </c>
      <c r="K81" s="369">
        <v>0.72899999999999998</v>
      </c>
      <c r="L81" s="369">
        <f>(23.4+29.5+17.4)/100*21.9/100</f>
        <v>0.15395699999999998</v>
      </c>
      <c r="M81" s="369">
        <f>(22.2+3.7)/100*21.9/100</f>
        <v>5.6720999999999994E-2</v>
      </c>
      <c r="N81" s="369">
        <v>0.06</v>
      </c>
      <c r="O81" s="370">
        <f>SUM(K81:N81)</f>
        <v>0.99967800000000007</v>
      </c>
      <c r="Q81" s="628">
        <v>470</v>
      </c>
      <c r="R81" s="622">
        <f>+K81/$K$13</f>
        <v>0.90222772277227714</v>
      </c>
      <c r="S81" s="622">
        <f>+L81/$L$24</f>
        <v>1.3662720528202761</v>
      </c>
      <c r="T81" s="622">
        <f>+M81/$M$24</f>
        <v>0.50208905019031591</v>
      </c>
      <c r="U81" s="622">
        <f>+N81/$N$25</f>
        <v>1.5186797610610505</v>
      </c>
      <c r="V81" s="622">
        <f>(K81*0.55+(M81+L81+N81)*0.1)/($K$13*0.55+($M$13+$L$13+$N$13)*0.1)</f>
        <v>0.92320982392446205</v>
      </c>
    </row>
    <row r="82" spans="1:22" x14ac:dyDescent="0.2">
      <c r="B82" s="254" t="s">
        <v>402</v>
      </c>
      <c r="C82" s="255"/>
      <c r="D82" s="255"/>
      <c r="E82" s="255"/>
      <c r="F82" s="255" t="s">
        <v>227</v>
      </c>
      <c r="G82" s="255" t="s">
        <v>227</v>
      </c>
      <c r="I82" s="1285"/>
      <c r="J82" s="1285"/>
      <c r="K82" s="369"/>
      <c r="L82" s="369"/>
      <c r="M82" s="369"/>
      <c r="N82" s="369"/>
      <c r="O82" s="370"/>
      <c r="Q82" s="628"/>
      <c r="R82" s="622"/>
      <c r="S82" s="622"/>
      <c r="T82" s="622"/>
      <c r="U82" s="622"/>
      <c r="V82" s="622"/>
    </row>
    <row r="83" spans="1:22" ht="15.75" x14ac:dyDescent="0.2">
      <c r="B83" s="256" t="s">
        <v>789</v>
      </c>
      <c r="C83" s="257"/>
      <c r="D83" s="257"/>
      <c r="E83" s="257"/>
      <c r="F83" s="257"/>
      <c r="G83" s="257"/>
      <c r="I83" s="1284">
        <f t="shared" ref="I83:N83" si="40">AVERAGE(I84:I92)</f>
        <v>2102.7066666666669</v>
      </c>
      <c r="J83" s="1284">
        <f t="shared" si="40"/>
        <v>3703.0933333333346</v>
      </c>
      <c r="K83" s="372">
        <f t="shared" si="40"/>
        <v>0.77600000000000002</v>
      </c>
      <c r="L83" s="372">
        <f t="shared" si="40"/>
        <v>0.11199066666666664</v>
      </c>
      <c r="M83" s="372">
        <f t="shared" si="40"/>
        <v>8.7076888888888898E-2</v>
      </c>
      <c r="N83" s="372">
        <f t="shared" si="40"/>
        <v>2.5061555555555556E-2</v>
      </c>
      <c r="O83" s="370"/>
      <c r="Q83" s="629">
        <f t="shared" ref="Q83:V83" si="41">AVERAGE(Q84:Q92)</f>
        <v>1232.9999999999998</v>
      </c>
      <c r="R83" s="621">
        <f t="shared" si="41"/>
        <v>0.96039603960396036</v>
      </c>
      <c r="S83" s="621">
        <f t="shared" si="41"/>
        <v>0.99384710044608537</v>
      </c>
      <c r="T83" s="621">
        <f t="shared" si="41"/>
        <v>0.77079657332821883</v>
      </c>
      <c r="U83" s="621">
        <f t="shared" si="41"/>
        <v>0.63434128671548917</v>
      </c>
      <c r="V83" s="621">
        <f t="shared" si="41"/>
        <v>0.96892646187023979</v>
      </c>
    </row>
    <row r="84" spans="1:22" x14ac:dyDescent="0.2">
      <c r="B84" s="254" t="s">
        <v>403</v>
      </c>
      <c r="C84" s="255"/>
      <c r="D84" s="255" t="s">
        <v>227</v>
      </c>
      <c r="E84" s="255" t="s">
        <v>227</v>
      </c>
      <c r="F84" s="255"/>
      <c r="G84" s="255"/>
      <c r="I84" s="1285">
        <f>1820*$S$1</f>
        <v>1987.44</v>
      </c>
      <c r="J84" s="1285">
        <f>3570*$S$1</f>
        <v>3898.4400000000005</v>
      </c>
      <c r="K84" s="369">
        <v>0.745</v>
      </c>
      <c r="L84" s="369">
        <f>(13.5+19.7+10.9)/100*25.5/100</f>
        <v>0.112455</v>
      </c>
      <c r="M84" s="369">
        <f>(37.2+7.8)/100*25.5/100</f>
        <v>0.11474999999999999</v>
      </c>
      <c r="N84" s="369">
        <f>(1.6+5.2+2.8+1.3)/100*25.5/100</f>
        <v>2.7795000000000004E-2</v>
      </c>
      <c r="O84" s="370">
        <f t="shared" ref="O84:O92" si="42">SUM(K84:N84)</f>
        <v>1</v>
      </c>
      <c r="Q84" s="628">
        <v>1263.7999999999997</v>
      </c>
      <c r="R84" s="622">
        <f t="shared" ref="R84:R92" si="43">+K84/$K$13</f>
        <v>0.92202970297029696</v>
      </c>
      <c r="S84" s="622">
        <f t="shared" ref="S84:S92" si="44">+L84/$L$24</f>
        <v>0.99796776827233691</v>
      </c>
      <c r="T84" s="622">
        <f t="shared" ref="T84:T92" si="45">+M84/$M$24</f>
        <v>1.0157563955032309</v>
      </c>
      <c r="U84" s="622">
        <f t="shared" ref="U84:U92" si="46">+N84/$N$25</f>
        <v>0.70352839931153177</v>
      </c>
      <c r="V84" s="622">
        <f t="shared" ref="V84:V92" si="47">(K84*0.55+(M84+L84+N84)*0.1)/($K$13*0.55+($M$13+$L$13+$N$13)*0.1)</f>
        <v>0.93880926415471999</v>
      </c>
    </row>
    <row r="85" spans="1:22" x14ac:dyDescent="0.2">
      <c r="B85" s="254" t="s">
        <v>754</v>
      </c>
      <c r="C85" s="255"/>
      <c r="D85" s="255"/>
      <c r="E85" s="255"/>
      <c r="F85" s="255" t="s">
        <v>227</v>
      </c>
      <c r="G85" s="255"/>
      <c r="I85" s="1285">
        <f>1620*$S$1</f>
        <v>1769.0400000000002</v>
      </c>
      <c r="J85" s="1285">
        <f>2630*$S$1</f>
        <v>2871.96</v>
      </c>
      <c r="K85" s="369">
        <v>0.79</v>
      </c>
      <c r="L85" s="369">
        <f>(20.1+25.9+2.2)/100*21/100</f>
        <v>0.10122000000000002</v>
      </c>
      <c r="M85" s="369">
        <f>(39.1+3.4)/100*21/100</f>
        <v>8.9249999999999996E-2</v>
      </c>
      <c r="N85" s="369">
        <f>(7+1.9+0.5+0.1)/100*21/100</f>
        <v>1.9950000000000002E-2</v>
      </c>
      <c r="O85" s="370">
        <f t="shared" si="42"/>
        <v>1.0004199999999999</v>
      </c>
      <c r="Q85" s="628">
        <v>785</v>
      </c>
      <c r="R85" s="622">
        <f t="shared" si="43"/>
        <v>0.9777227722772277</v>
      </c>
      <c r="S85" s="622">
        <f t="shared" si="44"/>
        <v>0.89826417237584777</v>
      </c>
      <c r="T85" s="622">
        <f t="shared" si="45"/>
        <v>0.79003275205806844</v>
      </c>
      <c r="U85" s="622">
        <f t="shared" si="46"/>
        <v>0.50496102055279934</v>
      </c>
      <c r="V85" s="622">
        <f t="shared" si="47"/>
        <v>0.98257794327758641</v>
      </c>
    </row>
    <row r="86" spans="1:22" x14ac:dyDescent="0.2">
      <c r="B86" s="254" t="s">
        <v>833</v>
      </c>
      <c r="C86" s="255"/>
      <c r="D86" s="255"/>
      <c r="E86" s="255"/>
      <c r="F86" s="255" t="s">
        <v>227</v>
      </c>
      <c r="G86" s="255"/>
      <c r="I86" s="1285">
        <f>2240*$S$1</f>
        <v>2446.0800000000004</v>
      </c>
      <c r="J86" s="1285">
        <f>3010*$S$1</f>
        <v>3286.92</v>
      </c>
      <c r="K86" s="369">
        <v>0.85899999999999999</v>
      </c>
      <c r="L86" s="369">
        <f>(16.8+33.6+8.3)/100*14.2/100</f>
        <v>8.3353999999999998E-2</v>
      </c>
      <c r="M86" s="369">
        <f>(33.1+2.7)/100*14.2/100</f>
        <v>5.0836000000000006E-2</v>
      </c>
      <c r="N86" s="369">
        <f>(3.9+0.1+0.7)/100*14.2/100</f>
        <v>6.6740000000000002E-3</v>
      </c>
      <c r="O86" s="370">
        <f t="shared" si="42"/>
        <v>0.99986399999999998</v>
      </c>
      <c r="Q86" s="628">
        <v>1205</v>
      </c>
      <c r="R86" s="622">
        <f t="shared" si="43"/>
        <v>1.0631188118811881</v>
      </c>
      <c r="S86" s="622">
        <f t="shared" si="44"/>
        <v>0.73971460012069157</v>
      </c>
      <c r="T86" s="622">
        <f t="shared" si="45"/>
        <v>0.44999557404620699</v>
      </c>
      <c r="U86" s="622">
        <f t="shared" si="46"/>
        <v>0.16892781208869087</v>
      </c>
      <c r="V86" s="622">
        <f t="shared" si="47"/>
        <v>1.049431084821336</v>
      </c>
    </row>
    <row r="87" spans="1:22" x14ac:dyDescent="0.2">
      <c r="B87" s="254" t="s">
        <v>832</v>
      </c>
      <c r="C87" s="255"/>
      <c r="D87" s="255"/>
      <c r="E87" s="255"/>
      <c r="F87" s="255" t="s">
        <v>227</v>
      </c>
      <c r="G87" s="255"/>
      <c r="I87" s="1285">
        <f>1710*$S$1</f>
        <v>1867.3200000000002</v>
      </c>
      <c r="J87" s="1285">
        <f>2540*$S$1</f>
        <v>2773.6800000000003</v>
      </c>
      <c r="K87" s="369">
        <v>0.88300000000000001</v>
      </c>
      <c r="L87" s="369">
        <f>(24.2+19.9+30.8)/100*11.8/100</f>
        <v>8.8381999999999988E-2</v>
      </c>
      <c r="M87" s="369">
        <f>(19.3+2.4)/100*11.8/100</f>
        <v>2.5606E-2</v>
      </c>
      <c r="N87" s="369">
        <f>(2.5)/100*11.8/100</f>
        <v>2.9500000000000004E-3</v>
      </c>
      <c r="O87" s="370">
        <f t="shared" si="42"/>
        <v>0.99993799999999999</v>
      </c>
      <c r="Q87" s="628">
        <v>785</v>
      </c>
      <c r="R87" s="622">
        <f t="shared" si="43"/>
        <v>1.0928217821782178</v>
      </c>
      <c r="S87" s="622">
        <f t="shared" si="44"/>
        <v>0.78433495438571577</v>
      </c>
      <c r="T87" s="622">
        <f t="shared" si="45"/>
        <v>0.22666194564928743</v>
      </c>
      <c r="U87" s="622">
        <f t="shared" si="46"/>
        <v>7.466842158550166E-2</v>
      </c>
      <c r="V87" s="622">
        <f t="shared" si="47"/>
        <v>1.0727420262146175</v>
      </c>
    </row>
    <row r="88" spans="1:22" x14ac:dyDescent="0.2">
      <c r="B88" s="254" t="s">
        <v>404</v>
      </c>
      <c r="C88" s="255"/>
      <c r="D88" s="255"/>
      <c r="E88" s="255"/>
      <c r="F88" s="255" t="s">
        <v>227</v>
      </c>
      <c r="G88" s="255"/>
      <c r="I88" s="1285">
        <f>1820*$S$1</f>
        <v>1987.44</v>
      </c>
      <c r="J88" s="1285">
        <f>3570*$S$1</f>
        <v>3898.4400000000005</v>
      </c>
      <c r="K88" s="369">
        <v>0.745</v>
      </c>
      <c r="L88" s="369">
        <f>(13.5+19.7+10.9)/100*25.5/100</f>
        <v>0.112455</v>
      </c>
      <c r="M88" s="369">
        <f>(37.2+7.8)/100*25.5/100</f>
        <v>0.11474999999999999</v>
      </c>
      <c r="N88" s="369">
        <f>(1.6+5.2+2.8+1.3)/100*25.5/100</f>
        <v>2.7795000000000004E-2</v>
      </c>
      <c r="O88" s="370">
        <f t="shared" si="42"/>
        <v>1</v>
      </c>
      <c r="Q88" s="628">
        <v>1263.7999999999997</v>
      </c>
      <c r="R88" s="622">
        <f t="shared" si="43"/>
        <v>0.92202970297029696</v>
      </c>
      <c r="S88" s="622">
        <f t="shared" si="44"/>
        <v>0.99796776827233691</v>
      </c>
      <c r="T88" s="622">
        <f t="shared" si="45"/>
        <v>1.0157563955032309</v>
      </c>
      <c r="U88" s="622">
        <f t="shared" si="46"/>
        <v>0.70352839931153177</v>
      </c>
      <c r="V88" s="622">
        <f t="shared" si="47"/>
        <v>0.93880926415471999</v>
      </c>
    </row>
    <row r="89" spans="1:22" x14ac:dyDescent="0.2">
      <c r="B89" s="254" t="s">
        <v>834</v>
      </c>
      <c r="C89" s="255"/>
      <c r="D89" s="255"/>
      <c r="E89" s="255" t="s">
        <v>227</v>
      </c>
      <c r="F89" s="255" t="s">
        <v>227</v>
      </c>
      <c r="G89" s="255"/>
      <c r="I89" s="1285">
        <f>1820*$S$1</f>
        <v>1987.44</v>
      </c>
      <c r="J89" s="1285">
        <f>3570*$S$1</f>
        <v>3898.4400000000005</v>
      </c>
      <c r="K89" s="369">
        <v>0.745</v>
      </c>
      <c r="L89" s="369">
        <f>(13.5+19.7+10.9)/100*25.5/100</f>
        <v>0.112455</v>
      </c>
      <c r="M89" s="369">
        <f>(37.2+7.8)/100*25.5/100</f>
        <v>0.11474999999999999</v>
      </c>
      <c r="N89" s="369">
        <f>(1.6+5.2+2.8+1.3)/100*25.5/100</f>
        <v>2.7795000000000004E-2</v>
      </c>
      <c r="O89" s="370">
        <f t="shared" si="42"/>
        <v>1</v>
      </c>
      <c r="Q89" s="628">
        <v>1263.7999999999997</v>
      </c>
      <c r="R89" s="622">
        <f t="shared" si="43"/>
        <v>0.92202970297029696</v>
      </c>
      <c r="S89" s="622">
        <f t="shared" si="44"/>
        <v>0.99796776827233691</v>
      </c>
      <c r="T89" s="622">
        <f t="shared" si="45"/>
        <v>1.0157563955032309</v>
      </c>
      <c r="U89" s="622">
        <f t="shared" si="46"/>
        <v>0.70352839931153177</v>
      </c>
      <c r="V89" s="622">
        <f t="shared" si="47"/>
        <v>0.93880926415471999</v>
      </c>
    </row>
    <row r="90" spans="1:22" x14ac:dyDescent="0.2">
      <c r="B90" s="254" t="s">
        <v>405</v>
      </c>
      <c r="C90" s="255"/>
      <c r="D90" s="255"/>
      <c r="E90" s="255"/>
      <c r="F90" s="255" t="s">
        <v>227</v>
      </c>
      <c r="G90" s="255" t="s">
        <v>227</v>
      </c>
      <c r="I90" s="1285">
        <f>1820*$S$1</f>
        <v>1987.44</v>
      </c>
      <c r="J90" s="1285">
        <f>3570*$S$1</f>
        <v>3898.4400000000005</v>
      </c>
      <c r="K90" s="369">
        <v>0.745</v>
      </c>
      <c r="L90" s="369">
        <f>(13.5+19.7+10.9)/100*25.5/100</f>
        <v>0.112455</v>
      </c>
      <c r="M90" s="369">
        <f>(37.2+7.8)/100*25.5/100</f>
        <v>0.11474999999999999</v>
      </c>
      <c r="N90" s="369">
        <f>(1.6+5.2+2.8+1.3)/100*25.5/100</f>
        <v>2.7795000000000004E-2</v>
      </c>
      <c r="O90" s="370">
        <f t="shared" si="42"/>
        <v>1</v>
      </c>
      <c r="Q90" s="628">
        <v>1263.7999999999997</v>
      </c>
      <c r="R90" s="622">
        <f t="shared" si="43"/>
        <v>0.92202970297029696</v>
      </c>
      <c r="S90" s="622">
        <f t="shared" si="44"/>
        <v>0.99796776827233691</v>
      </c>
      <c r="T90" s="622">
        <f t="shared" si="45"/>
        <v>1.0157563955032309</v>
      </c>
      <c r="U90" s="622">
        <f t="shared" si="46"/>
        <v>0.70352839931153177</v>
      </c>
      <c r="V90" s="622">
        <f t="shared" si="47"/>
        <v>0.93880926415471999</v>
      </c>
    </row>
    <row r="91" spans="1:22" x14ac:dyDescent="0.2">
      <c r="B91" s="254" t="s">
        <v>835</v>
      </c>
      <c r="C91" s="255"/>
      <c r="D91" s="255"/>
      <c r="E91" s="255"/>
      <c r="F91" s="255" t="s">
        <v>227</v>
      </c>
      <c r="G91" s="255" t="s">
        <v>227</v>
      </c>
      <c r="I91" s="1285">
        <f>2240*$S$1</f>
        <v>2446.0800000000004</v>
      </c>
      <c r="J91" s="1285">
        <f>4030*$S$1</f>
        <v>4400.76</v>
      </c>
      <c r="K91" s="369">
        <v>0.73599999999999999</v>
      </c>
      <c r="L91" s="369">
        <f>(19.4+10.5+23.9)/100*26.5/100</f>
        <v>0.14256999999999997</v>
      </c>
      <c r="M91" s="369">
        <f>(24.1+5.9)/100*26.5/100</f>
        <v>7.9499999999999987E-2</v>
      </c>
      <c r="N91" s="369">
        <f>(3.3+12.7)/100*26.5/100</f>
        <v>4.24E-2</v>
      </c>
      <c r="O91" s="370">
        <f t="shared" si="42"/>
        <v>1.00047</v>
      </c>
      <c r="Q91" s="628">
        <v>1633.3999999999996</v>
      </c>
      <c r="R91" s="622">
        <f t="shared" si="43"/>
        <v>0.91089108910891081</v>
      </c>
      <c r="S91" s="622">
        <f t="shared" si="44"/>
        <v>1.2652195520215823</v>
      </c>
      <c r="T91" s="622">
        <f t="shared" si="45"/>
        <v>0.70372665309374161</v>
      </c>
      <c r="U91" s="622">
        <f t="shared" si="46"/>
        <v>1.0732003644831425</v>
      </c>
      <c r="V91" s="622">
        <f t="shared" si="47"/>
        <v>0.9301750229498692</v>
      </c>
    </row>
    <row r="92" spans="1:22" x14ac:dyDescent="0.2">
      <c r="B92" s="350" t="s">
        <v>406</v>
      </c>
      <c r="C92" s="351"/>
      <c r="D92" s="351"/>
      <c r="E92" s="351"/>
      <c r="F92" s="351" t="s">
        <v>227</v>
      </c>
      <c r="G92" s="351" t="s">
        <v>227</v>
      </c>
      <c r="I92" s="1285">
        <f>2240*$S$1</f>
        <v>2446.0800000000004</v>
      </c>
      <c r="J92" s="1285">
        <f>4030*$S$1</f>
        <v>4400.76</v>
      </c>
      <c r="K92" s="369">
        <v>0.73599999999999999</v>
      </c>
      <c r="L92" s="369">
        <f>(19.4+10.5+23.9)/100*26.5/100</f>
        <v>0.14256999999999997</v>
      </c>
      <c r="M92" s="369">
        <f>(24.1+5.9)/100*26.5/100</f>
        <v>7.9499999999999987E-2</v>
      </c>
      <c r="N92" s="369">
        <f>(3.3+12.7)/100*26.5/100</f>
        <v>4.24E-2</v>
      </c>
      <c r="O92" s="370">
        <f t="shared" si="42"/>
        <v>1.00047</v>
      </c>
      <c r="Q92" s="628">
        <v>1633.3999999999996</v>
      </c>
      <c r="R92" s="622">
        <f t="shared" si="43"/>
        <v>0.91089108910891081</v>
      </c>
      <c r="S92" s="622">
        <f t="shared" si="44"/>
        <v>1.2652195520215823</v>
      </c>
      <c r="T92" s="622">
        <f t="shared" si="45"/>
        <v>0.70372665309374161</v>
      </c>
      <c r="U92" s="622">
        <f t="shared" si="46"/>
        <v>1.0732003644831425</v>
      </c>
      <c r="V92" s="622">
        <f t="shared" si="47"/>
        <v>0.9301750229498692</v>
      </c>
    </row>
    <row r="94" spans="1:22" ht="15.75" x14ac:dyDescent="0.25">
      <c r="A94" s="363"/>
      <c r="B94" s="364" t="s">
        <v>631</v>
      </c>
      <c r="C94" s="364"/>
      <c r="D94" s="364"/>
      <c r="E94" s="364"/>
      <c r="F94" s="364"/>
      <c r="G94" s="364"/>
      <c r="H94" s="365"/>
      <c r="I94" s="363"/>
      <c r="J94" s="363"/>
      <c r="K94" s="365"/>
      <c r="L94" s="365"/>
      <c r="M94" s="365"/>
      <c r="N94" s="365"/>
      <c r="O94" s="365"/>
      <c r="P94" s="365"/>
    </row>
    <row r="95" spans="1:22" ht="15.75" x14ac:dyDescent="0.25">
      <c r="A95" s="189" t="s">
        <v>3</v>
      </c>
      <c r="B95" s="190" t="s">
        <v>107</v>
      </c>
      <c r="C95" s="191"/>
      <c r="D95" s="191"/>
      <c r="E95" s="191"/>
      <c r="F95" s="247" t="s">
        <v>82</v>
      </c>
      <c r="G95" s="974"/>
      <c r="I95" s="364" t="s">
        <v>624</v>
      </c>
      <c r="J95" s="366"/>
      <c r="K95" s="366"/>
      <c r="L95" s="366"/>
    </row>
    <row r="96" spans="1:22" ht="15.75" x14ac:dyDescent="0.25">
      <c r="A96" s="192" t="s">
        <v>4</v>
      </c>
      <c r="B96" s="193" t="s">
        <v>101</v>
      </c>
      <c r="C96" s="194"/>
      <c r="D96" s="194"/>
      <c r="E96" s="194"/>
      <c r="F96" s="248" t="s">
        <v>83</v>
      </c>
      <c r="G96" s="975"/>
      <c r="I96" s="201" t="s">
        <v>84</v>
      </c>
      <c r="J96" s="201"/>
      <c r="K96" s="201" t="s">
        <v>190</v>
      </c>
      <c r="L96" s="201"/>
      <c r="M96" s="201"/>
      <c r="N96" s="201"/>
      <c r="O96" s="201"/>
    </row>
    <row r="97" spans="1:15" ht="15.75" x14ac:dyDescent="0.25">
      <c r="A97" s="192" t="s">
        <v>5</v>
      </c>
      <c r="B97" s="193" t="s">
        <v>375</v>
      </c>
      <c r="C97" s="194"/>
      <c r="D97" s="194"/>
      <c r="E97" s="194"/>
      <c r="F97" s="248" t="s">
        <v>83</v>
      </c>
      <c r="G97" s="975"/>
      <c r="I97" s="202" t="s">
        <v>85</v>
      </c>
      <c r="J97" s="202"/>
      <c r="K97" s="202" t="s">
        <v>191</v>
      </c>
      <c r="L97" s="202"/>
      <c r="M97" s="202"/>
      <c r="N97" s="202"/>
      <c r="O97" s="202"/>
    </row>
    <row r="98" spans="1:15" ht="15.75" x14ac:dyDescent="0.25">
      <c r="A98" s="192" t="s">
        <v>109</v>
      </c>
      <c r="B98" s="193" t="s">
        <v>376</v>
      </c>
      <c r="C98" s="194"/>
      <c r="D98" s="194"/>
      <c r="E98" s="194"/>
      <c r="F98" s="248" t="s">
        <v>82</v>
      </c>
      <c r="G98" s="975"/>
      <c r="I98" s="202" t="s">
        <v>86</v>
      </c>
      <c r="J98" s="202"/>
      <c r="K98" s="202" t="s">
        <v>192</v>
      </c>
      <c r="L98" s="202"/>
      <c r="M98" s="202"/>
      <c r="N98" s="202"/>
      <c r="O98" s="202"/>
    </row>
    <row r="99" spans="1:15" ht="15.75" x14ac:dyDescent="0.25">
      <c r="A99" s="192" t="s">
        <v>110</v>
      </c>
      <c r="B99" s="193" t="s">
        <v>108</v>
      </c>
      <c r="C99" s="194"/>
      <c r="D99" s="194"/>
      <c r="E99" s="194"/>
      <c r="F99" s="248" t="s">
        <v>82</v>
      </c>
      <c r="G99" s="975"/>
      <c r="I99" s="202" t="s">
        <v>87</v>
      </c>
      <c r="J99" s="202"/>
      <c r="K99" s="202" t="s">
        <v>193</v>
      </c>
      <c r="L99" s="202"/>
      <c r="M99" s="202"/>
      <c r="N99" s="202"/>
      <c r="O99" s="202"/>
    </row>
    <row r="100" spans="1:15" ht="15.75" x14ac:dyDescent="0.25">
      <c r="A100" s="195" t="s">
        <v>6</v>
      </c>
      <c r="B100" s="196" t="s">
        <v>377</v>
      </c>
      <c r="C100" s="197"/>
      <c r="D100" s="197"/>
      <c r="E100" s="197"/>
      <c r="F100" s="249" t="s">
        <v>82</v>
      </c>
      <c r="G100" s="976"/>
      <c r="I100" s="203" t="s">
        <v>88</v>
      </c>
      <c r="J100" s="203"/>
      <c r="K100" s="203" t="s">
        <v>194</v>
      </c>
      <c r="L100" s="203"/>
      <c r="M100" s="203"/>
      <c r="N100" s="203"/>
      <c r="O100" s="203"/>
    </row>
    <row r="101" spans="1:15" ht="15.75" x14ac:dyDescent="0.25">
      <c r="A101" s="81"/>
      <c r="B101" s="81"/>
      <c r="C101" s="81"/>
      <c r="D101" s="81"/>
      <c r="E101" s="81"/>
      <c r="F101" s="245" t="s">
        <v>111</v>
      </c>
      <c r="G101" s="186">
        <f>SUM(G95:G100)</f>
        <v>0</v>
      </c>
    </row>
    <row r="102" spans="1:15" ht="15.75" x14ac:dyDescent="0.2">
      <c r="B102" s="54" t="s">
        <v>215</v>
      </c>
      <c r="C102" s="52"/>
      <c r="D102" s="52"/>
      <c r="E102" s="52"/>
      <c r="F102" s="223" t="str">
        <f>IF(G101&lt;11,$I$96,IF(G101&lt;19,$I$97,IF(G101&lt;27,$I$98,IF(G101&lt;35,$I$99,IF(G101&lt;43,$I$100,"NAPAKA")))))</f>
        <v>Cenovni razred I</v>
      </c>
      <c r="G102" s="52"/>
    </row>
    <row r="108" spans="1:15" ht="63.75" x14ac:dyDescent="0.2">
      <c r="B108" s="229" t="s">
        <v>2</v>
      </c>
      <c r="C108" s="294" t="s">
        <v>222</v>
      </c>
      <c r="D108" s="294" t="s">
        <v>223</v>
      </c>
      <c r="E108" s="294" t="s">
        <v>224</v>
      </c>
      <c r="F108" s="294" t="s">
        <v>225</v>
      </c>
      <c r="G108" s="294" t="s">
        <v>226</v>
      </c>
      <c r="I108" s="362" t="s">
        <v>854</v>
      </c>
      <c r="J108" s="362" t="s">
        <v>855</v>
      </c>
    </row>
    <row r="109" spans="1:15" ht="25.5" x14ac:dyDescent="0.2">
      <c r="B109" s="262" t="s">
        <v>408</v>
      </c>
      <c r="C109" s="264" t="s">
        <v>227</v>
      </c>
      <c r="D109" s="264"/>
      <c r="E109" s="264"/>
      <c r="F109" s="264"/>
      <c r="G109" s="264"/>
    </row>
    <row r="110" spans="1:15" ht="25.5" x14ac:dyDescent="0.2">
      <c r="B110" s="254" t="s">
        <v>409</v>
      </c>
      <c r="C110" s="255"/>
      <c r="D110" s="255" t="s">
        <v>227</v>
      </c>
      <c r="E110" s="255"/>
      <c r="F110" s="255"/>
      <c r="G110" s="255"/>
    </row>
    <row r="111" spans="1:15" ht="38.25" x14ac:dyDescent="0.2">
      <c r="B111" s="254" t="s">
        <v>410</v>
      </c>
      <c r="C111" s="255"/>
      <c r="D111" s="255"/>
      <c r="E111" s="255" t="s">
        <v>227</v>
      </c>
      <c r="F111" s="255"/>
      <c r="G111" s="255"/>
    </row>
    <row r="112" spans="1:15" ht="38.25" x14ac:dyDescent="0.2">
      <c r="B112" s="254" t="s">
        <v>411</v>
      </c>
      <c r="C112" s="255"/>
      <c r="D112" s="255"/>
      <c r="E112" s="255"/>
      <c r="F112" s="255" t="s">
        <v>227</v>
      </c>
      <c r="G112" s="255"/>
    </row>
    <row r="113" spans="2:9" ht="25.5" x14ac:dyDescent="0.2">
      <c r="B113" s="254" t="s">
        <v>412</v>
      </c>
      <c r="C113" s="255"/>
      <c r="D113" s="255"/>
      <c r="E113" s="255"/>
      <c r="F113" s="255"/>
      <c r="G113" s="255" t="s">
        <v>227</v>
      </c>
    </row>
    <row r="114" spans="2:9" ht="15.75" x14ac:dyDescent="0.2">
      <c r="B114" s="263" t="s">
        <v>790</v>
      </c>
      <c r="C114" s="257"/>
      <c r="D114" s="257"/>
      <c r="E114" s="257"/>
      <c r="F114" s="257"/>
      <c r="G114" s="257"/>
    </row>
    <row r="115" spans="2:9" x14ac:dyDescent="0.2">
      <c r="B115" s="254" t="s">
        <v>413</v>
      </c>
      <c r="C115" s="255" t="s">
        <v>227</v>
      </c>
      <c r="D115" s="255"/>
      <c r="E115" s="255"/>
      <c r="F115" s="255"/>
      <c r="G115" s="255"/>
    </row>
    <row r="116" spans="2:9" x14ac:dyDescent="0.2">
      <c r="B116" s="254" t="s">
        <v>414</v>
      </c>
      <c r="C116" s="255"/>
      <c r="D116" s="255" t="s">
        <v>227</v>
      </c>
      <c r="E116" s="255"/>
      <c r="F116" s="255"/>
      <c r="G116" s="255"/>
    </row>
    <row r="117" spans="2:9" ht="25.5" x14ac:dyDescent="0.2">
      <c r="B117" s="254" t="s">
        <v>415</v>
      </c>
      <c r="C117" s="255"/>
      <c r="D117" s="255"/>
      <c r="E117" s="255" t="s">
        <v>227</v>
      </c>
      <c r="F117" s="255"/>
      <c r="G117" s="255"/>
    </row>
    <row r="118" spans="2:9" x14ac:dyDescent="0.2">
      <c r="B118" s="254" t="s">
        <v>416</v>
      </c>
      <c r="C118" s="255"/>
      <c r="D118" s="255"/>
      <c r="E118" s="255" t="s">
        <v>227</v>
      </c>
      <c r="F118" s="255"/>
      <c r="G118" s="255"/>
    </row>
    <row r="119" spans="2:9" x14ac:dyDescent="0.2">
      <c r="B119" s="254" t="s">
        <v>417</v>
      </c>
      <c r="C119" s="255"/>
      <c r="D119" s="255"/>
      <c r="E119" s="255"/>
      <c r="F119" s="255" t="s">
        <v>227</v>
      </c>
      <c r="G119" s="255"/>
    </row>
    <row r="120" spans="2:9" x14ac:dyDescent="0.2">
      <c r="B120" s="254" t="s">
        <v>418</v>
      </c>
      <c r="C120" s="255"/>
      <c r="D120" s="255"/>
      <c r="E120" s="255"/>
      <c r="F120" s="255" t="s">
        <v>227</v>
      </c>
      <c r="G120" s="255"/>
    </row>
    <row r="121" spans="2:9" x14ac:dyDescent="0.2">
      <c r="B121" s="254" t="s">
        <v>419</v>
      </c>
      <c r="C121" s="255"/>
      <c r="D121" s="255"/>
      <c r="E121" s="255"/>
      <c r="F121" s="255"/>
      <c r="G121" s="255" t="s">
        <v>227</v>
      </c>
    </row>
    <row r="122" spans="2:9" ht="15.75" x14ac:dyDescent="0.2">
      <c r="B122" s="263" t="s">
        <v>778</v>
      </c>
      <c r="C122" s="257"/>
      <c r="D122" s="257"/>
      <c r="E122" s="257"/>
      <c r="F122" s="257"/>
      <c r="G122" s="257"/>
    </row>
    <row r="123" spans="2:9" x14ac:dyDescent="0.2">
      <c r="B123" s="254" t="s">
        <v>420</v>
      </c>
      <c r="C123" s="255" t="s">
        <v>227</v>
      </c>
      <c r="D123" s="255"/>
      <c r="E123" s="255"/>
      <c r="F123" s="255"/>
      <c r="G123" s="255"/>
    </row>
    <row r="124" spans="2:9" x14ac:dyDescent="0.2">
      <c r="B124" s="254" t="s">
        <v>421</v>
      </c>
      <c r="C124" s="255"/>
      <c r="D124" s="255" t="s">
        <v>227</v>
      </c>
      <c r="E124" s="255"/>
      <c r="F124" s="255"/>
      <c r="G124" s="255"/>
    </row>
    <row r="125" spans="2:9" ht="25.5" x14ac:dyDescent="0.2">
      <c r="B125" s="254" t="s">
        <v>422</v>
      </c>
      <c r="C125" s="255"/>
      <c r="D125" s="255"/>
      <c r="E125" s="255" t="s">
        <v>227</v>
      </c>
      <c r="F125" s="255" t="s">
        <v>227</v>
      </c>
      <c r="G125" s="255"/>
    </row>
    <row r="126" spans="2:9" x14ac:dyDescent="0.2">
      <c r="B126" s="254" t="s">
        <v>423</v>
      </c>
      <c r="C126" s="255"/>
      <c r="D126" s="255"/>
      <c r="E126" s="255" t="s">
        <v>227</v>
      </c>
      <c r="F126" s="255" t="s">
        <v>227</v>
      </c>
      <c r="G126" s="255"/>
      <c r="I126">
        <v>185</v>
      </c>
    </row>
    <row r="127" spans="2:9" ht="25.5" x14ac:dyDescent="0.2">
      <c r="B127" s="254" t="s">
        <v>424</v>
      </c>
      <c r="C127" s="255"/>
      <c r="D127" s="255"/>
      <c r="E127" s="255"/>
      <c r="F127" s="255" t="s">
        <v>227</v>
      </c>
      <c r="G127" s="255"/>
    </row>
    <row r="128" spans="2:9" ht="25.5" x14ac:dyDescent="0.2">
      <c r="B128" s="254" t="s">
        <v>425</v>
      </c>
      <c r="C128" s="255"/>
      <c r="D128" s="255"/>
      <c r="E128" s="255"/>
      <c r="F128" s="255" t="s">
        <v>227</v>
      </c>
      <c r="G128" s="255"/>
    </row>
    <row r="129" spans="2:7" x14ac:dyDescent="0.2">
      <c r="B129" s="254" t="s">
        <v>426</v>
      </c>
      <c r="C129" s="255"/>
      <c r="D129" s="255"/>
      <c r="E129" s="255"/>
      <c r="F129" s="255"/>
      <c r="G129" s="255" t="s">
        <v>227</v>
      </c>
    </row>
    <row r="130" spans="2:7" ht="15.75" x14ac:dyDescent="0.2">
      <c r="B130" s="256" t="s">
        <v>779</v>
      </c>
      <c r="C130" s="257"/>
      <c r="D130" s="257"/>
      <c r="E130" s="257"/>
      <c r="F130" s="257"/>
      <c r="G130" s="257"/>
    </row>
    <row r="131" spans="2:7" x14ac:dyDescent="0.2">
      <c r="B131" s="254" t="s">
        <v>427</v>
      </c>
      <c r="C131" s="255" t="s">
        <v>227</v>
      </c>
      <c r="D131" s="255"/>
      <c r="E131" s="255"/>
      <c r="F131" s="255"/>
      <c r="G131" s="255"/>
    </row>
    <row r="132" spans="2:7" ht="25.5" x14ac:dyDescent="0.2">
      <c r="B132" s="254" t="s">
        <v>428</v>
      </c>
      <c r="C132" s="255"/>
      <c r="D132" s="255" t="s">
        <v>227</v>
      </c>
      <c r="E132" s="255"/>
      <c r="F132" s="255"/>
      <c r="G132" s="255"/>
    </row>
    <row r="133" spans="2:7" ht="25.5" x14ac:dyDescent="0.2">
      <c r="B133" s="254" t="s">
        <v>429</v>
      </c>
      <c r="C133" s="255"/>
      <c r="D133" s="255"/>
      <c r="E133" s="255" t="s">
        <v>227</v>
      </c>
      <c r="F133" s="255"/>
      <c r="G133" s="255"/>
    </row>
    <row r="134" spans="2:7" x14ac:dyDescent="0.2">
      <c r="B134" s="254" t="s">
        <v>430</v>
      </c>
      <c r="C134" s="255"/>
      <c r="D134" s="255"/>
      <c r="E134" s="255" t="s">
        <v>227</v>
      </c>
      <c r="F134" s="255"/>
      <c r="G134" s="255"/>
    </row>
    <row r="135" spans="2:7" x14ac:dyDescent="0.2">
      <c r="B135" s="254" t="s">
        <v>431</v>
      </c>
      <c r="C135" s="255"/>
      <c r="D135" s="255"/>
      <c r="E135" s="255" t="s">
        <v>227</v>
      </c>
      <c r="F135" s="255" t="s">
        <v>227</v>
      </c>
      <c r="G135" s="255"/>
    </row>
    <row r="136" spans="2:7" x14ac:dyDescent="0.2">
      <c r="B136" s="254" t="s">
        <v>432</v>
      </c>
      <c r="C136" s="255"/>
      <c r="D136" s="255"/>
      <c r="E136" s="255" t="s">
        <v>227</v>
      </c>
      <c r="F136" s="255" t="s">
        <v>227</v>
      </c>
      <c r="G136" s="255"/>
    </row>
    <row r="137" spans="2:7" ht="25.5" x14ac:dyDescent="0.2">
      <c r="B137" s="254" t="s">
        <v>433</v>
      </c>
      <c r="C137" s="255"/>
      <c r="D137" s="255"/>
      <c r="E137" s="255"/>
      <c r="F137" s="255" t="s">
        <v>227</v>
      </c>
      <c r="G137" s="255"/>
    </row>
    <row r="138" spans="2:7" ht="25.5" x14ac:dyDescent="0.2">
      <c r="B138" s="254" t="s">
        <v>434</v>
      </c>
      <c r="C138" s="255"/>
      <c r="D138" s="255"/>
      <c r="E138" s="255"/>
      <c r="F138" s="255"/>
      <c r="G138" s="255" t="s">
        <v>227</v>
      </c>
    </row>
    <row r="139" spans="2:7" ht="15.75" x14ac:dyDescent="0.2">
      <c r="B139" s="256" t="s">
        <v>780</v>
      </c>
      <c r="C139" s="257"/>
      <c r="D139" s="257"/>
      <c r="E139" s="257"/>
      <c r="F139" s="257"/>
      <c r="G139" s="257"/>
    </row>
    <row r="140" spans="2:7" x14ac:dyDescent="0.2">
      <c r="B140" s="254" t="s">
        <v>435</v>
      </c>
      <c r="C140" s="255" t="s">
        <v>227</v>
      </c>
      <c r="D140" s="255"/>
      <c r="E140" s="255"/>
      <c r="F140" s="255"/>
      <c r="G140" s="255"/>
    </row>
    <row r="141" spans="2:7" x14ac:dyDescent="0.2">
      <c r="B141" s="254" t="s">
        <v>436</v>
      </c>
      <c r="C141" s="255"/>
      <c r="D141" s="255" t="s">
        <v>227</v>
      </c>
      <c r="E141" s="255"/>
      <c r="F141" s="255"/>
      <c r="G141" s="255"/>
    </row>
    <row r="142" spans="2:7" ht="25.5" x14ac:dyDescent="0.2">
      <c r="B142" s="254" t="s">
        <v>437</v>
      </c>
      <c r="C142" s="255"/>
      <c r="D142" s="255"/>
      <c r="E142" s="255" t="s">
        <v>227</v>
      </c>
      <c r="F142" s="255"/>
      <c r="G142" s="255"/>
    </row>
    <row r="143" spans="2:7" ht="38.25" x14ac:dyDescent="0.2">
      <c r="B143" s="254" t="s">
        <v>438</v>
      </c>
      <c r="C143" s="255"/>
      <c r="D143" s="255"/>
      <c r="E143" s="255"/>
      <c r="F143" s="255" t="s">
        <v>227</v>
      </c>
      <c r="G143" s="255"/>
    </row>
    <row r="144" spans="2:7" x14ac:dyDescent="0.2">
      <c r="B144" s="254" t="s">
        <v>439</v>
      </c>
      <c r="C144" s="255"/>
      <c r="D144" s="255"/>
      <c r="E144" s="255"/>
      <c r="F144" s="255" t="s">
        <v>227</v>
      </c>
      <c r="G144" s="255" t="s">
        <v>227</v>
      </c>
    </row>
    <row r="145" spans="2:7" ht="15.75" x14ac:dyDescent="0.2">
      <c r="B145" s="256" t="s">
        <v>781</v>
      </c>
      <c r="C145" s="257"/>
      <c r="D145" s="257"/>
      <c r="E145" s="257"/>
      <c r="F145" s="257"/>
      <c r="G145" s="257"/>
    </row>
    <row r="146" spans="2:7" x14ac:dyDescent="0.2">
      <c r="B146" s="254" t="s">
        <v>440</v>
      </c>
      <c r="C146" s="255" t="s">
        <v>227</v>
      </c>
      <c r="D146" s="255"/>
      <c r="E146" s="255"/>
      <c r="F146" s="255"/>
      <c r="G146" s="255"/>
    </row>
    <row r="147" spans="2:7" x14ac:dyDescent="0.2">
      <c r="B147" s="254" t="s">
        <v>441</v>
      </c>
      <c r="C147" s="255"/>
      <c r="D147" s="255" t="s">
        <v>227</v>
      </c>
      <c r="E147" s="255"/>
      <c r="F147" s="255"/>
      <c r="G147" s="255"/>
    </row>
    <row r="148" spans="2:7" ht="25.5" x14ac:dyDescent="0.2">
      <c r="B148" s="254" t="s">
        <v>442</v>
      </c>
      <c r="C148" s="255"/>
      <c r="D148" s="255"/>
      <c r="E148" s="255" t="s">
        <v>227</v>
      </c>
      <c r="F148" s="255"/>
      <c r="G148" s="255"/>
    </row>
    <row r="149" spans="2:7" x14ac:dyDescent="0.2">
      <c r="B149" s="254" t="s">
        <v>443</v>
      </c>
      <c r="C149" s="255"/>
      <c r="D149" s="255"/>
      <c r="E149" s="255"/>
      <c r="F149" s="255" t="s">
        <v>227</v>
      </c>
      <c r="G149" s="255"/>
    </row>
    <row r="150" spans="2:7" x14ac:dyDescent="0.2">
      <c r="B150" s="254" t="s">
        <v>444</v>
      </c>
      <c r="C150" s="255"/>
      <c r="D150" s="255"/>
      <c r="E150" s="255" t="s">
        <v>227</v>
      </c>
      <c r="F150" s="255"/>
      <c r="G150" s="255"/>
    </row>
    <row r="151" spans="2:7" x14ac:dyDescent="0.2">
      <c r="B151" s="254" t="s">
        <v>445</v>
      </c>
      <c r="C151" s="255"/>
      <c r="D151" s="255"/>
      <c r="E151" s="255"/>
      <c r="F151" s="255" t="s">
        <v>227</v>
      </c>
      <c r="G151" s="255"/>
    </row>
    <row r="152" spans="2:7" ht="25.5" x14ac:dyDescent="0.2">
      <c r="B152" s="254" t="s">
        <v>446</v>
      </c>
      <c r="C152" s="255"/>
      <c r="D152" s="255"/>
      <c r="E152" s="255"/>
      <c r="F152" s="255" t="s">
        <v>227</v>
      </c>
      <c r="G152" s="255"/>
    </row>
    <row r="153" spans="2:7" ht="25.5" x14ac:dyDescent="0.2">
      <c r="B153" s="254" t="s">
        <v>447</v>
      </c>
      <c r="C153" s="255"/>
      <c r="D153" s="255"/>
      <c r="E153" s="255" t="s">
        <v>227</v>
      </c>
      <c r="F153" s="255"/>
      <c r="G153" s="255"/>
    </row>
    <row r="154" spans="2:7" ht="25.5" x14ac:dyDescent="0.2">
      <c r="B154" s="254" t="s">
        <v>448</v>
      </c>
      <c r="C154" s="255"/>
      <c r="D154" s="255"/>
      <c r="E154" s="255"/>
      <c r="F154" s="255" t="s">
        <v>227</v>
      </c>
      <c r="G154" s="255"/>
    </row>
    <row r="155" spans="2:7" ht="15.75" x14ac:dyDescent="0.2">
      <c r="B155" s="256" t="s">
        <v>782</v>
      </c>
      <c r="C155" s="257"/>
      <c r="D155" s="257"/>
      <c r="E155" s="257"/>
      <c r="F155" s="257"/>
      <c r="G155" s="257"/>
    </row>
    <row r="156" spans="2:7" x14ac:dyDescent="0.2">
      <c r="B156" s="254" t="s">
        <v>449</v>
      </c>
      <c r="C156" s="255"/>
      <c r="D156" s="255" t="s">
        <v>227</v>
      </c>
      <c r="E156" s="255"/>
      <c r="F156" s="255"/>
      <c r="G156" s="255"/>
    </row>
    <row r="157" spans="2:7" x14ac:dyDescent="0.2">
      <c r="B157" s="254" t="s">
        <v>450</v>
      </c>
      <c r="C157" s="255"/>
      <c r="D157" s="255"/>
      <c r="E157" s="255" t="s">
        <v>227</v>
      </c>
      <c r="F157" s="255" t="s">
        <v>227</v>
      </c>
      <c r="G157" s="255"/>
    </row>
    <row r="158" spans="2:7" x14ac:dyDescent="0.2">
      <c r="B158" s="254" t="s">
        <v>451</v>
      </c>
      <c r="C158" s="255"/>
      <c r="D158" s="255"/>
      <c r="E158" s="255" t="s">
        <v>227</v>
      </c>
      <c r="F158" s="255" t="s">
        <v>227</v>
      </c>
      <c r="G158" s="255"/>
    </row>
    <row r="159" spans="2:7" ht="15.75" x14ac:dyDescent="0.2">
      <c r="B159" s="256" t="s">
        <v>822</v>
      </c>
      <c r="C159" s="257"/>
      <c r="D159" s="257"/>
      <c r="E159" s="257"/>
      <c r="F159" s="257"/>
      <c r="G159" s="257"/>
    </row>
    <row r="160" spans="2:7" x14ac:dyDescent="0.2">
      <c r="B160" s="254" t="s">
        <v>452</v>
      </c>
      <c r="C160" s="255"/>
      <c r="D160" s="255" t="s">
        <v>227</v>
      </c>
      <c r="E160" s="255"/>
      <c r="F160" s="255"/>
      <c r="G160" s="255"/>
    </row>
    <row r="161" spans="1:19" x14ac:dyDescent="0.2">
      <c r="B161" s="254" t="s">
        <v>453</v>
      </c>
      <c r="C161" s="255"/>
      <c r="D161" s="255" t="s">
        <v>227</v>
      </c>
      <c r="E161" s="255" t="s">
        <v>227</v>
      </c>
      <c r="F161" s="255"/>
      <c r="G161" s="255"/>
    </row>
    <row r="162" spans="1:19" x14ac:dyDescent="0.2">
      <c r="B162" s="254" t="s">
        <v>454</v>
      </c>
      <c r="C162" s="255"/>
      <c r="D162" s="255"/>
      <c r="E162" s="255" t="s">
        <v>227</v>
      </c>
      <c r="F162" s="255" t="s">
        <v>227</v>
      </c>
      <c r="G162" s="255"/>
    </row>
    <row r="163" spans="1:19" x14ac:dyDescent="0.2">
      <c r="B163" s="254" t="s">
        <v>455</v>
      </c>
      <c r="C163" s="255"/>
      <c r="D163" s="255"/>
      <c r="E163" s="255"/>
      <c r="F163" s="255" t="s">
        <v>227</v>
      </c>
      <c r="G163" s="255"/>
    </row>
    <row r="164" spans="1:19" x14ac:dyDescent="0.2">
      <c r="B164" s="254" t="s">
        <v>457</v>
      </c>
      <c r="C164" s="255"/>
      <c r="D164" s="255"/>
      <c r="E164" s="255"/>
      <c r="F164" s="255" t="s">
        <v>227</v>
      </c>
      <c r="G164" s="255" t="s">
        <v>227</v>
      </c>
    </row>
    <row r="165" spans="1:19" ht="15.75" x14ac:dyDescent="0.2">
      <c r="B165" s="256" t="s">
        <v>776</v>
      </c>
      <c r="C165" s="439"/>
      <c r="D165" s="439"/>
      <c r="E165" s="439"/>
      <c r="F165" s="439"/>
      <c r="G165" s="439"/>
    </row>
    <row r="166" spans="1:19" x14ac:dyDescent="0.2">
      <c r="B166" s="254" t="s">
        <v>456</v>
      </c>
      <c r="C166" s="255"/>
      <c r="D166" s="255" t="s">
        <v>227</v>
      </c>
      <c r="E166" s="255"/>
      <c r="F166" s="255"/>
      <c r="G166" s="255"/>
    </row>
    <row r="167" spans="1:19" ht="15.75" x14ac:dyDescent="0.2">
      <c r="B167" s="256" t="s">
        <v>791</v>
      </c>
      <c r="C167" s="257"/>
      <c r="D167" s="257"/>
      <c r="E167" s="257"/>
      <c r="F167" s="257"/>
      <c r="G167" s="257"/>
    </row>
    <row r="168" spans="1:19" x14ac:dyDescent="0.2">
      <c r="B168" s="262" t="s">
        <v>458</v>
      </c>
      <c r="C168" s="255"/>
      <c r="D168" s="255"/>
      <c r="E168" s="255"/>
      <c r="F168" s="255" t="s">
        <v>227</v>
      </c>
      <c r="G168" s="255" t="s">
        <v>227</v>
      </c>
    </row>
    <row r="169" spans="1:19" x14ac:dyDescent="0.2">
      <c r="B169" s="254" t="s">
        <v>459</v>
      </c>
      <c r="C169" s="255"/>
      <c r="D169" s="255"/>
      <c r="E169" s="255"/>
      <c r="F169" s="255" t="s">
        <v>227</v>
      </c>
      <c r="G169" s="255" t="s">
        <v>227</v>
      </c>
    </row>
    <row r="170" spans="1:19" ht="25.5" x14ac:dyDescent="0.2">
      <c r="B170" s="254" t="s">
        <v>460</v>
      </c>
      <c r="C170" s="255"/>
      <c r="D170" s="255"/>
      <c r="E170" s="255"/>
      <c r="F170" s="255"/>
      <c r="G170" s="255" t="s">
        <v>227</v>
      </c>
    </row>
    <row r="171" spans="1:19" x14ac:dyDescent="0.2">
      <c r="I171" s="353"/>
      <c r="J171" s="353"/>
    </row>
    <row r="172" spans="1:19" ht="15.75" x14ac:dyDescent="0.25">
      <c r="A172" s="364"/>
      <c r="B172" s="364" t="s">
        <v>632</v>
      </c>
      <c r="C172" s="364"/>
      <c r="D172" s="364"/>
      <c r="E172" s="364"/>
      <c r="F172" s="364"/>
      <c r="G172" s="364"/>
      <c r="H172" s="363"/>
      <c r="I172" s="364" t="s">
        <v>625</v>
      </c>
      <c r="J172" s="363"/>
      <c r="P172" s="363"/>
      <c r="S172" s="366"/>
    </row>
    <row r="173" spans="1:19" ht="15.75" x14ac:dyDescent="0.25">
      <c r="A173" s="189" t="s">
        <v>3</v>
      </c>
      <c r="B173" s="191" t="s">
        <v>101</v>
      </c>
      <c r="C173" s="191"/>
      <c r="D173" s="191"/>
      <c r="E173" s="191"/>
      <c r="F173" s="247" t="s">
        <v>82</v>
      </c>
      <c r="G173" s="974"/>
      <c r="I173" s="201" t="s">
        <v>84</v>
      </c>
      <c r="J173" s="201"/>
      <c r="K173" s="201" t="s">
        <v>190</v>
      </c>
      <c r="L173" s="201"/>
      <c r="M173" s="201"/>
      <c r="N173" s="201"/>
      <c r="O173" s="201"/>
    </row>
    <row r="174" spans="1:19" ht="15.75" x14ac:dyDescent="0.25">
      <c r="A174" s="192" t="s">
        <v>4</v>
      </c>
      <c r="B174" s="194" t="s">
        <v>102</v>
      </c>
      <c r="C174" s="194"/>
      <c r="D174" s="194"/>
      <c r="E174" s="194"/>
      <c r="F174" s="248" t="s">
        <v>82</v>
      </c>
      <c r="G174" s="975"/>
      <c r="I174" s="202" t="s">
        <v>85</v>
      </c>
      <c r="J174" s="202"/>
      <c r="K174" s="202" t="s">
        <v>191</v>
      </c>
      <c r="L174" s="202"/>
      <c r="M174" s="202"/>
      <c r="N174" s="202"/>
      <c r="O174" s="202"/>
    </row>
    <row r="175" spans="1:19" ht="15.75" x14ac:dyDescent="0.25">
      <c r="A175" s="192" t="s">
        <v>5</v>
      </c>
      <c r="B175" s="194" t="s">
        <v>103</v>
      </c>
      <c r="C175" s="194"/>
      <c r="D175" s="194"/>
      <c r="E175" s="194"/>
      <c r="F175" s="248" t="s">
        <v>82</v>
      </c>
      <c r="G175" s="975"/>
      <c r="I175" s="202" t="s">
        <v>86</v>
      </c>
      <c r="J175" s="202"/>
      <c r="K175" s="202" t="s">
        <v>192</v>
      </c>
      <c r="L175" s="202"/>
      <c r="M175" s="202"/>
      <c r="N175" s="202"/>
      <c r="O175" s="202"/>
    </row>
    <row r="176" spans="1:19" ht="15.75" x14ac:dyDescent="0.25">
      <c r="A176" s="192" t="s">
        <v>109</v>
      </c>
      <c r="B176" s="194" t="s">
        <v>104</v>
      </c>
      <c r="C176" s="194"/>
      <c r="D176" s="194"/>
      <c r="E176" s="194"/>
      <c r="F176" s="248" t="s">
        <v>82</v>
      </c>
      <c r="G176" s="975"/>
      <c r="I176" s="202" t="s">
        <v>87</v>
      </c>
      <c r="J176" s="202"/>
      <c r="K176" s="202" t="s">
        <v>193</v>
      </c>
      <c r="L176" s="202"/>
      <c r="M176" s="202"/>
      <c r="N176" s="202"/>
      <c r="O176" s="202"/>
    </row>
    <row r="177" spans="1:26" ht="15.75" x14ac:dyDescent="0.25">
      <c r="A177" s="192" t="s">
        <v>110</v>
      </c>
      <c r="B177" s="194" t="s">
        <v>105</v>
      </c>
      <c r="C177" s="194"/>
      <c r="D177" s="194"/>
      <c r="E177" s="194"/>
      <c r="F177" s="248" t="s">
        <v>83</v>
      </c>
      <c r="G177" s="975"/>
      <c r="I177" s="203" t="s">
        <v>88</v>
      </c>
      <c r="J177" s="203"/>
      <c r="K177" s="203" t="s">
        <v>194</v>
      </c>
      <c r="L177" s="203"/>
      <c r="M177" s="203"/>
      <c r="N177" s="203"/>
      <c r="O177" s="203"/>
    </row>
    <row r="178" spans="1:26" ht="15.75" x14ac:dyDescent="0.25">
      <c r="A178" s="195" t="s">
        <v>6</v>
      </c>
      <c r="B178" s="197" t="s">
        <v>106</v>
      </c>
      <c r="C178" s="197"/>
      <c r="D178" s="197"/>
      <c r="E178" s="197"/>
      <c r="F178" s="249" t="s">
        <v>83</v>
      </c>
      <c r="G178" s="976"/>
    </row>
    <row r="179" spans="1:26" ht="15.75" x14ac:dyDescent="0.25">
      <c r="A179" s="81"/>
      <c r="B179" s="81"/>
      <c r="C179" s="81"/>
      <c r="D179" s="81"/>
      <c r="E179" s="81"/>
      <c r="F179" s="245" t="s">
        <v>111</v>
      </c>
      <c r="G179" s="186">
        <f>SUM(G173:G178)</f>
        <v>0</v>
      </c>
    </row>
    <row r="180" spans="1:26" ht="15.75" x14ac:dyDescent="0.2">
      <c r="B180" s="54" t="s">
        <v>215</v>
      </c>
      <c r="C180" s="52"/>
      <c r="D180" s="52"/>
      <c r="E180" s="52"/>
      <c r="F180" s="223" t="str">
        <f>IF(G179&lt;11,$I$173,IF(G179&lt;19,$I$174,IF(G179&lt;27,$I$175,IF(G179&lt;35,$I$176,IF(G179&lt;43,$I$177,"NAPAKA")))))</f>
        <v>Cenovni razred I</v>
      </c>
      <c r="G180" s="52"/>
      <c r="I180" s="234" t="s">
        <v>1160</v>
      </c>
      <c r="J180" s="374">
        <v>1.3</v>
      </c>
    </row>
    <row r="182" spans="1:26" x14ac:dyDescent="0.2">
      <c r="K182">
        <v>100</v>
      </c>
    </row>
    <row r="183" spans="1:26" ht="63.75" x14ac:dyDescent="0.2">
      <c r="B183" s="229" t="s">
        <v>217</v>
      </c>
      <c r="C183" s="294" t="s">
        <v>222</v>
      </c>
      <c r="D183" s="294" t="s">
        <v>223</v>
      </c>
      <c r="E183" s="294" t="s">
        <v>224</v>
      </c>
      <c r="F183" s="294" t="s">
        <v>225</v>
      </c>
      <c r="G183" s="294" t="s">
        <v>226</v>
      </c>
      <c r="I183" s="362" t="s">
        <v>856</v>
      </c>
      <c r="J183" s="362" t="s">
        <v>857</v>
      </c>
      <c r="K183" s="250" t="s">
        <v>865</v>
      </c>
    </row>
    <row r="184" spans="1:26" ht="15.75" x14ac:dyDescent="0.2">
      <c r="B184" s="269" t="s">
        <v>792</v>
      </c>
      <c r="C184" s="277"/>
      <c r="D184" s="277"/>
      <c r="E184" s="277"/>
      <c r="F184" s="277"/>
      <c r="G184" s="277"/>
    </row>
    <row r="185" spans="1:26" x14ac:dyDescent="0.2">
      <c r="B185" s="265" t="s">
        <v>461</v>
      </c>
      <c r="C185" s="266" t="s">
        <v>227</v>
      </c>
      <c r="D185" s="267"/>
      <c r="E185" s="267"/>
      <c r="F185" s="267"/>
      <c r="G185" s="267"/>
      <c r="I185" s="438">
        <f>40*$J$180</f>
        <v>52</v>
      </c>
      <c r="J185" s="438">
        <f>80*$J$180</f>
        <v>104</v>
      </c>
      <c r="K185" s="642">
        <v>-40</v>
      </c>
    </row>
    <row r="186" spans="1:26" x14ac:dyDescent="0.2">
      <c r="B186" s="265" t="s">
        <v>809</v>
      </c>
      <c r="C186" s="266" t="s">
        <v>227</v>
      </c>
      <c r="D186" s="267"/>
      <c r="E186" s="267"/>
      <c r="F186" s="267"/>
      <c r="G186" s="267"/>
      <c r="I186" s="438">
        <f>40*$J$180</f>
        <v>52</v>
      </c>
      <c r="J186" s="438">
        <f>60*$J$180</f>
        <v>78</v>
      </c>
      <c r="K186" s="642">
        <v>-50</v>
      </c>
    </row>
    <row r="187" spans="1:26" ht="25.5" x14ac:dyDescent="0.2">
      <c r="B187" s="265" t="s">
        <v>755</v>
      </c>
      <c r="C187" s="266" t="s">
        <v>227</v>
      </c>
      <c r="D187" s="266" t="s">
        <v>227</v>
      </c>
      <c r="E187" s="267"/>
      <c r="F187" s="267"/>
      <c r="G187" s="267"/>
      <c r="I187" s="438">
        <f>40*$J$180</f>
        <v>52</v>
      </c>
      <c r="J187" s="438">
        <f>80*$J$180</f>
        <v>104</v>
      </c>
      <c r="K187" s="642">
        <v>-40</v>
      </c>
    </row>
    <row r="188" spans="1:26" ht="25.5" x14ac:dyDescent="0.2">
      <c r="B188" s="265" t="s">
        <v>756</v>
      </c>
      <c r="C188" s="267"/>
      <c r="D188" s="267"/>
      <c r="E188" s="266" t="s">
        <v>227</v>
      </c>
      <c r="F188" s="267"/>
      <c r="G188" s="267"/>
      <c r="I188" s="438">
        <f>60*$J$180</f>
        <v>78</v>
      </c>
      <c r="J188" s="438">
        <f>120*$J$180</f>
        <v>156</v>
      </c>
      <c r="K188" s="642">
        <v>-10</v>
      </c>
    </row>
    <row r="189" spans="1:26" ht="25.5" x14ac:dyDescent="0.2">
      <c r="B189" s="265" t="s">
        <v>810</v>
      </c>
      <c r="C189" s="267"/>
      <c r="D189" s="267"/>
      <c r="E189" s="267"/>
      <c r="F189" s="266" t="s">
        <v>227</v>
      </c>
      <c r="G189" s="267"/>
      <c r="I189" s="438">
        <f t="shared" ref="I189:I195" si="48">60*$J$180</f>
        <v>78</v>
      </c>
      <c r="J189" s="438">
        <f t="shared" ref="J189:J195" si="49">120*$J$180</f>
        <v>156</v>
      </c>
      <c r="K189" s="642">
        <v>-10</v>
      </c>
    </row>
    <row r="190" spans="1:26" ht="25.5" x14ac:dyDescent="0.25">
      <c r="B190" s="265" t="s">
        <v>757</v>
      </c>
      <c r="C190" s="267"/>
      <c r="D190" s="266" t="s">
        <v>227</v>
      </c>
      <c r="E190" s="266" t="s">
        <v>227</v>
      </c>
      <c r="F190" s="267"/>
      <c r="G190" s="267"/>
      <c r="I190" s="438">
        <f t="shared" si="48"/>
        <v>78</v>
      </c>
      <c r="J190" s="438">
        <f t="shared" si="49"/>
        <v>156</v>
      </c>
      <c r="K190" s="642">
        <v>-10</v>
      </c>
      <c r="Q190" s="63"/>
      <c r="R190" s="63"/>
      <c r="S190" s="63"/>
      <c r="T190" s="18"/>
      <c r="U190" s="18"/>
      <c r="V190" s="18"/>
      <c r="W190" s="18"/>
      <c r="X190" s="18"/>
      <c r="Y190" s="18"/>
      <c r="Z190" s="18"/>
    </row>
    <row r="191" spans="1:26" x14ac:dyDescent="0.2">
      <c r="B191" s="265" t="s">
        <v>605</v>
      </c>
      <c r="C191" s="267"/>
      <c r="D191" s="267"/>
      <c r="E191" s="266" t="s">
        <v>227</v>
      </c>
      <c r="F191" s="267"/>
      <c r="G191" s="267"/>
      <c r="I191" s="438">
        <f t="shared" si="48"/>
        <v>78</v>
      </c>
      <c r="J191" s="438">
        <f t="shared" si="49"/>
        <v>156</v>
      </c>
      <c r="K191" s="642">
        <v>-10</v>
      </c>
    </row>
    <row r="192" spans="1:26" ht="38.25" x14ac:dyDescent="0.2">
      <c r="B192" s="268" t="s">
        <v>606</v>
      </c>
      <c r="C192" s="267" t="s">
        <v>227</v>
      </c>
      <c r="D192" s="267" t="s">
        <v>227</v>
      </c>
      <c r="E192" s="267"/>
      <c r="F192" s="267"/>
      <c r="G192" s="267"/>
      <c r="I192" s="438">
        <f t="shared" si="48"/>
        <v>78</v>
      </c>
      <c r="J192" s="438">
        <f t="shared" si="49"/>
        <v>156</v>
      </c>
      <c r="K192" s="642">
        <v>-10</v>
      </c>
      <c r="U192" s="77"/>
      <c r="V192" s="77"/>
      <c r="W192" s="77"/>
      <c r="X192" s="77"/>
      <c r="Y192" s="77"/>
      <c r="Z192" s="77"/>
    </row>
    <row r="193" spans="2:26" x14ac:dyDescent="0.2">
      <c r="B193" s="265" t="s">
        <v>765</v>
      </c>
      <c r="C193" s="267"/>
      <c r="D193" s="266"/>
      <c r="E193" s="266"/>
      <c r="F193" s="267" t="s">
        <v>227</v>
      </c>
      <c r="G193" s="267"/>
      <c r="I193" s="438">
        <f t="shared" si="48"/>
        <v>78</v>
      </c>
      <c r="J193" s="438">
        <f t="shared" si="49"/>
        <v>156</v>
      </c>
      <c r="K193" s="642">
        <v>-10</v>
      </c>
    </row>
    <row r="194" spans="2:26" ht="15.75" x14ac:dyDescent="0.2">
      <c r="B194" s="270" t="s">
        <v>793</v>
      </c>
      <c r="C194" s="278"/>
      <c r="D194" s="278"/>
      <c r="E194" s="278"/>
      <c r="F194" s="278"/>
      <c r="G194" s="278"/>
      <c r="I194" s="438">
        <f t="shared" si="48"/>
        <v>78</v>
      </c>
      <c r="J194" s="438">
        <f t="shared" si="49"/>
        <v>156</v>
      </c>
      <c r="K194" s="642"/>
      <c r="U194" s="77"/>
      <c r="V194" s="1294"/>
      <c r="W194" s="77"/>
      <c r="X194" s="77"/>
      <c r="Y194" s="77"/>
      <c r="Z194" s="77"/>
    </row>
    <row r="195" spans="2:26" ht="15" x14ac:dyDescent="0.2">
      <c r="B195" s="265" t="s">
        <v>761</v>
      </c>
      <c r="C195" s="267"/>
      <c r="D195" s="267" t="s">
        <v>227</v>
      </c>
      <c r="E195" s="267" t="s">
        <v>227</v>
      </c>
      <c r="F195" s="266"/>
      <c r="G195" s="267"/>
      <c r="I195" s="438">
        <f t="shared" si="48"/>
        <v>78</v>
      </c>
      <c r="J195" s="438">
        <f t="shared" si="49"/>
        <v>156</v>
      </c>
      <c r="K195" s="642">
        <v>-10</v>
      </c>
      <c r="U195" s="77"/>
      <c r="V195" s="1294"/>
      <c r="W195" s="77"/>
      <c r="X195" s="77"/>
      <c r="Y195" s="77"/>
      <c r="Z195" s="77"/>
    </row>
    <row r="196" spans="2:26" ht="15" x14ac:dyDescent="0.2">
      <c r="B196" s="265" t="s">
        <v>759</v>
      </c>
      <c r="C196" s="267"/>
      <c r="D196" s="267"/>
      <c r="E196" s="267" t="s">
        <v>227</v>
      </c>
      <c r="F196" s="267" t="s">
        <v>227</v>
      </c>
      <c r="G196" s="267"/>
      <c r="I196" s="438">
        <f>120*$J$180</f>
        <v>156</v>
      </c>
      <c r="J196" s="438">
        <f>250*$J$180</f>
        <v>325</v>
      </c>
      <c r="K196" s="642">
        <v>85</v>
      </c>
      <c r="U196" s="77"/>
      <c r="V196" s="1294"/>
      <c r="W196" s="77"/>
      <c r="X196" s="77"/>
      <c r="Y196" s="77"/>
      <c r="Z196" s="77"/>
    </row>
    <row r="197" spans="2:26" ht="15" x14ac:dyDescent="0.2">
      <c r="B197" s="265" t="s">
        <v>760</v>
      </c>
      <c r="C197" s="267"/>
      <c r="D197" s="267"/>
      <c r="E197" s="266" t="s">
        <v>227</v>
      </c>
      <c r="F197" s="266" t="s">
        <v>227</v>
      </c>
      <c r="G197" s="267"/>
      <c r="I197" s="438">
        <f t="shared" ref="I197:I202" si="50">120*$J$180</f>
        <v>156</v>
      </c>
      <c r="J197" s="438">
        <f t="shared" ref="J197:J202" si="51">250*$J$180</f>
        <v>325</v>
      </c>
      <c r="K197" s="642">
        <v>85</v>
      </c>
      <c r="U197" s="77"/>
      <c r="V197" s="1294"/>
      <c r="W197" s="77"/>
      <c r="X197" s="77"/>
      <c r="Y197" s="77"/>
      <c r="Z197" s="77"/>
    </row>
    <row r="198" spans="2:26" ht="25.5" x14ac:dyDescent="0.2">
      <c r="B198" s="265" t="s">
        <v>762</v>
      </c>
      <c r="C198" s="267"/>
      <c r="D198" s="267"/>
      <c r="E198" s="267"/>
      <c r="F198" s="266" t="s">
        <v>227</v>
      </c>
      <c r="G198" s="267"/>
      <c r="I198" s="438">
        <f t="shared" si="50"/>
        <v>156</v>
      </c>
      <c r="J198" s="438">
        <f t="shared" si="51"/>
        <v>325</v>
      </c>
      <c r="K198" s="642">
        <v>85</v>
      </c>
      <c r="U198" s="77"/>
      <c r="V198" s="1294"/>
      <c r="W198" s="77"/>
      <c r="X198" s="77"/>
      <c r="Y198" s="77"/>
      <c r="Z198" s="77"/>
    </row>
    <row r="199" spans="2:26" ht="25.5" x14ac:dyDescent="0.2">
      <c r="B199" s="265" t="s">
        <v>770</v>
      </c>
      <c r="C199" s="267"/>
      <c r="D199" s="267"/>
      <c r="E199" s="267"/>
      <c r="F199" s="266" t="s">
        <v>227</v>
      </c>
      <c r="G199" s="267" t="s">
        <v>227</v>
      </c>
      <c r="I199" s="438">
        <f t="shared" si="50"/>
        <v>156</v>
      </c>
      <c r="J199" s="438">
        <f t="shared" si="51"/>
        <v>325</v>
      </c>
      <c r="K199" s="642">
        <v>85</v>
      </c>
      <c r="U199" s="77"/>
      <c r="V199" s="1294"/>
      <c r="W199" s="77"/>
      <c r="X199" s="77"/>
      <c r="Y199" s="77"/>
      <c r="Z199" s="77"/>
    </row>
    <row r="200" spans="2:26" ht="25.5" x14ac:dyDescent="0.2">
      <c r="B200" s="265" t="s">
        <v>763</v>
      </c>
      <c r="C200" s="267"/>
      <c r="D200" s="267"/>
      <c r="E200" s="267"/>
      <c r="F200" s="266" t="s">
        <v>227</v>
      </c>
      <c r="G200" s="267" t="s">
        <v>227</v>
      </c>
      <c r="I200" s="438">
        <f t="shared" si="50"/>
        <v>156</v>
      </c>
      <c r="J200" s="438">
        <f t="shared" si="51"/>
        <v>325</v>
      </c>
      <c r="K200" s="642">
        <v>85</v>
      </c>
      <c r="U200" s="77"/>
      <c r="V200" s="1294"/>
      <c r="W200" s="77"/>
      <c r="X200" s="77"/>
      <c r="Y200" s="77"/>
      <c r="Z200" s="77"/>
    </row>
    <row r="201" spans="2:26" ht="15" x14ac:dyDescent="0.2">
      <c r="B201" s="265" t="s">
        <v>769</v>
      </c>
      <c r="C201" s="267"/>
      <c r="D201" s="267"/>
      <c r="E201" s="267" t="s">
        <v>227</v>
      </c>
      <c r="F201" s="266" t="s">
        <v>227</v>
      </c>
      <c r="G201" s="267"/>
      <c r="I201" s="438">
        <f t="shared" si="50"/>
        <v>156</v>
      </c>
      <c r="J201" s="438">
        <f t="shared" si="51"/>
        <v>325</v>
      </c>
      <c r="K201" s="642">
        <v>85</v>
      </c>
      <c r="U201" s="77"/>
      <c r="V201" s="1294"/>
      <c r="W201" s="77"/>
      <c r="X201" s="77"/>
      <c r="Y201" s="77"/>
      <c r="Z201" s="77"/>
    </row>
    <row r="202" spans="2:26" ht="15" x14ac:dyDescent="0.2">
      <c r="B202" s="265" t="s">
        <v>764</v>
      </c>
      <c r="C202" s="267"/>
      <c r="D202" s="267"/>
      <c r="E202" s="267"/>
      <c r="F202" s="266" t="s">
        <v>227</v>
      </c>
      <c r="G202" s="267" t="s">
        <v>227</v>
      </c>
      <c r="I202" s="438">
        <f t="shared" si="50"/>
        <v>156</v>
      </c>
      <c r="J202" s="438">
        <f t="shared" si="51"/>
        <v>325</v>
      </c>
      <c r="K202" s="642">
        <v>85</v>
      </c>
      <c r="U202" s="77"/>
      <c r="V202" s="1294"/>
      <c r="W202" s="77"/>
      <c r="X202" s="77"/>
      <c r="Y202" s="77"/>
      <c r="Z202" s="77"/>
    </row>
    <row r="203" spans="2:26" ht="25.5" x14ac:dyDescent="0.2">
      <c r="B203" s="265" t="s">
        <v>758</v>
      </c>
      <c r="C203" s="267"/>
      <c r="D203" s="266" t="s">
        <v>227</v>
      </c>
      <c r="E203" s="267"/>
      <c r="F203" s="267"/>
      <c r="G203" s="267"/>
      <c r="I203" s="438">
        <f>60*$J$180</f>
        <v>78</v>
      </c>
      <c r="J203" s="438">
        <f>120*$J$180</f>
        <v>156</v>
      </c>
      <c r="K203" s="642">
        <v>-10</v>
      </c>
      <c r="Q203" s="75"/>
      <c r="R203" s="75"/>
      <c r="S203" s="75"/>
      <c r="T203" s="75"/>
      <c r="U203" s="75"/>
      <c r="V203" s="75"/>
      <c r="W203" s="75"/>
      <c r="X203" s="75"/>
      <c r="Y203" s="75"/>
      <c r="Z203" s="75"/>
    </row>
    <row r="204" spans="2:26" ht="25.5" x14ac:dyDescent="0.2">
      <c r="B204" s="265" t="s">
        <v>811</v>
      </c>
      <c r="C204" s="267"/>
      <c r="D204" s="267" t="s">
        <v>227</v>
      </c>
      <c r="E204" s="267" t="s">
        <v>227</v>
      </c>
      <c r="F204" s="267"/>
      <c r="G204" s="267"/>
      <c r="I204" s="438">
        <f>60*$J$180</f>
        <v>78</v>
      </c>
      <c r="J204" s="438">
        <f>120*$J$180</f>
        <v>156</v>
      </c>
      <c r="K204" s="642">
        <v>-10</v>
      </c>
      <c r="Q204" s="75"/>
      <c r="R204" s="75"/>
      <c r="S204" s="75"/>
      <c r="T204" s="75"/>
      <c r="U204" s="75"/>
      <c r="V204" s="75"/>
      <c r="W204" s="75"/>
      <c r="X204" s="75"/>
      <c r="Y204" s="75"/>
      <c r="Z204" s="75"/>
    </row>
    <row r="205" spans="2:26" ht="25.5" x14ac:dyDescent="0.2">
      <c r="B205" s="265" t="s">
        <v>618</v>
      </c>
      <c r="C205" s="267"/>
      <c r="D205" s="267"/>
      <c r="E205" s="266" t="s">
        <v>227</v>
      </c>
      <c r="F205" s="267"/>
      <c r="G205" s="267"/>
      <c r="I205" s="438">
        <f>60*$J$180</f>
        <v>78</v>
      </c>
      <c r="J205" s="438">
        <f>120*$J$180</f>
        <v>156</v>
      </c>
      <c r="K205" s="642">
        <v>-10</v>
      </c>
    </row>
    <row r="206" spans="2:26" ht="51" x14ac:dyDescent="0.2">
      <c r="B206" s="265" t="s">
        <v>619</v>
      </c>
      <c r="C206" s="267"/>
      <c r="D206" s="267"/>
      <c r="E206" s="266"/>
      <c r="F206" s="267" t="s">
        <v>227</v>
      </c>
      <c r="G206" s="267" t="s">
        <v>227</v>
      </c>
      <c r="I206" s="438">
        <f>120*$J$180</f>
        <v>156</v>
      </c>
      <c r="J206" s="438">
        <f>250*$J$180</f>
        <v>325</v>
      </c>
      <c r="K206" s="642">
        <v>85</v>
      </c>
    </row>
    <row r="207" spans="2:26" x14ac:dyDescent="0.2">
      <c r="B207" s="265" t="s">
        <v>766</v>
      </c>
      <c r="C207" s="267"/>
      <c r="D207" s="267"/>
      <c r="E207" s="267"/>
      <c r="F207" s="266" t="s">
        <v>227</v>
      </c>
      <c r="G207" s="267" t="s">
        <v>227</v>
      </c>
      <c r="I207" s="438">
        <f>120*$J$180</f>
        <v>156</v>
      </c>
      <c r="J207" s="438">
        <f>250*$J$180</f>
        <v>325</v>
      </c>
      <c r="K207" s="642">
        <v>85</v>
      </c>
    </row>
    <row r="208" spans="2:26" ht="25.5" x14ac:dyDescent="0.2">
      <c r="B208" s="265" t="s">
        <v>617</v>
      </c>
      <c r="C208" s="267"/>
      <c r="D208" s="267"/>
      <c r="E208" s="267"/>
      <c r="F208" s="267"/>
      <c r="G208" s="266" t="s">
        <v>227</v>
      </c>
      <c r="I208" s="438">
        <f>120*$J$180</f>
        <v>156</v>
      </c>
      <c r="J208" s="438">
        <f>250*$J$180</f>
        <v>325</v>
      </c>
      <c r="K208" s="642">
        <v>85</v>
      </c>
    </row>
    <row r="209" spans="2:11" x14ac:dyDescent="0.2">
      <c r="B209" s="265" t="s">
        <v>607</v>
      </c>
      <c r="C209" s="267"/>
      <c r="D209" s="267"/>
      <c r="E209" s="267" t="s">
        <v>227</v>
      </c>
      <c r="F209" s="266" t="s">
        <v>227</v>
      </c>
      <c r="G209" s="266"/>
      <c r="I209" s="438">
        <f>60*$J$180</f>
        <v>78</v>
      </c>
      <c r="J209" s="438">
        <f>120*$J$180</f>
        <v>156</v>
      </c>
      <c r="K209" s="642">
        <v>-10</v>
      </c>
    </row>
    <row r="210" spans="2:11" ht="15.75" x14ac:dyDescent="0.2">
      <c r="B210" s="270" t="s">
        <v>794</v>
      </c>
      <c r="C210" s="278"/>
      <c r="D210" s="278"/>
      <c r="E210" s="278"/>
      <c r="F210" s="278"/>
      <c r="G210" s="278"/>
      <c r="I210" s="438"/>
      <c r="J210" s="438"/>
      <c r="K210" s="642"/>
    </row>
    <row r="211" spans="2:11" x14ac:dyDescent="0.2">
      <c r="B211" s="265" t="s">
        <v>462</v>
      </c>
      <c r="C211" s="267"/>
      <c r="D211" s="267"/>
      <c r="E211" s="267"/>
      <c r="F211" s="267"/>
      <c r="G211" s="266" t="s">
        <v>227</v>
      </c>
      <c r="I211" s="438">
        <v>180</v>
      </c>
      <c r="J211" s="438">
        <v>240</v>
      </c>
      <c r="K211" s="642">
        <v>110</v>
      </c>
    </row>
    <row r="212" spans="2:11" ht="25.5" x14ac:dyDescent="0.2">
      <c r="B212" s="265" t="s">
        <v>812</v>
      </c>
      <c r="C212" s="267"/>
      <c r="D212" s="267"/>
      <c r="E212" s="267"/>
      <c r="F212" s="266" t="s">
        <v>227</v>
      </c>
      <c r="G212" s="266" t="s">
        <v>227</v>
      </c>
      <c r="I212" s="438">
        <v>180</v>
      </c>
      <c r="J212" s="438">
        <v>240</v>
      </c>
      <c r="K212" s="642">
        <v>110</v>
      </c>
    </row>
    <row r="213" spans="2:11" x14ac:dyDescent="0.2">
      <c r="B213" s="265" t="s">
        <v>813</v>
      </c>
      <c r="C213" s="267"/>
      <c r="D213" s="267"/>
      <c r="E213" s="267"/>
      <c r="F213" s="266" t="s">
        <v>227</v>
      </c>
      <c r="G213" s="266" t="s">
        <v>227</v>
      </c>
      <c r="I213" s="438">
        <v>180</v>
      </c>
      <c r="J213" s="438">
        <v>240</v>
      </c>
      <c r="K213" s="642">
        <v>110</v>
      </c>
    </row>
    <row r="214" spans="2:11" x14ac:dyDescent="0.2">
      <c r="B214" s="265" t="s">
        <v>814</v>
      </c>
      <c r="C214" s="267"/>
      <c r="D214" s="267"/>
      <c r="E214" s="267"/>
      <c r="F214" s="266" t="s">
        <v>227</v>
      </c>
      <c r="G214" s="266" t="s">
        <v>227</v>
      </c>
      <c r="I214" s="438">
        <v>180</v>
      </c>
      <c r="J214" s="438">
        <v>240</v>
      </c>
      <c r="K214" s="642">
        <v>110</v>
      </c>
    </row>
    <row r="215" spans="2:11" ht="15.75" x14ac:dyDescent="0.2">
      <c r="B215" s="270" t="s">
        <v>795</v>
      </c>
      <c r="C215" s="278"/>
      <c r="D215" s="278"/>
      <c r="E215" s="278"/>
      <c r="F215" s="278"/>
      <c r="G215" s="278"/>
      <c r="I215" s="438"/>
      <c r="J215" s="438"/>
      <c r="K215" s="642"/>
    </row>
    <row r="216" spans="2:11" x14ac:dyDescent="0.2">
      <c r="B216" s="265" t="s">
        <v>767</v>
      </c>
      <c r="C216" s="266" t="s">
        <v>227</v>
      </c>
      <c r="D216" s="266" t="s">
        <v>227</v>
      </c>
      <c r="E216" s="267"/>
      <c r="F216" s="267"/>
      <c r="G216" s="267"/>
      <c r="I216" s="438">
        <f>40*$J$180</f>
        <v>52</v>
      </c>
      <c r="J216" s="438">
        <f>60*$J$180</f>
        <v>78</v>
      </c>
      <c r="K216" s="642">
        <v>-50</v>
      </c>
    </row>
    <row r="217" spans="2:11" x14ac:dyDescent="0.2">
      <c r="B217" s="265" t="s">
        <v>608</v>
      </c>
      <c r="C217" s="267"/>
      <c r="D217" s="266"/>
      <c r="E217" s="267"/>
      <c r="F217" s="267" t="s">
        <v>227</v>
      </c>
      <c r="G217" s="267" t="s">
        <v>227</v>
      </c>
      <c r="I217" s="438">
        <f>60*$J$180</f>
        <v>78</v>
      </c>
      <c r="J217" s="438">
        <f>120*$J$180</f>
        <v>156</v>
      </c>
      <c r="K217" s="642">
        <v>-10</v>
      </c>
    </row>
    <row r="218" spans="2:11" x14ac:dyDescent="0.2">
      <c r="B218" s="265" t="s">
        <v>609</v>
      </c>
      <c r="C218" s="267"/>
      <c r="D218" s="266" t="s">
        <v>227</v>
      </c>
      <c r="E218" s="266"/>
      <c r="F218" s="267"/>
      <c r="G218" s="267"/>
      <c r="I218" s="438">
        <f>60*$J$180</f>
        <v>78</v>
      </c>
      <c r="J218" s="438">
        <f>120*$J$180</f>
        <v>156</v>
      </c>
      <c r="K218" s="642">
        <v>-10</v>
      </c>
    </row>
    <row r="219" spans="2:11" ht="25.5" x14ac:dyDescent="0.2">
      <c r="B219" s="265" t="s">
        <v>815</v>
      </c>
      <c r="C219" s="267"/>
      <c r="D219" s="267" t="s">
        <v>227</v>
      </c>
      <c r="E219" s="266" t="s">
        <v>227</v>
      </c>
      <c r="F219" s="267"/>
      <c r="G219" s="267"/>
      <c r="I219" s="438">
        <f>40*$J$180</f>
        <v>52</v>
      </c>
      <c r="J219" s="438">
        <f>80*$J$180</f>
        <v>104</v>
      </c>
      <c r="K219" s="642">
        <v>-40</v>
      </c>
    </row>
    <row r="220" spans="2:11" ht="38.25" x14ac:dyDescent="0.2">
      <c r="B220" s="265" t="s">
        <v>610</v>
      </c>
      <c r="C220" s="267"/>
      <c r="D220" s="267"/>
      <c r="E220" s="266" t="s">
        <v>227</v>
      </c>
      <c r="F220" s="266" t="s">
        <v>227</v>
      </c>
      <c r="G220" s="267"/>
      <c r="I220" s="438">
        <f>60*$J$180</f>
        <v>78</v>
      </c>
      <c r="J220" s="438">
        <f>120*$J$180</f>
        <v>156</v>
      </c>
      <c r="K220" s="642">
        <v>-10</v>
      </c>
    </row>
    <row r="221" spans="2:11" ht="25.5" x14ac:dyDescent="0.2">
      <c r="B221" s="265" t="s">
        <v>768</v>
      </c>
      <c r="C221" s="267"/>
      <c r="D221" s="267"/>
      <c r="E221" s="267" t="s">
        <v>227</v>
      </c>
      <c r="F221" s="266" t="s">
        <v>227</v>
      </c>
      <c r="G221" s="267"/>
      <c r="I221" s="438">
        <f>60*$J$180</f>
        <v>78</v>
      </c>
      <c r="J221" s="438">
        <f>120*$J$180</f>
        <v>156</v>
      </c>
      <c r="K221" s="642">
        <v>-10</v>
      </c>
    </row>
    <row r="222" spans="2:11" x14ac:dyDescent="0.2">
      <c r="B222" s="265" t="s">
        <v>463</v>
      </c>
      <c r="C222" s="267"/>
      <c r="D222" s="267"/>
      <c r="E222" s="267"/>
      <c r="F222" s="266" t="s">
        <v>227</v>
      </c>
      <c r="G222" s="267"/>
      <c r="I222" s="438">
        <f t="shared" ref="I222:I228" si="52">120*$J$180</f>
        <v>156</v>
      </c>
      <c r="J222" s="438">
        <f t="shared" ref="J222:J228" si="53">250*$J$180</f>
        <v>325</v>
      </c>
      <c r="K222" s="642">
        <v>85</v>
      </c>
    </row>
    <row r="223" spans="2:11" ht="25.5" x14ac:dyDescent="0.2">
      <c r="B223" s="265" t="s">
        <v>816</v>
      </c>
      <c r="C223" s="267"/>
      <c r="D223" s="267"/>
      <c r="E223" s="267"/>
      <c r="F223" s="266" t="s">
        <v>227</v>
      </c>
      <c r="G223" s="266" t="s">
        <v>227</v>
      </c>
      <c r="I223" s="438">
        <f t="shared" si="52"/>
        <v>156</v>
      </c>
      <c r="J223" s="438">
        <f t="shared" si="53"/>
        <v>325</v>
      </c>
      <c r="K223" s="642">
        <v>85</v>
      </c>
    </row>
    <row r="224" spans="2:11" x14ac:dyDescent="0.2">
      <c r="B224" s="265" t="s">
        <v>817</v>
      </c>
      <c r="C224" s="267"/>
      <c r="D224" s="267"/>
      <c r="E224" s="267"/>
      <c r="F224" s="266" t="s">
        <v>227</v>
      </c>
      <c r="G224" s="266" t="s">
        <v>227</v>
      </c>
      <c r="I224" s="438">
        <f t="shared" si="52"/>
        <v>156</v>
      </c>
      <c r="J224" s="438">
        <f t="shared" si="53"/>
        <v>325</v>
      </c>
      <c r="K224" s="642">
        <v>85</v>
      </c>
    </row>
    <row r="225" spans="2:11" x14ac:dyDescent="0.2">
      <c r="B225" s="265" t="s">
        <v>820</v>
      </c>
      <c r="C225" s="267"/>
      <c r="D225" s="267"/>
      <c r="E225" s="267"/>
      <c r="F225" s="266" t="s">
        <v>227</v>
      </c>
      <c r="G225" s="266" t="s">
        <v>227</v>
      </c>
      <c r="I225" s="438">
        <f t="shared" si="52"/>
        <v>156</v>
      </c>
      <c r="J225" s="438">
        <f t="shared" si="53"/>
        <v>325</v>
      </c>
      <c r="K225" s="642">
        <v>85</v>
      </c>
    </row>
    <row r="226" spans="2:11" x14ac:dyDescent="0.2">
      <c r="B226" s="265" t="s">
        <v>818</v>
      </c>
      <c r="C226" s="267"/>
      <c r="D226" s="267"/>
      <c r="E226" s="267"/>
      <c r="F226" s="266" t="s">
        <v>227</v>
      </c>
      <c r="G226" s="267"/>
      <c r="I226" s="438">
        <f t="shared" si="52"/>
        <v>156</v>
      </c>
      <c r="J226" s="438">
        <f t="shared" si="53"/>
        <v>325</v>
      </c>
      <c r="K226" s="642">
        <v>85</v>
      </c>
    </row>
    <row r="227" spans="2:11" ht="15.75" x14ac:dyDescent="0.2">
      <c r="B227" s="270" t="s">
        <v>796</v>
      </c>
      <c r="C227" s="278"/>
      <c r="D227" s="278"/>
      <c r="E227" s="278"/>
      <c r="F227" s="278"/>
      <c r="G227" s="278"/>
      <c r="I227" s="438">
        <f t="shared" si="52"/>
        <v>156</v>
      </c>
      <c r="J227" s="438">
        <f t="shared" si="53"/>
        <v>325</v>
      </c>
      <c r="K227" s="642"/>
    </row>
    <row r="228" spans="2:11" x14ac:dyDescent="0.2">
      <c r="B228" s="265" t="s">
        <v>464</v>
      </c>
      <c r="C228" s="267"/>
      <c r="D228" s="267"/>
      <c r="E228" s="267"/>
      <c r="F228" s="266" t="s">
        <v>227</v>
      </c>
      <c r="G228" s="267"/>
      <c r="I228" s="438">
        <f t="shared" si="52"/>
        <v>156</v>
      </c>
      <c r="J228" s="438">
        <f t="shared" si="53"/>
        <v>325</v>
      </c>
      <c r="K228" s="642">
        <v>85</v>
      </c>
    </row>
    <row r="229" spans="2:11" x14ac:dyDescent="0.2">
      <c r="B229" s="265" t="s">
        <v>611</v>
      </c>
      <c r="C229" s="267"/>
      <c r="D229" s="267"/>
      <c r="E229" s="266" t="s">
        <v>227</v>
      </c>
      <c r="F229" s="266" t="s">
        <v>227</v>
      </c>
      <c r="G229" s="267"/>
      <c r="I229" s="438">
        <f>60*$J$180</f>
        <v>78</v>
      </c>
      <c r="J229" s="438">
        <f>120*$J$180</f>
        <v>156</v>
      </c>
      <c r="K229" s="642">
        <v>-10</v>
      </c>
    </row>
    <row r="230" spans="2:11" ht="25.5" x14ac:dyDescent="0.2">
      <c r="B230" s="265" t="s">
        <v>819</v>
      </c>
      <c r="C230" s="267"/>
      <c r="D230" s="267"/>
      <c r="E230" s="267" t="s">
        <v>227</v>
      </c>
      <c r="F230" s="266" t="s">
        <v>227</v>
      </c>
      <c r="G230" s="266"/>
      <c r="I230" s="438">
        <f>60*$J$180</f>
        <v>78</v>
      </c>
      <c r="J230" s="438">
        <f>120*$J$180</f>
        <v>156</v>
      </c>
      <c r="K230" s="642">
        <v>-10</v>
      </c>
    </row>
    <row r="231" spans="2:11" ht="25.5" x14ac:dyDescent="0.2">
      <c r="B231" s="265" t="s">
        <v>465</v>
      </c>
      <c r="C231" s="267"/>
      <c r="D231" s="267"/>
      <c r="E231" s="267"/>
      <c r="F231" s="266" t="s">
        <v>227</v>
      </c>
      <c r="G231" s="266" t="s">
        <v>227</v>
      </c>
      <c r="I231" s="438">
        <f t="shared" ref="I231:I242" si="54">120*$J$180</f>
        <v>156</v>
      </c>
      <c r="J231" s="438">
        <f t="shared" ref="J231:J242" si="55">250*$J$180</f>
        <v>325</v>
      </c>
      <c r="K231" s="642">
        <v>85</v>
      </c>
    </row>
    <row r="232" spans="2:11" x14ac:dyDescent="0.2">
      <c r="B232" s="265" t="s">
        <v>612</v>
      </c>
      <c r="C232" s="267"/>
      <c r="D232" s="267"/>
      <c r="E232" s="267"/>
      <c r="F232" s="266"/>
      <c r="G232" s="266" t="s">
        <v>227</v>
      </c>
      <c r="I232" s="438">
        <f t="shared" si="54"/>
        <v>156</v>
      </c>
      <c r="J232" s="438">
        <f t="shared" si="55"/>
        <v>325</v>
      </c>
      <c r="K232" s="642">
        <v>85</v>
      </c>
    </row>
    <row r="233" spans="2:11" ht="25.5" x14ac:dyDescent="0.2">
      <c r="B233" s="265" t="s">
        <v>613</v>
      </c>
      <c r="C233" s="267"/>
      <c r="D233" s="267"/>
      <c r="E233" s="267"/>
      <c r="F233" s="266" t="s">
        <v>227</v>
      </c>
      <c r="G233" s="266"/>
      <c r="I233" s="438">
        <f t="shared" si="54"/>
        <v>156</v>
      </c>
      <c r="J233" s="438">
        <f t="shared" si="55"/>
        <v>325</v>
      </c>
      <c r="K233" s="642">
        <v>85</v>
      </c>
    </row>
    <row r="234" spans="2:11" ht="25.5" x14ac:dyDescent="0.2">
      <c r="B234" s="265" t="s">
        <v>614</v>
      </c>
      <c r="C234" s="267"/>
      <c r="D234" s="267"/>
      <c r="E234" s="267" t="s">
        <v>227</v>
      </c>
      <c r="F234" s="267" t="s">
        <v>227</v>
      </c>
      <c r="G234" s="266"/>
      <c r="I234" s="438">
        <f t="shared" si="54"/>
        <v>156</v>
      </c>
      <c r="J234" s="438">
        <f t="shared" si="55"/>
        <v>325</v>
      </c>
      <c r="K234" s="642">
        <v>85</v>
      </c>
    </row>
    <row r="235" spans="2:11" x14ac:dyDescent="0.2">
      <c r="B235" s="265" t="s">
        <v>615</v>
      </c>
      <c r="C235" s="267"/>
      <c r="D235" s="267"/>
      <c r="E235" s="267"/>
      <c r="F235" s="266"/>
      <c r="G235" s="267" t="s">
        <v>227</v>
      </c>
      <c r="I235" s="438">
        <f t="shared" si="54"/>
        <v>156</v>
      </c>
      <c r="J235" s="438">
        <f t="shared" si="55"/>
        <v>325</v>
      </c>
      <c r="K235" s="642">
        <v>85</v>
      </c>
    </row>
    <row r="236" spans="2:11" x14ac:dyDescent="0.2">
      <c r="B236" s="265" t="s">
        <v>616</v>
      </c>
      <c r="C236" s="267"/>
      <c r="D236" s="267" t="s">
        <v>227</v>
      </c>
      <c r="E236" s="267" t="s">
        <v>227</v>
      </c>
      <c r="F236" s="267"/>
      <c r="G236" s="266"/>
      <c r="I236" s="438">
        <f t="shared" si="54"/>
        <v>156</v>
      </c>
      <c r="J236" s="438">
        <f t="shared" si="55"/>
        <v>325</v>
      </c>
      <c r="K236" s="642">
        <v>85</v>
      </c>
    </row>
    <row r="237" spans="2:11" ht="15.75" x14ac:dyDescent="0.25">
      <c r="B237" s="271" t="s">
        <v>797</v>
      </c>
      <c r="C237" s="279"/>
      <c r="D237" s="279"/>
      <c r="E237" s="279"/>
      <c r="F237" s="279"/>
      <c r="G237" s="279"/>
      <c r="I237" s="438">
        <f t="shared" si="54"/>
        <v>156</v>
      </c>
      <c r="J237" s="438">
        <f t="shared" si="55"/>
        <v>325</v>
      </c>
      <c r="K237" s="642"/>
    </row>
    <row r="238" spans="2:11" ht="25.5" x14ac:dyDescent="0.2">
      <c r="B238" s="265" t="s">
        <v>620</v>
      </c>
      <c r="C238" s="267"/>
      <c r="D238" s="267"/>
      <c r="E238" s="266"/>
      <c r="F238" s="267" t="s">
        <v>227</v>
      </c>
      <c r="G238" s="267" t="s">
        <v>227</v>
      </c>
      <c r="I238" s="438">
        <f t="shared" si="54"/>
        <v>156</v>
      </c>
      <c r="J238" s="438">
        <f t="shared" si="55"/>
        <v>325</v>
      </c>
      <c r="K238" s="642">
        <v>85</v>
      </c>
    </row>
    <row r="239" spans="2:11" ht="25.5" x14ac:dyDescent="0.2">
      <c r="B239" s="265" t="s">
        <v>621</v>
      </c>
      <c r="C239" s="267"/>
      <c r="D239" s="267"/>
      <c r="E239" s="266"/>
      <c r="F239" s="267" t="s">
        <v>227</v>
      </c>
      <c r="G239" s="267" t="s">
        <v>227</v>
      </c>
      <c r="I239" s="438">
        <f t="shared" si="54"/>
        <v>156</v>
      </c>
      <c r="J239" s="438">
        <f t="shared" si="55"/>
        <v>325</v>
      </c>
      <c r="K239" s="642">
        <v>85</v>
      </c>
    </row>
    <row r="240" spans="2:11" ht="25.5" x14ac:dyDescent="0.2">
      <c r="B240" s="265" t="s">
        <v>622</v>
      </c>
      <c r="C240" s="267"/>
      <c r="D240" s="267"/>
      <c r="E240" s="266" t="s">
        <v>227</v>
      </c>
      <c r="F240" s="267" t="s">
        <v>227</v>
      </c>
      <c r="G240" s="267"/>
      <c r="I240" s="438">
        <f t="shared" si="54"/>
        <v>156</v>
      </c>
      <c r="J240" s="438">
        <f t="shared" si="55"/>
        <v>325</v>
      </c>
      <c r="K240" s="642">
        <v>85</v>
      </c>
    </row>
    <row r="241" spans="1:16" x14ac:dyDescent="0.2">
      <c r="B241" s="265" t="s">
        <v>623</v>
      </c>
      <c r="C241" s="267"/>
      <c r="D241" s="267"/>
      <c r="E241" s="267" t="s">
        <v>227</v>
      </c>
      <c r="F241" s="266"/>
      <c r="G241" s="266"/>
      <c r="I241" s="438">
        <f t="shared" si="54"/>
        <v>156</v>
      </c>
      <c r="J241" s="438">
        <f t="shared" si="55"/>
        <v>325</v>
      </c>
      <c r="K241" s="642">
        <v>85</v>
      </c>
    </row>
    <row r="242" spans="1:16" ht="25.5" x14ac:dyDescent="0.2">
      <c r="B242" s="441" t="s">
        <v>771</v>
      </c>
      <c r="C242" s="442"/>
      <c r="D242" s="442"/>
      <c r="E242" s="442" t="s">
        <v>227</v>
      </c>
      <c r="F242" s="443"/>
      <c r="G242" s="443"/>
      <c r="I242" s="438">
        <f t="shared" si="54"/>
        <v>156</v>
      </c>
      <c r="J242" s="438">
        <f t="shared" si="55"/>
        <v>325</v>
      </c>
      <c r="K242" s="642">
        <v>85</v>
      </c>
    </row>
    <row r="244" spans="1:16" ht="15.75" x14ac:dyDescent="0.25">
      <c r="A244" s="364"/>
      <c r="B244" s="364" t="s">
        <v>633</v>
      </c>
      <c r="C244" s="364"/>
      <c r="D244" s="364"/>
      <c r="E244" s="364"/>
      <c r="F244" s="364"/>
      <c r="G244" s="364"/>
      <c r="H244" s="363"/>
      <c r="I244" s="364" t="s">
        <v>626</v>
      </c>
      <c r="J244" s="366"/>
      <c r="K244" s="366"/>
      <c r="L244" s="366"/>
      <c r="M244" s="366"/>
      <c r="N244" s="366"/>
      <c r="P244" s="363"/>
    </row>
    <row r="245" spans="1:16" ht="15.75" x14ac:dyDescent="0.25">
      <c r="A245" s="189" t="s">
        <v>3</v>
      </c>
      <c r="B245" s="191" t="s">
        <v>107</v>
      </c>
      <c r="C245" s="191"/>
      <c r="D245" s="191"/>
      <c r="E245" s="191"/>
      <c r="F245" s="247" t="s">
        <v>114</v>
      </c>
      <c r="G245" s="974"/>
      <c r="I245" s="201" t="s">
        <v>84</v>
      </c>
      <c r="J245" s="201"/>
      <c r="K245" s="201" t="s">
        <v>195</v>
      </c>
      <c r="L245" s="201"/>
      <c r="M245" s="201"/>
      <c r="N245" s="201"/>
      <c r="O245" s="201"/>
    </row>
    <row r="246" spans="1:16" ht="15.75" x14ac:dyDescent="0.25">
      <c r="A246" s="192" t="s">
        <v>4</v>
      </c>
      <c r="B246" s="194" t="s">
        <v>185</v>
      </c>
      <c r="C246" s="194"/>
      <c r="D246" s="194"/>
      <c r="E246" s="194"/>
      <c r="F246" s="248" t="s">
        <v>114</v>
      </c>
      <c r="G246" s="975"/>
      <c r="I246" s="202" t="s">
        <v>85</v>
      </c>
      <c r="J246" s="202"/>
      <c r="K246" s="202" t="s">
        <v>196</v>
      </c>
      <c r="L246" s="202"/>
      <c r="M246" s="202"/>
      <c r="N246" s="202"/>
      <c r="O246" s="202"/>
    </row>
    <row r="247" spans="1:16" ht="15.75" x14ac:dyDescent="0.25">
      <c r="A247" s="192" t="s">
        <v>5</v>
      </c>
      <c r="B247" s="194" t="s">
        <v>101</v>
      </c>
      <c r="C247" s="194"/>
      <c r="D247" s="194"/>
      <c r="E247" s="194"/>
      <c r="F247" s="248" t="s">
        <v>82</v>
      </c>
      <c r="G247" s="975"/>
      <c r="I247" s="202" t="s">
        <v>86</v>
      </c>
      <c r="J247" s="202"/>
      <c r="K247" s="202" t="s">
        <v>197</v>
      </c>
      <c r="L247" s="202"/>
      <c r="M247" s="202"/>
      <c r="N247" s="202"/>
      <c r="O247" s="202"/>
    </row>
    <row r="248" spans="1:16" ht="15.75" x14ac:dyDescent="0.25">
      <c r="A248" s="192" t="s">
        <v>109</v>
      </c>
      <c r="B248" s="194" t="s">
        <v>112</v>
      </c>
      <c r="C248" s="194"/>
      <c r="D248" s="194"/>
      <c r="E248" s="194"/>
      <c r="F248" s="248" t="s">
        <v>114</v>
      </c>
      <c r="G248" s="975"/>
      <c r="I248" s="202" t="s">
        <v>87</v>
      </c>
      <c r="J248" s="202"/>
      <c r="K248" s="202" t="s">
        <v>198</v>
      </c>
      <c r="L248" s="202"/>
      <c r="M248" s="202"/>
      <c r="N248" s="202"/>
      <c r="O248" s="202"/>
    </row>
    <row r="249" spans="1:16" ht="15.75" x14ac:dyDescent="0.25">
      <c r="A249" s="195" t="s">
        <v>110</v>
      </c>
      <c r="B249" s="197" t="s">
        <v>113</v>
      </c>
      <c r="C249" s="197"/>
      <c r="D249" s="197"/>
      <c r="E249" s="197"/>
      <c r="F249" s="249" t="s">
        <v>82</v>
      </c>
      <c r="G249" s="976"/>
      <c r="I249" s="203" t="s">
        <v>88</v>
      </c>
      <c r="J249" s="203"/>
      <c r="K249" s="203" t="s">
        <v>199</v>
      </c>
      <c r="L249" s="203"/>
      <c r="M249" s="203"/>
      <c r="N249" s="203"/>
      <c r="O249" s="203"/>
    </row>
    <row r="250" spans="1:16" ht="15.75" x14ac:dyDescent="0.25">
      <c r="A250" s="81"/>
      <c r="B250" s="81"/>
      <c r="C250" s="81"/>
      <c r="D250" s="81"/>
      <c r="E250" s="81"/>
      <c r="F250" s="245" t="s">
        <v>115</v>
      </c>
      <c r="G250" s="186">
        <f>SUM(G245:G249)</f>
        <v>0</v>
      </c>
    </row>
    <row r="251" spans="1:16" ht="15.75" x14ac:dyDescent="0.2">
      <c r="B251" s="54" t="s">
        <v>215</v>
      </c>
      <c r="C251" s="52"/>
      <c r="D251" s="52"/>
      <c r="E251" s="52"/>
      <c r="F251" s="246" t="str">
        <f>IF(G250&lt;9,I245,IF(G250&lt;16,I246,IF(G250&lt;23,I247,IF(G250&lt;30,I248,IF(G250&lt;37,I249,"NAPAKA")))))</f>
        <v>Cenovni razred I</v>
      </c>
      <c r="G251" s="52"/>
    </row>
    <row r="258" spans="2:7" ht="15.75" x14ac:dyDescent="0.25">
      <c r="B258" s="261" t="s">
        <v>472</v>
      </c>
      <c r="C258" s="294" t="s">
        <v>222</v>
      </c>
      <c r="D258" s="294" t="s">
        <v>223</v>
      </c>
      <c r="E258" s="294" t="s">
        <v>224</v>
      </c>
      <c r="F258" s="294" t="s">
        <v>225</v>
      </c>
      <c r="G258" s="294" t="s">
        <v>226</v>
      </c>
    </row>
    <row r="259" spans="2:7" ht="15.75" x14ac:dyDescent="0.2">
      <c r="B259" s="1309" t="s">
        <v>798</v>
      </c>
      <c r="C259" s="1309"/>
      <c r="D259" s="1309"/>
      <c r="E259" s="1309"/>
      <c r="F259" s="1309"/>
      <c r="G259" s="1309"/>
    </row>
    <row r="260" spans="2:7" ht="15" x14ac:dyDescent="0.2">
      <c r="B260" s="272" t="s">
        <v>805</v>
      </c>
      <c r="C260" s="273" t="s">
        <v>227</v>
      </c>
      <c r="D260" s="280"/>
      <c r="E260" s="273"/>
      <c r="F260" s="280"/>
      <c r="G260" s="280"/>
    </row>
    <row r="261" spans="2:7" ht="33" customHeight="1" x14ac:dyDescent="0.2">
      <c r="B261" s="1307" t="s">
        <v>799</v>
      </c>
      <c r="C261" s="1307"/>
      <c r="D261" s="1307"/>
      <c r="E261" s="1307"/>
      <c r="F261" s="1307"/>
      <c r="G261" s="1307"/>
    </row>
    <row r="262" spans="2:7" ht="15" x14ac:dyDescent="0.2">
      <c r="B262" s="272" t="s">
        <v>317</v>
      </c>
      <c r="C262" s="280"/>
      <c r="D262" s="273" t="s">
        <v>227</v>
      </c>
      <c r="E262" s="280"/>
      <c r="F262" s="280"/>
      <c r="G262" s="280"/>
    </row>
    <row r="263" spans="2:7" ht="15" x14ac:dyDescent="0.2">
      <c r="B263" s="272" t="s">
        <v>318</v>
      </c>
      <c r="C263" s="280"/>
      <c r="D263" s="273" t="s">
        <v>227</v>
      </c>
      <c r="E263" s="280"/>
      <c r="F263" s="280"/>
      <c r="G263" s="280"/>
    </row>
    <row r="264" spans="2:7" ht="15" x14ac:dyDescent="0.2">
      <c r="B264" s="272" t="s">
        <v>286</v>
      </c>
      <c r="C264" s="280"/>
      <c r="D264" s="280"/>
      <c r="E264" s="273" t="s">
        <v>227</v>
      </c>
      <c r="F264" s="280"/>
      <c r="G264" s="280"/>
    </row>
    <row r="265" spans="2:7" ht="15" x14ac:dyDescent="0.2">
      <c r="B265" s="272" t="s">
        <v>287</v>
      </c>
      <c r="C265" s="280"/>
      <c r="D265" s="280"/>
      <c r="E265" s="280"/>
      <c r="F265" s="273" t="s">
        <v>227</v>
      </c>
      <c r="G265" s="280"/>
    </row>
    <row r="266" spans="2:7" ht="15" x14ac:dyDescent="0.2">
      <c r="B266" s="272" t="s">
        <v>255</v>
      </c>
      <c r="C266" s="280"/>
      <c r="D266" s="280"/>
      <c r="E266" s="280"/>
      <c r="F266" s="281"/>
      <c r="G266" s="273" t="s">
        <v>227</v>
      </c>
    </row>
    <row r="267" spans="2:7" ht="33.75" customHeight="1" x14ac:dyDescent="0.2">
      <c r="B267" s="1307" t="s">
        <v>800</v>
      </c>
      <c r="C267" s="1307"/>
      <c r="D267" s="1307"/>
      <c r="E267" s="1307"/>
      <c r="F267" s="1307"/>
      <c r="G267" s="1307"/>
    </row>
    <row r="268" spans="2:7" ht="25.5" x14ac:dyDescent="0.2">
      <c r="B268" s="272" t="s">
        <v>466</v>
      </c>
      <c r="C268" s="280"/>
      <c r="D268" s="273" t="s">
        <v>227</v>
      </c>
      <c r="E268" s="280"/>
      <c r="F268" s="280"/>
      <c r="G268" s="280"/>
    </row>
    <row r="269" spans="2:7" ht="38.25" x14ac:dyDescent="0.2">
      <c r="B269" s="272" t="s">
        <v>264</v>
      </c>
      <c r="C269" s="273" t="s">
        <v>227</v>
      </c>
      <c r="D269" s="280"/>
      <c r="E269" s="280"/>
      <c r="F269" s="280"/>
      <c r="G269" s="280"/>
    </row>
    <row r="270" spans="2:7" ht="25.5" x14ac:dyDescent="0.2">
      <c r="B270" s="272" t="s">
        <v>263</v>
      </c>
      <c r="C270" s="280"/>
      <c r="D270" s="273" t="s">
        <v>227</v>
      </c>
      <c r="E270" s="280"/>
      <c r="F270" s="280"/>
      <c r="G270" s="280"/>
    </row>
    <row r="271" spans="2:7" ht="25.5" x14ac:dyDescent="0.2">
      <c r="B271" s="272" t="s">
        <v>273</v>
      </c>
      <c r="C271" s="281"/>
      <c r="D271" s="280"/>
      <c r="E271" s="273" t="s">
        <v>227</v>
      </c>
      <c r="F271" s="280"/>
      <c r="G271" s="280"/>
    </row>
    <row r="272" spans="2:7" ht="51" x14ac:dyDescent="0.2">
      <c r="B272" s="272" t="s">
        <v>288</v>
      </c>
      <c r="C272" s="280"/>
      <c r="D272" s="280"/>
      <c r="E272" s="280"/>
      <c r="F272" s="273" t="s">
        <v>227</v>
      </c>
      <c r="G272" s="280"/>
    </row>
    <row r="273" spans="2:7" ht="25.5" x14ac:dyDescent="0.2">
      <c r="B273" s="272" t="s">
        <v>544</v>
      </c>
      <c r="C273" s="273" t="s">
        <v>227</v>
      </c>
      <c r="D273" s="280"/>
      <c r="E273" s="280"/>
      <c r="F273" s="280"/>
      <c r="G273" s="280"/>
    </row>
    <row r="274" spans="2:7" ht="38.25" x14ac:dyDescent="0.2">
      <c r="B274" s="272" t="s">
        <v>545</v>
      </c>
      <c r="C274" s="281"/>
      <c r="D274" s="273" t="s">
        <v>227</v>
      </c>
      <c r="E274" s="280"/>
      <c r="F274" s="280"/>
      <c r="G274" s="280"/>
    </row>
    <row r="275" spans="2:7" ht="25.5" x14ac:dyDescent="0.2">
      <c r="B275" s="272" t="s">
        <v>274</v>
      </c>
      <c r="C275" s="280"/>
      <c r="D275" s="280"/>
      <c r="E275" s="273" t="s">
        <v>227</v>
      </c>
      <c r="F275" s="280"/>
      <c r="G275" s="280"/>
    </row>
    <row r="276" spans="2:7" ht="15" x14ac:dyDescent="0.2">
      <c r="B276" s="272" t="s">
        <v>289</v>
      </c>
      <c r="C276" s="280"/>
      <c r="D276" s="280"/>
      <c r="E276" s="280"/>
      <c r="F276" s="273" t="s">
        <v>227</v>
      </c>
      <c r="G276" s="280"/>
    </row>
    <row r="277" spans="2:7" ht="15" x14ac:dyDescent="0.2">
      <c r="B277" s="272" t="s">
        <v>467</v>
      </c>
      <c r="C277" s="280"/>
      <c r="D277" s="280"/>
      <c r="E277" s="280"/>
      <c r="F277" s="280"/>
      <c r="G277" s="273" t="s">
        <v>227</v>
      </c>
    </row>
    <row r="278" spans="2:7" ht="15" x14ac:dyDescent="0.2">
      <c r="B278" s="272" t="s">
        <v>265</v>
      </c>
      <c r="C278" s="280"/>
      <c r="D278" s="273" t="s">
        <v>227</v>
      </c>
      <c r="E278" s="280"/>
      <c r="F278" s="280"/>
      <c r="G278" s="280"/>
    </row>
    <row r="279" spans="2:7" ht="15" x14ac:dyDescent="0.2">
      <c r="B279" s="272" t="s">
        <v>232</v>
      </c>
      <c r="C279" s="280"/>
      <c r="D279" s="280"/>
      <c r="E279" s="273" t="s">
        <v>227</v>
      </c>
      <c r="F279" s="280"/>
      <c r="G279" s="280"/>
    </row>
    <row r="280" spans="2:7" ht="15" x14ac:dyDescent="0.2">
      <c r="B280" s="272" t="s">
        <v>290</v>
      </c>
      <c r="C280" s="280"/>
      <c r="D280" s="280"/>
      <c r="E280" s="280"/>
      <c r="F280" s="273" t="s">
        <v>227</v>
      </c>
      <c r="G280" s="280"/>
    </row>
    <row r="281" spans="2:7" ht="15" x14ac:dyDescent="0.2">
      <c r="B281" s="272" t="s">
        <v>228</v>
      </c>
      <c r="C281" s="273" t="s">
        <v>227</v>
      </c>
      <c r="D281" s="280"/>
      <c r="E281" s="280"/>
      <c r="F281" s="280"/>
      <c r="G281" s="280"/>
    </row>
    <row r="282" spans="2:7" ht="15" x14ac:dyDescent="0.2">
      <c r="B282" s="272" t="s">
        <v>266</v>
      </c>
      <c r="C282" s="280"/>
      <c r="D282" s="273" t="s">
        <v>227</v>
      </c>
      <c r="E282" s="280"/>
      <c r="F282" s="280"/>
      <c r="G282" s="280"/>
    </row>
    <row r="283" spans="2:7" ht="15" x14ac:dyDescent="0.2">
      <c r="B283" s="272" t="s">
        <v>319</v>
      </c>
      <c r="C283" s="280"/>
      <c r="D283" s="280"/>
      <c r="E283" s="273" t="s">
        <v>227</v>
      </c>
      <c r="F283" s="280"/>
      <c r="G283" s="280"/>
    </row>
    <row r="284" spans="2:7" ht="15" x14ac:dyDescent="0.2">
      <c r="B284" s="272" t="s">
        <v>320</v>
      </c>
      <c r="C284" s="280"/>
      <c r="D284" s="280"/>
      <c r="E284" s="280"/>
      <c r="F284" s="273" t="s">
        <v>227</v>
      </c>
      <c r="G284" s="280"/>
    </row>
    <row r="285" spans="2:7" ht="15" x14ac:dyDescent="0.2">
      <c r="B285" s="272" t="s">
        <v>275</v>
      </c>
      <c r="C285" s="280"/>
      <c r="D285" s="273" t="s">
        <v>227</v>
      </c>
      <c r="E285" s="280"/>
      <c r="F285" s="280"/>
      <c r="G285" s="280"/>
    </row>
    <row r="286" spans="2:7" ht="15" x14ac:dyDescent="0.2">
      <c r="B286" s="272" t="s">
        <v>233</v>
      </c>
      <c r="C286" s="280"/>
      <c r="D286" s="280"/>
      <c r="E286" s="273" t="s">
        <v>227</v>
      </c>
      <c r="F286" s="280"/>
      <c r="G286" s="280"/>
    </row>
    <row r="287" spans="2:7" ht="15" x14ac:dyDescent="0.2">
      <c r="B287" s="272" t="s">
        <v>234</v>
      </c>
      <c r="C287" s="280"/>
      <c r="D287" s="280"/>
      <c r="E287" s="273" t="s">
        <v>227</v>
      </c>
      <c r="F287" s="280"/>
      <c r="G287" s="280"/>
    </row>
    <row r="288" spans="2:7" ht="15" x14ac:dyDescent="0.2">
      <c r="B288" s="272" t="s">
        <v>243</v>
      </c>
      <c r="C288" s="280"/>
      <c r="D288" s="280"/>
      <c r="E288" s="280"/>
      <c r="F288" s="273" t="s">
        <v>227</v>
      </c>
      <c r="G288" s="280"/>
    </row>
    <row r="289" spans="2:7" ht="15" x14ac:dyDescent="0.2">
      <c r="B289" s="272" t="s">
        <v>291</v>
      </c>
      <c r="C289" s="280"/>
      <c r="D289" s="280"/>
      <c r="E289" s="273" t="s">
        <v>227</v>
      </c>
      <c r="F289" s="280"/>
      <c r="G289" s="280"/>
    </row>
    <row r="290" spans="2:7" ht="15" x14ac:dyDescent="0.2">
      <c r="B290" s="272" t="s">
        <v>292</v>
      </c>
      <c r="C290" s="280"/>
      <c r="D290" s="280"/>
      <c r="E290" s="280"/>
      <c r="F290" s="273" t="s">
        <v>227</v>
      </c>
      <c r="G290" s="280"/>
    </row>
    <row r="291" spans="2:7" ht="15" x14ac:dyDescent="0.2">
      <c r="B291" s="272" t="s">
        <v>276</v>
      </c>
      <c r="C291" s="280"/>
      <c r="D291" s="280"/>
      <c r="E291" s="273" t="s">
        <v>227</v>
      </c>
      <c r="F291" s="280"/>
      <c r="G291" s="280"/>
    </row>
    <row r="292" spans="2:7" ht="15" x14ac:dyDescent="0.2">
      <c r="B292" s="272" t="s">
        <v>244</v>
      </c>
      <c r="C292" s="280"/>
      <c r="D292" s="280"/>
      <c r="E292" s="280"/>
      <c r="F292" s="273" t="s">
        <v>227</v>
      </c>
      <c r="G292" s="280"/>
    </row>
    <row r="293" spans="2:7" ht="15" x14ac:dyDescent="0.2">
      <c r="B293" s="272" t="s">
        <v>305</v>
      </c>
      <c r="C293" s="280"/>
      <c r="D293" s="280"/>
      <c r="E293" s="280"/>
      <c r="F293" s="280"/>
      <c r="G293" s="273" t="s">
        <v>227</v>
      </c>
    </row>
    <row r="294" spans="2:7" ht="15" x14ac:dyDescent="0.2">
      <c r="B294" s="272" t="s">
        <v>293</v>
      </c>
      <c r="C294" s="280"/>
      <c r="D294" s="280"/>
      <c r="E294" s="273" t="s">
        <v>227</v>
      </c>
      <c r="F294" s="280"/>
      <c r="G294" s="280"/>
    </row>
    <row r="295" spans="2:7" ht="15" x14ac:dyDescent="0.2">
      <c r="B295" s="272" t="s">
        <v>294</v>
      </c>
      <c r="C295" s="280"/>
      <c r="D295" s="280"/>
      <c r="E295" s="280"/>
      <c r="F295" s="273" t="s">
        <v>227</v>
      </c>
      <c r="G295" s="280"/>
    </row>
    <row r="296" spans="2:7" ht="15" x14ac:dyDescent="0.2">
      <c r="B296" s="272" t="s">
        <v>306</v>
      </c>
      <c r="C296" s="280"/>
      <c r="D296" s="280"/>
      <c r="E296" s="280"/>
      <c r="F296" s="281"/>
      <c r="G296" s="273" t="s">
        <v>227</v>
      </c>
    </row>
    <row r="297" spans="2:7" ht="15" x14ac:dyDescent="0.2">
      <c r="B297" s="254" t="s">
        <v>260</v>
      </c>
      <c r="C297" s="273" t="s">
        <v>227</v>
      </c>
      <c r="D297" s="280"/>
      <c r="E297" s="280"/>
      <c r="F297" s="280"/>
      <c r="G297" s="280"/>
    </row>
    <row r="298" spans="2:7" ht="25.5" x14ac:dyDescent="0.2">
      <c r="B298" s="254" t="s">
        <v>307</v>
      </c>
      <c r="C298" s="281"/>
      <c r="D298" s="273" t="s">
        <v>227</v>
      </c>
      <c r="E298" s="280"/>
      <c r="F298" s="280"/>
      <c r="G298" s="280"/>
    </row>
    <row r="299" spans="2:7" ht="25.5" x14ac:dyDescent="0.2">
      <c r="B299" s="254" t="s">
        <v>308</v>
      </c>
      <c r="C299" s="280"/>
      <c r="D299" s="280"/>
      <c r="E299" s="273" t="s">
        <v>227</v>
      </c>
      <c r="F299" s="280"/>
      <c r="G299" s="280"/>
    </row>
    <row r="300" spans="2:7" ht="25.5" x14ac:dyDescent="0.2">
      <c r="B300" s="272" t="s">
        <v>309</v>
      </c>
      <c r="C300" s="280"/>
      <c r="D300" s="281"/>
      <c r="E300" s="280"/>
      <c r="F300" s="273" t="s">
        <v>227</v>
      </c>
      <c r="G300" s="280"/>
    </row>
    <row r="301" spans="2:7" ht="15" x14ac:dyDescent="0.2">
      <c r="B301" s="272" t="s">
        <v>256</v>
      </c>
      <c r="C301" s="280"/>
      <c r="D301" s="280"/>
      <c r="E301" s="280"/>
      <c r="F301" s="280"/>
      <c r="G301" s="273" t="s">
        <v>227</v>
      </c>
    </row>
    <row r="302" spans="2:7" ht="15" x14ac:dyDescent="0.2">
      <c r="B302" s="272" t="s">
        <v>267</v>
      </c>
      <c r="C302" s="273" t="s">
        <v>227</v>
      </c>
      <c r="D302" s="280"/>
      <c r="E302" s="280"/>
      <c r="F302" s="280"/>
      <c r="G302" s="280"/>
    </row>
    <row r="303" spans="2:7" ht="15" x14ac:dyDescent="0.2">
      <c r="B303" s="272" t="s">
        <v>229</v>
      </c>
      <c r="C303" s="280"/>
      <c r="D303" s="273" t="s">
        <v>227</v>
      </c>
      <c r="E303" s="280"/>
      <c r="F303" s="280"/>
      <c r="G303" s="280"/>
    </row>
    <row r="304" spans="2:7" ht="15" x14ac:dyDescent="0.2">
      <c r="B304" s="272" t="s">
        <v>235</v>
      </c>
      <c r="C304" s="280"/>
      <c r="D304" s="281"/>
      <c r="E304" s="273" t="s">
        <v>227</v>
      </c>
      <c r="F304" s="280"/>
      <c r="G304" s="280"/>
    </row>
    <row r="305" spans="2:7" ht="15" x14ac:dyDescent="0.2">
      <c r="B305" s="272" t="s">
        <v>238</v>
      </c>
      <c r="C305" s="280"/>
      <c r="D305" s="280"/>
      <c r="E305" s="273" t="s">
        <v>227</v>
      </c>
      <c r="F305" s="280"/>
      <c r="G305" s="280"/>
    </row>
    <row r="306" spans="2:7" ht="15" x14ac:dyDescent="0.2">
      <c r="B306" s="272" t="s">
        <v>245</v>
      </c>
      <c r="C306" s="280"/>
      <c r="D306" s="280"/>
      <c r="E306" s="280"/>
      <c r="F306" s="273" t="s">
        <v>227</v>
      </c>
      <c r="G306" s="280"/>
    </row>
    <row r="307" spans="2:7" ht="15" x14ac:dyDescent="0.2">
      <c r="B307" s="272" t="s">
        <v>257</v>
      </c>
      <c r="C307" s="280"/>
      <c r="D307" s="280"/>
      <c r="E307" s="281"/>
      <c r="F307" s="280"/>
      <c r="G307" s="273" t="s">
        <v>227</v>
      </c>
    </row>
    <row r="308" spans="2:7" ht="15" x14ac:dyDescent="0.2">
      <c r="B308" s="272" t="s">
        <v>230</v>
      </c>
      <c r="C308" s="280"/>
      <c r="D308" s="273" t="s">
        <v>227</v>
      </c>
      <c r="E308" s="280"/>
      <c r="F308" s="280"/>
      <c r="G308" s="280"/>
    </row>
    <row r="309" spans="2:7" ht="15" x14ac:dyDescent="0.2">
      <c r="B309" s="272" t="s">
        <v>236</v>
      </c>
      <c r="C309" s="280"/>
      <c r="D309" s="280"/>
      <c r="E309" s="273" t="s">
        <v>227</v>
      </c>
      <c r="F309" s="280"/>
      <c r="G309" s="280"/>
    </row>
    <row r="310" spans="2:7" ht="15" x14ac:dyDescent="0.2">
      <c r="B310" s="272" t="s">
        <v>246</v>
      </c>
      <c r="C310" s="280"/>
      <c r="D310" s="280"/>
      <c r="E310" s="280"/>
      <c r="F310" s="273" t="s">
        <v>227</v>
      </c>
      <c r="G310" s="280"/>
    </row>
    <row r="311" spans="2:7" ht="15" x14ac:dyDescent="0.2">
      <c r="B311" s="272" t="s">
        <v>310</v>
      </c>
      <c r="C311" s="280"/>
      <c r="D311" s="280"/>
      <c r="E311" s="280"/>
      <c r="F311" s="280"/>
      <c r="G311" s="273" t="s">
        <v>227</v>
      </c>
    </row>
    <row r="312" spans="2:7" ht="15" x14ac:dyDescent="0.2">
      <c r="B312" s="272" t="s">
        <v>237</v>
      </c>
      <c r="C312" s="280"/>
      <c r="D312" s="280"/>
      <c r="E312" s="273" t="s">
        <v>227</v>
      </c>
      <c r="F312" s="280"/>
      <c r="G312" s="280"/>
    </row>
    <row r="313" spans="2:7" ht="15" x14ac:dyDescent="0.2">
      <c r="B313" s="272" t="s">
        <v>247</v>
      </c>
      <c r="C313" s="280"/>
      <c r="D313" s="280"/>
      <c r="E313" s="280"/>
      <c r="F313" s="273" t="s">
        <v>227</v>
      </c>
      <c r="G313" s="280"/>
    </row>
    <row r="314" spans="2:7" ht="15" x14ac:dyDescent="0.2">
      <c r="B314" s="272" t="s">
        <v>311</v>
      </c>
      <c r="C314" s="280"/>
      <c r="D314" s="280"/>
      <c r="E314" s="280"/>
      <c r="F314" s="280"/>
      <c r="G314" s="273" t="s">
        <v>227</v>
      </c>
    </row>
    <row r="315" spans="2:7" ht="15.75" x14ac:dyDescent="0.2">
      <c r="B315" s="1307" t="s">
        <v>801</v>
      </c>
      <c r="C315" s="1307"/>
      <c r="D315" s="1307"/>
      <c r="E315" s="1307"/>
      <c r="F315" s="1307"/>
      <c r="G315" s="1307"/>
    </row>
    <row r="316" spans="2:7" ht="15.75" x14ac:dyDescent="0.2">
      <c r="B316" s="274"/>
      <c r="C316" s="274"/>
      <c r="D316" s="274"/>
      <c r="E316" s="274"/>
      <c r="F316" s="274"/>
      <c r="G316" s="274"/>
    </row>
    <row r="317" spans="2:7" ht="15.75" x14ac:dyDescent="0.2">
      <c r="B317" s="1307" t="s">
        <v>802</v>
      </c>
      <c r="C317" s="1307"/>
      <c r="D317" s="1307"/>
      <c r="E317" s="1307"/>
      <c r="F317" s="1307"/>
      <c r="G317" s="1307"/>
    </row>
    <row r="318" spans="2:7" ht="25.5" x14ac:dyDescent="0.2">
      <c r="B318" s="272" t="s">
        <v>268</v>
      </c>
      <c r="C318" s="273" t="s">
        <v>227</v>
      </c>
      <c r="D318" s="280"/>
      <c r="E318" s="280"/>
      <c r="F318" s="280"/>
      <c r="G318" s="280"/>
    </row>
    <row r="319" spans="2:7" ht="25.5" x14ac:dyDescent="0.2">
      <c r="B319" s="272" t="s">
        <v>239</v>
      </c>
      <c r="C319" s="281"/>
      <c r="D319" s="273" t="s">
        <v>227</v>
      </c>
      <c r="E319" s="280"/>
      <c r="F319" s="280"/>
      <c r="G319" s="280"/>
    </row>
    <row r="320" spans="2:7" ht="25.5" x14ac:dyDescent="0.2">
      <c r="B320" s="272" t="s">
        <v>277</v>
      </c>
      <c r="C320" s="280"/>
      <c r="D320" s="280"/>
      <c r="E320" s="273" t="s">
        <v>227</v>
      </c>
      <c r="F320" s="280"/>
      <c r="G320" s="280"/>
    </row>
    <row r="321" spans="2:7" ht="15" x14ac:dyDescent="0.2">
      <c r="B321" s="272" t="s">
        <v>322</v>
      </c>
      <c r="C321" s="280"/>
      <c r="D321" s="273" t="s">
        <v>227</v>
      </c>
      <c r="E321" s="280"/>
      <c r="F321" s="280"/>
      <c r="G321" s="280"/>
    </row>
    <row r="322" spans="2:7" ht="15" x14ac:dyDescent="0.2">
      <c r="B322" s="272" t="s">
        <v>278</v>
      </c>
      <c r="C322" s="280"/>
      <c r="D322" s="280"/>
      <c r="E322" s="273" t="s">
        <v>227</v>
      </c>
      <c r="F322" s="280"/>
      <c r="G322" s="280"/>
    </row>
    <row r="323" spans="2:7" ht="15" x14ac:dyDescent="0.2">
      <c r="B323" s="272" t="s">
        <v>321</v>
      </c>
      <c r="C323" s="280"/>
      <c r="D323" s="280"/>
      <c r="E323" s="280"/>
      <c r="F323" s="273" t="s">
        <v>227</v>
      </c>
      <c r="G323" s="280"/>
    </row>
    <row r="324" spans="2:7" ht="15" x14ac:dyDescent="0.2">
      <c r="B324" s="272" t="s">
        <v>231</v>
      </c>
      <c r="C324" s="280"/>
      <c r="D324" s="273" t="s">
        <v>227</v>
      </c>
      <c r="E324" s="280"/>
      <c r="F324" s="280"/>
      <c r="G324" s="280"/>
    </row>
    <row r="325" spans="2:7" ht="15" x14ac:dyDescent="0.2">
      <c r="B325" s="272" t="s">
        <v>279</v>
      </c>
      <c r="C325" s="280"/>
      <c r="D325" s="280"/>
      <c r="E325" s="273" t="s">
        <v>227</v>
      </c>
      <c r="F325" s="280"/>
      <c r="G325" s="280"/>
    </row>
    <row r="326" spans="2:7" ht="15" x14ac:dyDescent="0.2">
      <c r="B326" s="272" t="s">
        <v>269</v>
      </c>
      <c r="C326" s="280"/>
      <c r="D326" s="273" t="s">
        <v>227</v>
      </c>
      <c r="E326" s="280"/>
      <c r="F326" s="280"/>
      <c r="G326" s="280"/>
    </row>
    <row r="327" spans="2:7" ht="15" x14ac:dyDescent="0.2">
      <c r="B327" s="272" t="s">
        <v>241</v>
      </c>
      <c r="C327" s="280"/>
      <c r="D327" s="280"/>
      <c r="E327" s="273" t="s">
        <v>227</v>
      </c>
      <c r="F327" s="280"/>
      <c r="G327" s="280"/>
    </row>
    <row r="328" spans="2:7" ht="15" x14ac:dyDescent="0.2">
      <c r="B328" s="272" t="s">
        <v>240</v>
      </c>
      <c r="C328" s="280"/>
      <c r="D328" s="273" t="s">
        <v>227</v>
      </c>
      <c r="E328" s="280"/>
      <c r="F328" s="280"/>
      <c r="G328" s="280"/>
    </row>
    <row r="329" spans="2:7" ht="15" x14ac:dyDescent="0.2">
      <c r="B329" s="272" t="s">
        <v>280</v>
      </c>
      <c r="C329" s="280"/>
      <c r="D329" s="280"/>
      <c r="E329" s="273" t="s">
        <v>227</v>
      </c>
      <c r="F329" s="280"/>
      <c r="G329" s="280"/>
    </row>
    <row r="330" spans="2:7" ht="15" x14ac:dyDescent="0.2">
      <c r="B330" s="272" t="s">
        <v>248</v>
      </c>
      <c r="C330" s="280"/>
      <c r="D330" s="280"/>
      <c r="E330" s="280"/>
      <c r="F330" s="273" t="s">
        <v>227</v>
      </c>
      <c r="G330" s="280"/>
    </row>
    <row r="331" spans="2:7" ht="15" x14ac:dyDescent="0.2">
      <c r="B331" s="272" t="s">
        <v>281</v>
      </c>
      <c r="C331" s="280"/>
      <c r="D331" s="280"/>
      <c r="E331" s="273" t="s">
        <v>227</v>
      </c>
      <c r="F331" s="280"/>
      <c r="G331" s="280"/>
    </row>
    <row r="332" spans="2:7" ht="25.5" x14ac:dyDescent="0.2">
      <c r="B332" s="272" t="s">
        <v>295</v>
      </c>
      <c r="C332" s="280"/>
      <c r="D332" s="280"/>
      <c r="E332" s="280"/>
      <c r="F332" s="273" t="s">
        <v>227</v>
      </c>
      <c r="G332" s="280"/>
    </row>
    <row r="333" spans="2:7" ht="15" x14ac:dyDescent="0.2">
      <c r="B333" s="272" t="s">
        <v>296</v>
      </c>
      <c r="C333" s="280"/>
      <c r="D333" s="280"/>
      <c r="E333" s="280"/>
      <c r="F333" s="273" t="s">
        <v>227</v>
      </c>
      <c r="G333" s="280"/>
    </row>
    <row r="334" spans="2:7" ht="15" x14ac:dyDescent="0.2">
      <c r="B334" s="272" t="s">
        <v>312</v>
      </c>
      <c r="C334" s="280"/>
      <c r="D334" s="280"/>
      <c r="E334" s="280"/>
      <c r="F334" s="280"/>
      <c r="G334" s="273" t="s">
        <v>227</v>
      </c>
    </row>
    <row r="335" spans="2:7" ht="15" x14ac:dyDescent="0.2">
      <c r="B335" s="272" t="s">
        <v>297</v>
      </c>
      <c r="C335" s="280"/>
      <c r="D335" s="280"/>
      <c r="E335" s="280"/>
      <c r="F335" s="273" t="s">
        <v>227</v>
      </c>
      <c r="G335" s="280"/>
    </row>
    <row r="336" spans="2:7" ht="15" x14ac:dyDescent="0.2">
      <c r="B336" s="272" t="s">
        <v>298</v>
      </c>
      <c r="C336" s="280"/>
      <c r="D336" s="280"/>
      <c r="E336" s="280"/>
      <c r="F336" s="273" t="s">
        <v>227</v>
      </c>
      <c r="G336" s="280"/>
    </row>
    <row r="337" spans="2:7" ht="15" x14ac:dyDescent="0.2">
      <c r="B337" s="272" t="s">
        <v>299</v>
      </c>
      <c r="C337" s="280"/>
      <c r="D337" s="280"/>
      <c r="E337" s="280"/>
      <c r="F337" s="273" t="s">
        <v>227</v>
      </c>
      <c r="G337" s="280"/>
    </row>
    <row r="338" spans="2:7" ht="15" x14ac:dyDescent="0.2">
      <c r="B338" s="272" t="s">
        <v>301</v>
      </c>
      <c r="C338" s="280"/>
      <c r="D338" s="280"/>
      <c r="E338" s="273" t="s">
        <v>227</v>
      </c>
      <c r="F338" s="280"/>
      <c r="G338" s="280"/>
    </row>
    <row r="339" spans="2:7" ht="25.5" x14ac:dyDescent="0.2">
      <c r="B339" s="272" t="s">
        <v>300</v>
      </c>
      <c r="C339" s="280"/>
      <c r="D339" s="280"/>
      <c r="E339" s="281"/>
      <c r="F339" s="273" t="s">
        <v>227</v>
      </c>
      <c r="G339" s="280"/>
    </row>
    <row r="340" spans="2:7" ht="15" x14ac:dyDescent="0.2">
      <c r="B340" s="272" t="s">
        <v>249</v>
      </c>
      <c r="C340" s="280"/>
      <c r="D340" s="280"/>
      <c r="E340" s="280"/>
      <c r="F340" s="273" t="s">
        <v>227</v>
      </c>
      <c r="G340" s="280"/>
    </row>
    <row r="341" spans="2:7" ht="15" x14ac:dyDescent="0.2">
      <c r="B341" s="272" t="s">
        <v>324</v>
      </c>
      <c r="C341" s="280"/>
      <c r="D341" s="280"/>
      <c r="E341" s="280"/>
      <c r="F341" s="273" t="s">
        <v>227</v>
      </c>
      <c r="G341" s="280"/>
    </row>
    <row r="342" spans="2:7" ht="15" x14ac:dyDescent="0.2">
      <c r="B342" s="272" t="s">
        <v>323</v>
      </c>
      <c r="C342" s="280"/>
      <c r="D342" s="280"/>
      <c r="E342" s="280"/>
      <c r="F342" s="280"/>
      <c r="G342" s="273" t="s">
        <v>227</v>
      </c>
    </row>
    <row r="343" spans="2:7" ht="15.75" x14ac:dyDescent="0.2">
      <c r="B343" s="274" t="s">
        <v>803</v>
      </c>
      <c r="C343" s="282"/>
      <c r="D343" s="282"/>
      <c r="E343" s="282"/>
      <c r="F343" s="282"/>
      <c r="G343" s="282"/>
    </row>
    <row r="344" spans="2:7" ht="15" x14ac:dyDescent="0.2">
      <c r="B344" s="272" t="s">
        <v>261</v>
      </c>
      <c r="C344" s="273" t="s">
        <v>227</v>
      </c>
      <c r="D344" s="280"/>
      <c r="E344" s="280"/>
      <c r="F344" s="280"/>
      <c r="G344" s="280"/>
    </row>
    <row r="345" spans="2:7" ht="15" x14ac:dyDescent="0.2">
      <c r="B345" s="272" t="s">
        <v>270</v>
      </c>
      <c r="C345" s="280"/>
      <c r="D345" s="273" t="s">
        <v>227</v>
      </c>
      <c r="E345" s="280"/>
      <c r="F345" s="280"/>
      <c r="G345" s="280"/>
    </row>
    <row r="346" spans="2:7" ht="15" x14ac:dyDescent="0.2">
      <c r="B346" s="272" t="s">
        <v>282</v>
      </c>
      <c r="C346" s="280"/>
      <c r="D346" s="280"/>
      <c r="E346" s="273" t="s">
        <v>227</v>
      </c>
      <c r="F346" s="280"/>
      <c r="G346" s="280"/>
    </row>
    <row r="347" spans="2:7" ht="15" x14ac:dyDescent="0.2">
      <c r="B347" s="272" t="s">
        <v>302</v>
      </c>
      <c r="C347" s="280"/>
      <c r="D347" s="280"/>
      <c r="E347" s="280"/>
      <c r="F347" s="273" t="s">
        <v>227</v>
      </c>
      <c r="G347" s="280"/>
    </row>
    <row r="348" spans="2:7" ht="15" x14ac:dyDescent="0.2">
      <c r="B348" s="272" t="s">
        <v>283</v>
      </c>
      <c r="C348" s="280"/>
      <c r="D348" s="273" t="s">
        <v>227</v>
      </c>
      <c r="E348" s="280"/>
      <c r="F348" s="280"/>
      <c r="G348" s="280"/>
    </row>
    <row r="349" spans="2:7" ht="15" x14ac:dyDescent="0.2">
      <c r="B349" s="272" t="s">
        <v>242</v>
      </c>
      <c r="C349" s="280"/>
      <c r="D349" s="280"/>
      <c r="E349" s="273" t="s">
        <v>227</v>
      </c>
      <c r="F349" s="280"/>
      <c r="G349" s="280"/>
    </row>
    <row r="350" spans="2:7" ht="15" x14ac:dyDescent="0.2">
      <c r="B350" s="272" t="s">
        <v>250</v>
      </c>
      <c r="C350" s="280"/>
      <c r="D350" s="280"/>
      <c r="E350" s="273" t="s">
        <v>227</v>
      </c>
      <c r="F350" s="280"/>
      <c r="G350" s="280"/>
    </row>
    <row r="351" spans="2:7" ht="15" x14ac:dyDescent="0.2">
      <c r="B351" s="272" t="s">
        <v>313</v>
      </c>
      <c r="C351" s="280"/>
      <c r="D351" s="280"/>
      <c r="E351" s="280"/>
      <c r="F351" s="273" t="s">
        <v>227</v>
      </c>
      <c r="G351" s="280"/>
    </row>
    <row r="352" spans="2:7" ht="15" x14ac:dyDescent="0.2">
      <c r="B352" s="272" t="s">
        <v>314</v>
      </c>
      <c r="C352" s="280"/>
      <c r="D352" s="280"/>
      <c r="E352" s="280"/>
      <c r="F352" s="280"/>
      <c r="G352" s="273" t="s">
        <v>227</v>
      </c>
    </row>
    <row r="353" spans="2:7" ht="15" x14ac:dyDescent="0.2">
      <c r="B353" s="272" t="s">
        <v>328</v>
      </c>
      <c r="C353" s="280"/>
      <c r="D353" s="280"/>
      <c r="E353" s="280"/>
      <c r="F353" s="280"/>
      <c r="G353" s="273" t="s">
        <v>227</v>
      </c>
    </row>
    <row r="354" spans="2:7" ht="15" x14ac:dyDescent="0.2">
      <c r="B354" s="272" t="s">
        <v>325</v>
      </c>
      <c r="C354" s="280"/>
      <c r="D354" s="280"/>
      <c r="E354" s="273" t="s">
        <v>227</v>
      </c>
      <c r="F354" s="280"/>
      <c r="G354" s="280"/>
    </row>
    <row r="355" spans="2:7" ht="15" x14ac:dyDescent="0.2">
      <c r="B355" s="272" t="s">
        <v>326</v>
      </c>
      <c r="C355" s="280"/>
      <c r="D355" s="280"/>
      <c r="E355" s="280"/>
      <c r="F355" s="273" t="s">
        <v>227</v>
      </c>
      <c r="G355" s="280"/>
    </row>
    <row r="356" spans="2:7" ht="15" x14ac:dyDescent="0.2">
      <c r="B356" s="272" t="s">
        <v>327</v>
      </c>
      <c r="C356" s="280"/>
      <c r="D356" s="280"/>
      <c r="E356" s="280"/>
      <c r="F356" s="280"/>
      <c r="G356" s="273" t="s">
        <v>227</v>
      </c>
    </row>
    <row r="357" spans="2:7" ht="15" x14ac:dyDescent="0.2">
      <c r="B357" s="272" t="s">
        <v>303</v>
      </c>
      <c r="C357" s="280"/>
      <c r="D357" s="280"/>
      <c r="E357" s="273" t="s">
        <v>227</v>
      </c>
      <c r="F357" s="280"/>
      <c r="G357" s="280"/>
    </row>
    <row r="358" spans="2:7" ht="15" x14ac:dyDescent="0.2">
      <c r="B358" s="272" t="s">
        <v>315</v>
      </c>
      <c r="C358" s="280"/>
      <c r="D358" s="280"/>
      <c r="E358" s="280"/>
      <c r="F358" s="273" t="s">
        <v>227</v>
      </c>
      <c r="G358" s="280"/>
    </row>
    <row r="359" spans="2:7" ht="15" x14ac:dyDescent="0.2">
      <c r="B359" s="272" t="s">
        <v>316</v>
      </c>
      <c r="C359" s="280"/>
      <c r="D359" s="280"/>
      <c r="E359" s="280"/>
      <c r="F359" s="280"/>
      <c r="G359" s="273" t="s">
        <v>227</v>
      </c>
    </row>
    <row r="360" spans="2:7" ht="15.75" x14ac:dyDescent="0.2">
      <c r="B360" s="274" t="s">
        <v>804</v>
      </c>
      <c r="C360" s="282"/>
      <c r="D360" s="282"/>
      <c r="E360" s="282"/>
      <c r="F360" s="282"/>
      <c r="G360" s="282"/>
    </row>
    <row r="361" spans="2:7" ht="15" x14ac:dyDescent="0.2">
      <c r="B361" s="272" t="s">
        <v>285</v>
      </c>
      <c r="C361" s="280"/>
      <c r="D361" s="273" t="s">
        <v>227</v>
      </c>
      <c r="E361" s="280"/>
      <c r="F361" s="280"/>
      <c r="G361" s="280"/>
    </row>
    <row r="362" spans="2:7" ht="15" x14ac:dyDescent="0.2">
      <c r="B362" s="272" t="s">
        <v>284</v>
      </c>
      <c r="C362" s="280"/>
      <c r="D362" s="280"/>
      <c r="E362" s="273" t="s">
        <v>227</v>
      </c>
      <c r="F362" s="280"/>
      <c r="G362" s="280"/>
    </row>
    <row r="363" spans="2:7" ht="15" x14ac:dyDescent="0.2">
      <c r="B363" s="272" t="s">
        <v>251</v>
      </c>
      <c r="C363" s="280"/>
      <c r="D363" s="280"/>
      <c r="E363" s="280"/>
      <c r="F363" s="273" t="s">
        <v>227</v>
      </c>
      <c r="G363" s="280"/>
    </row>
    <row r="364" spans="2:7" ht="15" x14ac:dyDescent="0.2">
      <c r="B364" s="272" t="s">
        <v>258</v>
      </c>
      <c r="C364" s="280"/>
      <c r="D364" s="280"/>
      <c r="E364" s="280"/>
      <c r="F364" s="280"/>
      <c r="G364" s="273" t="s">
        <v>227</v>
      </c>
    </row>
    <row r="365" spans="2:7" ht="15" x14ac:dyDescent="0.2">
      <c r="B365" s="272" t="s">
        <v>468</v>
      </c>
      <c r="C365" s="273" t="s">
        <v>227</v>
      </c>
      <c r="D365" s="280"/>
      <c r="E365" s="280"/>
      <c r="F365" s="280"/>
      <c r="G365" s="280"/>
    </row>
    <row r="366" spans="2:7" ht="15" x14ac:dyDescent="0.2">
      <c r="B366" s="272" t="s">
        <v>271</v>
      </c>
      <c r="C366" s="280"/>
      <c r="D366" s="273" t="s">
        <v>227</v>
      </c>
      <c r="E366" s="280"/>
      <c r="F366" s="280"/>
      <c r="G366" s="280"/>
    </row>
    <row r="367" spans="2:7" ht="15" x14ac:dyDescent="0.2">
      <c r="B367" s="272" t="s">
        <v>469</v>
      </c>
      <c r="C367" s="280"/>
      <c r="D367" s="280"/>
      <c r="E367" s="273" t="s">
        <v>227</v>
      </c>
      <c r="F367" s="280"/>
      <c r="G367" s="280"/>
    </row>
    <row r="368" spans="2:7" ht="15" x14ac:dyDescent="0.2">
      <c r="B368" s="272" t="s">
        <v>470</v>
      </c>
      <c r="C368" s="280"/>
      <c r="D368" s="280"/>
      <c r="E368" s="280"/>
      <c r="F368" s="273" t="s">
        <v>227</v>
      </c>
      <c r="G368" s="280"/>
    </row>
    <row r="369" spans="1:16" ht="25.5" x14ac:dyDescent="0.2">
      <c r="B369" s="272" t="s">
        <v>471</v>
      </c>
      <c r="C369" s="280"/>
      <c r="D369" s="280"/>
      <c r="E369" s="280"/>
      <c r="F369" s="280"/>
      <c r="G369" s="273" t="s">
        <v>227</v>
      </c>
    </row>
    <row r="370" spans="1:16" ht="15" x14ac:dyDescent="0.2">
      <c r="B370" s="272" t="s">
        <v>252</v>
      </c>
      <c r="C370" s="280"/>
      <c r="D370" s="280"/>
      <c r="E370" s="280"/>
      <c r="F370" s="273" t="s">
        <v>227</v>
      </c>
      <c r="G370" s="280"/>
    </row>
    <row r="371" spans="1:16" ht="38.25" x14ac:dyDescent="0.2">
      <c r="B371" s="272" t="s">
        <v>262</v>
      </c>
      <c r="C371" s="273" t="s">
        <v>227</v>
      </c>
      <c r="D371" s="280"/>
      <c r="E371" s="280"/>
      <c r="F371" s="280"/>
      <c r="G371" s="280"/>
    </row>
    <row r="372" spans="1:16" ht="25.5" x14ac:dyDescent="0.2">
      <c r="B372" s="272" t="s">
        <v>272</v>
      </c>
      <c r="C372" s="280"/>
      <c r="D372" s="273" t="s">
        <v>227</v>
      </c>
      <c r="E372" s="280"/>
      <c r="F372" s="280"/>
      <c r="G372" s="280"/>
    </row>
    <row r="373" spans="1:16" ht="25.5" x14ac:dyDescent="0.2">
      <c r="B373" s="272" t="s">
        <v>304</v>
      </c>
      <c r="C373" s="280"/>
      <c r="D373" s="280"/>
      <c r="E373" s="273" t="s">
        <v>227</v>
      </c>
      <c r="F373" s="280"/>
      <c r="G373" s="280"/>
    </row>
    <row r="374" spans="1:16" ht="15" x14ac:dyDescent="0.2">
      <c r="B374" s="272" t="s">
        <v>253</v>
      </c>
      <c r="C374" s="280"/>
      <c r="D374" s="280"/>
      <c r="E374" s="280"/>
      <c r="F374" s="273" t="s">
        <v>227</v>
      </c>
      <c r="G374" s="280"/>
    </row>
    <row r="375" spans="1:16" ht="15" x14ac:dyDescent="0.2">
      <c r="B375" s="272" t="s">
        <v>259</v>
      </c>
      <c r="C375" s="280"/>
      <c r="D375" s="280"/>
      <c r="E375" s="280"/>
      <c r="F375" s="280"/>
      <c r="G375" s="273" t="s">
        <v>227</v>
      </c>
    </row>
    <row r="376" spans="1:16" ht="25.5" x14ac:dyDescent="0.2">
      <c r="B376" s="272" t="s">
        <v>329</v>
      </c>
      <c r="C376" s="280"/>
      <c r="D376" s="280"/>
      <c r="E376" s="273" t="s">
        <v>227</v>
      </c>
      <c r="F376" s="280"/>
      <c r="G376" s="280"/>
    </row>
    <row r="377" spans="1:16" ht="25.5" x14ac:dyDescent="0.2">
      <c r="B377" s="272" t="s">
        <v>254</v>
      </c>
      <c r="C377" s="280"/>
      <c r="D377" s="280"/>
      <c r="E377" s="280"/>
      <c r="F377" s="273" t="s">
        <v>227</v>
      </c>
      <c r="G377" s="280"/>
    </row>
    <row r="378" spans="1:16" ht="15" x14ac:dyDescent="0.2">
      <c r="B378" s="354" t="s">
        <v>330</v>
      </c>
      <c r="C378" s="355"/>
      <c r="D378" s="355"/>
      <c r="E378" s="355"/>
      <c r="F378" s="355"/>
      <c r="G378" s="356" t="s">
        <v>227</v>
      </c>
      <c r="I378" s="352"/>
      <c r="J378" s="352"/>
      <c r="K378" s="352"/>
      <c r="L378" s="352"/>
      <c r="M378" s="352"/>
      <c r="N378" s="352"/>
      <c r="O378" s="352"/>
    </row>
    <row r="380" spans="1:16" ht="15.75" x14ac:dyDescent="0.25">
      <c r="A380" s="363"/>
      <c r="B380" s="364" t="s">
        <v>627</v>
      </c>
      <c r="C380" s="364"/>
      <c r="D380" s="364"/>
      <c r="E380" s="364"/>
      <c r="F380" s="364"/>
      <c r="G380" s="364"/>
      <c r="H380" s="363"/>
      <c r="I380" s="364" t="s">
        <v>628</v>
      </c>
      <c r="J380" s="366"/>
      <c r="K380" s="366"/>
      <c r="L380" s="366"/>
      <c r="M380" s="366"/>
      <c r="N380" s="366"/>
      <c r="O380" s="363"/>
      <c r="P380" s="363"/>
    </row>
    <row r="381" spans="1:16" ht="15.75" x14ac:dyDescent="0.25">
      <c r="A381" s="189" t="s">
        <v>3</v>
      </c>
      <c r="B381" s="191" t="s">
        <v>487</v>
      </c>
      <c r="C381" s="191"/>
      <c r="D381" s="191"/>
      <c r="E381" s="191"/>
      <c r="F381" s="247" t="s">
        <v>491</v>
      </c>
      <c r="G381" s="974"/>
      <c r="I381" s="201" t="s">
        <v>84</v>
      </c>
      <c r="J381" s="201"/>
      <c r="K381" s="201" t="s">
        <v>190</v>
      </c>
      <c r="L381" s="201"/>
      <c r="M381" s="201"/>
      <c r="N381" s="201"/>
      <c r="O381" s="201"/>
    </row>
    <row r="382" spans="1:16" ht="15.75" x14ac:dyDescent="0.25">
      <c r="A382" s="192" t="s">
        <v>4</v>
      </c>
      <c r="B382" s="194" t="s">
        <v>488</v>
      </c>
      <c r="C382" s="194"/>
      <c r="D382" s="194"/>
      <c r="E382" s="194"/>
      <c r="F382" s="248" t="s">
        <v>491</v>
      </c>
      <c r="G382" s="975"/>
      <c r="I382" s="202" t="s">
        <v>85</v>
      </c>
      <c r="J382" s="202"/>
      <c r="K382" s="202" t="s">
        <v>495</v>
      </c>
      <c r="L382" s="202"/>
      <c r="M382" s="202"/>
      <c r="N382" s="202"/>
      <c r="O382" s="202"/>
    </row>
    <row r="383" spans="1:16" ht="15.75" x14ac:dyDescent="0.25">
      <c r="A383" s="192" t="s">
        <v>5</v>
      </c>
      <c r="B383" s="194" t="s">
        <v>489</v>
      </c>
      <c r="C383" s="194"/>
      <c r="D383" s="194"/>
      <c r="E383" s="194"/>
      <c r="F383" s="248" t="s">
        <v>491</v>
      </c>
      <c r="G383" s="975"/>
      <c r="I383" s="202" t="s">
        <v>86</v>
      </c>
      <c r="J383" s="202"/>
      <c r="K383" s="202" t="s">
        <v>496</v>
      </c>
      <c r="L383" s="202"/>
      <c r="M383" s="202"/>
      <c r="N383" s="202"/>
      <c r="O383" s="202"/>
    </row>
    <row r="384" spans="1:16" ht="15.75" x14ac:dyDescent="0.25">
      <c r="A384" s="192" t="s">
        <v>109</v>
      </c>
      <c r="B384" s="194" t="s">
        <v>490</v>
      </c>
      <c r="C384" s="194"/>
      <c r="D384" s="194"/>
      <c r="E384" s="194"/>
      <c r="F384" s="248" t="s">
        <v>492</v>
      </c>
      <c r="G384" s="975"/>
      <c r="I384" s="202" t="s">
        <v>87</v>
      </c>
      <c r="J384" s="202"/>
      <c r="K384" s="202" t="s">
        <v>497</v>
      </c>
      <c r="L384" s="202"/>
      <c r="M384" s="202"/>
      <c r="N384" s="202"/>
      <c r="O384" s="202"/>
    </row>
    <row r="385" spans="1:15" ht="15.75" x14ac:dyDescent="0.25">
      <c r="A385" s="195" t="s">
        <v>110</v>
      </c>
      <c r="B385" s="197" t="s">
        <v>486</v>
      </c>
      <c r="C385" s="197"/>
      <c r="D385" s="197"/>
      <c r="E385" s="197"/>
      <c r="F385" s="249" t="s">
        <v>493</v>
      </c>
      <c r="G385" s="976"/>
      <c r="I385" s="203" t="s">
        <v>88</v>
      </c>
      <c r="J385" s="203"/>
      <c r="K385" s="203" t="s">
        <v>498</v>
      </c>
      <c r="L385" s="203"/>
      <c r="M385" s="203"/>
      <c r="N385" s="203"/>
      <c r="O385" s="203"/>
    </row>
    <row r="386" spans="1:15" ht="15.75" x14ac:dyDescent="0.25">
      <c r="A386" s="81"/>
      <c r="B386" s="81"/>
      <c r="C386" s="81"/>
      <c r="D386" s="81"/>
      <c r="E386" s="81"/>
      <c r="F386" s="245" t="s">
        <v>494</v>
      </c>
      <c r="G386" s="186">
        <f>SUM(G381:G385)</f>
        <v>0</v>
      </c>
    </row>
    <row r="387" spans="1:15" ht="15.75" x14ac:dyDescent="0.2">
      <c r="B387" s="54" t="s">
        <v>215</v>
      </c>
      <c r="C387" s="52"/>
      <c r="D387" s="52"/>
      <c r="E387" s="52"/>
      <c r="F387" s="246" t="str">
        <f>IF(G386&lt;10,I381,IF(G386&lt;18,I382,IF(G386&lt;26,I383,IF(G386&lt;34,I384,IF(G386&lt;41,I385,"NAPAKA")))))</f>
        <v>Cenovni razred I</v>
      </c>
      <c r="G387" s="52"/>
    </row>
    <row r="391" spans="1:15" ht="15.75" x14ac:dyDescent="0.25">
      <c r="B391" s="261" t="s">
        <v>368</v>
      </c>
      <c r="C391" s="294" t="s">
        <v>222</v>
      </c>
      <c r="D391" s="294" t="s">
        <v>223</v>
      </c>
      <c r="E391" s="294" t="s">
        <v>224</v>
      </c>
      <c r="F391" s="294" t="s">
        <v>225</v>
      </c>
      <c r="G391" s="294" t="s">
        <v>226</v>
      </c>
    </row>
    <row r="392" spans="1:15" ht="15.75" x14ac:dyDescent="0.2">
      <c r="B392" s="322" t="s">
        <v>806</v>
      </c>
      <c r="C392" s="280"/>
      <c r="D392" s="280"/>
      <c r="E392" s="273"/>
      <c r="F392" s="280"/>
      <c r="G392" s="280"/>
    </row>
    <row r="393" spans="1:15" ht="15" x14ac:dyDescent="0.2">
      <c r="B393" s="321" t="s">
        <v>503</v>
      </c>
      <c r="C393" s="280"/>
      <c r="D393" s="280"/>
      <c r="E393" s="280"/>
      <c r="F393" s="273"/>
      <c r="G393" s="280"/>
    </row>
    <row r="394" spans="1:15" ht="15" x14ac:dyDescent="0.2">
      <c r="B394" s="272" t="s">
        <v>504</v>
      </c>
      <c r="C394" s="280"/>
      <c r="D394" s="280" t="s">
        <v>227</v>
      </c>
      <c r="E394" s="273"/>
      <c r="F394" s="280"/>
      <c r="G394" s="280"/>
    </row>
    <row r="395" spans="1:15" ht="15" x14ac:dyDescent="0.2">
      <c r="B395" s="272" t="s">
        <v>505</v>
      </c>
      <c r="C395" s="280"/>
      <c r="D395" s="280"/>
      <c r="E395" s="280" t="s">
        <v>227</v>
      </c>
      <c r="F395" s="273"/>
      <c r="G395" s="280"/>
    </row>
    <row r="396" spans="1:15" ht="25.5" x14ac:dyDescent="0.2">
      <c r="B396" s="272" t="s">
        <v>506</v>
      </c>
      <c r="C396" s="280"/>
      <c r="D396" s="280"/>
      <c r="E396" s="273"/>
      <c r="F396" s="280" t="s">
        <v>227</v>
      </c>
      <c r="G396" s="280"/>
    </row>
    <row r="397" spans="1:15" ht="15" x14ac:dyDescent="0.2">
      <c r="B397" s="272" t="s">
        <v>507</v>
      </c>
      <c r="C397" s="280"/>
      <c r="D397" s="280"/>
      <c r="E397" s="280"/>
      <c r="F397" s="273"/>
      <c r="G397" s="280" t="s">
        <v>227</v>
      </c>
    </row>
    <row r="398" spans="1:15" ht="15" x14ac:dyDescent="0.2">
      <c r="B398" s="320" t="s">
        <v>508</v>
      </c>
      <c r="C398" s="280"/>
      <c r="D398" s="280"/>
      <c r="E398" s="273"/>
      <c r="F398" s="280"/>
      <c r="G398" s="280"/>
    </row>
    <row r="399" spans="1:15" ht="15" x14ac:dyDescent="0.2">
      <c r="B399" s="272" t="s">
        <v>509</v>
      </c>
      <c r="C399" s="280"/>
      <c r="D399" s="280" t="s">
        <v>227</v>
      </c>
      <c r="E399" s="280"/>
      <c r="F399" s="273"/>
      <c r="G399" s="280"/>
    </row>
    <row r="400" spans="1:15" ht="25.5" x14ac:dyDescent="0.2">
      <c r="B400" s="272" t="s">
        <v>510</v>
      </c>
      <c r="C400" s="280"/>
      <c r="D400" s="280"/>
      <c r="E400" s="273" t="s">
        <v>227</v>
      </c>
      <c r="F400" s="280"/>
      <c r="G400" s="280"/>
    </row>
    <row r="401" spans="2:7" ht="25.5" x14ac:dyDescent="0.2">
      <c r="B401" s="272" t="s">
        <v>511</v>
      </c>
      <c r="C401" s="280"/>
      <c r="D401" s="280"/>
      <c r="E401" s="280"/>
      <c r="F401" s="273" t="s">
        <v>227</v>
      </c>
      <c r="G401" s="280"/>
    </row>
    <row r="402" spans="2:7" ht="25.5" x14ac:dyDescent="0.2">
      <c r="B402" s="272" t="s">
        <v>511</v>
      </c>
      <c r="C402" s="280"/>
      <c r="D402" s="280"/>
      <c r="E402" s="273"/>
      <c r="F402" s="280"/>
      <c r="G402" s="280" t="s">
        <v>227</v>
      </c>
    </row>
    <row r="403" spans="2:7" ht="15" x14ac:dyDescent="0.2">
      <c r="B403" s="320" t="s">
        <v>512</v>
      </c>
      <c r="C403" s="280"/>
      <c r="D403" s="280"/>
      <c r="E403" s="280"/>
      <c r="F403" s="273"/>
      <c r="G403" s="280"/>
    </row>
    <row r="404" spans="2:7" ht="15" x14ac:dyDescent="0.2">
      <c r="B404" s="272" t="s">
        <v>513</v>
      </c>
      <c r="C404" s="280" t="s">
        <v>227</v>
      </c>
      <c r="D404" s="280"/>
      <c r="E404" s="273"/>
      <c r="F404" s="280"/>
      <c r="G404" s="280"/>
    </row>
    <row r="405" spans="2:7" ht="15" x14ac:dyDescent="0.2">
      <c r="B405" s="272" t="s">
        <v>514</v>
      </c>
      <c r="C405" s="280"/>
      <c r="D405" s="280" t="s">
        <v>227</v>
      </c>
      <c r="E405" s="280"/>
      <c r="F405" s="273"/>
      <c r="G405" s="280"/>
    </row>
    <row r="406" spans="2:7" ht="15" x14ac:dyDescent="0.2">
      <c r="B406" s="272" t="s">
        <v>515</v>
      </c>
      <c r="C406" s="280"/>
      <c r="D406" s="280"/>
      <c r="E406" s="273" t="s">
        <v>227</v>
      </c>
      <c r="F406" s="280"/>
      <c r="G406" s="280"/>
    </row>
    <row r="407" spans="2:7" ht="15" x14ac:dyDescent="0.2">
      <c r="B407" s="320" t="s">
        <v>516</v>
      </c>
      <c r="C407" s="280"/>
      <c r="D407" s="280"/>
      <c r="E407" s="280"/>
      <c r="F407" s="273"/>
      <c r="G407" s="280"/>
    </row>
    <row r="408" spans="2:7" ht="15" x14ac:dyDescent="0.2">
      <c r="B408" s="272" t="s">
        <v>517</v>
      </c>
      <c r="C408" s="280" t="s">
        <v>227</v>
      </c>
      <c r="D408" s="280"/>
      <c r="E408" s="273"/>
      <c r="F408" s="280"/>
      <c r="G408" s="280"/>
    </row>
    <row r="409" spans="2:7" ht="15" x14ac:dyDescent="0.2">
      <c r="B409" s="272" t="s">
        <v>518</v>
      </c>
      <c r="C409" s="280"/>
      <c r="D409" s="280" t="s">
        <v>227</v>
      </c>
      <c r="E409" s="280"/>
      <c r="F409" s="273"/>
      <c r="G409" s="280"/>
    </row>
    <row r="410" spans="2:7" ht="15" x14ac:dyDescent="0.2">
      <c r="B410" s="272" t="s">
        <v>519</v>
      </c>
      <c r="C410" s="280"/>
      <c r="D410" s="280"/>
      <c r="E410" s="273" t="s">
        <v>520</v>
      </c>
      <c r="F410" s="280"/>
      <c r="G410" s="280"/>
    </row>
    <row r="411" spans="2:7" ht="15" x14ac:dyDescent="0.2">
      <c r="B411" s="272" t="s">
        <v>521</v>
      </c>
      <c r="C411" s="280"/>
      <c r="D411" s="280"/>
      <c r="E411" s="280"/>
      <c r="F411" s="273" t="s">
        <v>227</v>
      </c>
      <c r="G411" s="280"/>
    </row>
    <row r="412" spans="2:7" ht="15" x14ac:dyDescent="0.2">
      <c r="B412" s="272" t="s">
        <v>522</v>
      </c>
      <c r="C412" s="280"/>
      <c r="D412" s="280"/>
      <c r="E412" s="273" t="s">
        <v>227</v>
      </c>
      <c r="F412" s="280"/>
      <c r="G412" s="280"/>
    </row>
    <row r="413" spans="2:7" ht="15" x14ac:dyDescent="0.2">
      <c r="B413" s="272" t="s">
        <v>523</v>
      </c>
      <c r="C413" s="280"/>
      <c r="D413" s="280"/>
      <c r="E413" s="280"/>
      <c r="F413" s="273" t="s">
        <v>227</v>
      </c>
      <c r="G413" s="280"/>
    </row>
    <row r="414" spans="2:7" ht="15" x14ac:dyDescent="0.2">
      <c r="B414" s="320" t="s">
        <v>524</v>
      </c>
      <c r="C414" s="280"/>
      <c r="D414" s="280"/>
      <c r="E414" s="273"/>
      <c r="F414" s="280"/>
      <c r="G414" s="280"/>
    </row>
    <row r="415" spans="2:7" ht="15" x14ac:dyDescent="0.2">
      <c r="B415" s="272" t="s">
        <v>525</v>
      </c>
      <c r="C415" s="280" t="s">
        <v>227</v>
      </c>
      <c r="D415" s="280"/>
      <c r="E415" s="280"/>
      <c r="F415" s="273"/>
      <c r="G415" s="280"/>
    </row>
    <row r="416" spans="2:7" ht="15" x14ac:dyDescent="0.2">
      <c r="B416" s="272" t="s">
        <v>526</v>
      </c>
      <c r="C416" s="280"/>
      <c r="D416" s="280"/>
      <c r="E416" s="273" t="s">
        <v>227</v>
      </c>
      <c r="F416" s="280"/>
      <c r="G416" s="280"/>
    </row>
    <row r="417" spans="2:7" ht="15" x14ac:dyDescent="0.2">
      <c r="B417" s="320" t="s">
        <v>527</v>
      </c>
      <c r="C417" s="280"/>
      <c r="D417" s="280"/>
      <c r="E417" s="280"/>
      <c r="F417" s="273"/>
      <c r="G417" s="280"/>
    </row>
    <row r="418" spans="2:7" ht="15" x14ac:dyDescent="0.2">
      <c r="B418" s="272" t="s">
        <v>528</v>
      </c>
      <c r="C418" s="280"/>
      <c r="D418" s="280" t="s">
        <v>227</v>
      </c>
      <c r="E418" s="273"/>
      <c r="F418" s="280"/>
      <c r="G418" s="280"/>
    </row>
    <row r="419" spans="2:7" ht="15" x14ac:dyDescent="0.2">
      <c r="B419" s="272" t="s">
        <v>529</v>
      </c>
      <c r="C419" s="280"/>
      <c r="D419" s="280"/>
      <c r="E419" s="280" t="s">
        <v>227</v>
      </c>
      <c r="F419" s="273"/>
      <c r="G419" s="280"/>
    </row>
    <row r="420" spans="2:7" ht="15" x14ac:dyDescent="0.2">
      <c r="B420" s="272" t="s">
        <v>530</v>
      </c>
      <c r="C420" s="280"/>
      <c r="D420" s="280"/>
      <c r="E420" s="273"/>
      <c r="F420" s="280" t="s">
        <v>227</v>
      </c>
      <c r="G420" s="280"/>
    </row>
    <row r="421" spans="2:7" ht="15" x14ac:dyDescent="0.2">
      <c r="B421" s="272" t="s">
        <v>531</v>
      </c>
      <c r="C421" s="280"/>
      <c r="D421" s="280"/>
      <c r="E421" s="280" t="s">
        <v>227</v>
      </c>
      <c r="F421" s="273"/>
      <c r="G421" s="280"/>
    </row>
    <row r="422" spans="2:7" ht="15" x14ac:dyDescent="0.2">
      <c r="B422" s="272" t="s">
        <v>532</v>
      </c>
      <c r="C422" s="280"/>
      <c r="D422" s="280"/>
      <c r="E422" s="273"/>
      <c r="F422" s="280" t="s">
        <v>227</v>
      </c>
      <c r="G422" s="280"/>
    </row>
    <row r="423" spans="2:7" ht="15" x14ac:dyDescent="0.2">
      <c r="B423" s="272" t="s">
        <v>533</v>
      </c>
      <c r="C423" s="280"/>
      <c r="D423" s="280"/>
      <c r="E423" s="280"/>
      <c r="F423" s="273"/>
      <c r="G423" s="280" t="s">
        <v>227</v>
      </c>
    </row>
    <row r="424" spans="2:7" ht="15.75" x14ac:dyDescent="0.2">
      <c r="B424" s="274" t="s">
        <v>807</v>
      </c>
      <c r="C424" s="280"/>
      <c r="D424" s="280"/>
      <c r="E424" s="273"/>
      <c r="F424" s="280"/>
      <c r="G424" s="280"/>
    </row>
    <row r="425" spans="2:7" ht="15" x14ac:dyDescent="0.2">
      <c r="B425" s="320" t="s">
        <v>534</v>
      </c>
      <c r="C425" s="280"/>
      <c r="D425" s="280"/>
      <c r="E425" s="280"/>
      <c r="F425" s="273"/>
      <c r="G425" s="280"/>
    </row>
    <row r="426" spans="2:7" ht="15" x14ac:dyDescent="0.2">
      <c r="B426" s="272" t="s">
        <v>535</v>
      </c>
      <c r="C426" s="280" t="s">
        <v>227</v>
      </c>
      <c r="D426" s="280"/>
      <c r="E426" s="273"/>
      <c r="F426" s="280"/>
      <c r="G426" s="280"/>
    </row>
    <row r="427" spans="2:7" ht="15" x14ac:dyDescent="0.2">
      <c r="B427" s="272" t="s">
        <v>504</v>
      </c>
      <c r="C427" s="280"/>
      <c r="D427" s="280" t="s">
        <v>227</v>
      </c>
      <c r="E427" s="280"/>
      <c r="F427" s="273"/>
      <c r="G427" s="280"/>
    </row>
    <row r="428" spans="2:7" ht="15" x14ac:dyDescent="0.2">
      <c r="B428" s="272" t="s">
        <v>505</v>
      </c>
      <c r="C428" s="280"/>
      <c r="D428" s="280"/>
      <c r="E428" s="273" t="s">
        <v>227</v>
      </c>
      <c r="F428" s="280"/>
      <c r="G428" s="280"/>
    </row>
    <row r="429" spans="2:7" ht="25.5" x14ac:dyDescent="0.2">
      <c r="B429" s="272" t="s">
        <v>506</v>
      </c>
      <c r="C429" s="280"/>
      <c r="D429" s="280"/>
      <c r="E429" s="280"/>
      <c r="F429" s="273" t="s">
        <v>227</v>
      </c>
      <c r="G429" s="280"/>
    </row>
    <row r="430" spans="2:7" ht="15" x14ac:dyDescent="0.2">
      <c r="B430" s="320" t="s">
        <v>536</v>
      </c>
      <c r="C430" s="280"/>
      <c r="D430" s="280"/>
      <c r="E430" s="273"/>
      <c r="F430" s="280"/>
      <c r="G430" s="280"/>
    </row>
    <row r="431" spans="2:7" ht="15" x14ac:dyDescent="0.2">
      <c r="B431" s="272" t="s">
        <v>537</v>
      </c>
      <c r="C431" s="280"/>
      <c r="D431" s="280" t="s">
        <v>227</v>
      </c>
      <c r="E431" s="280"/>
      <c r="F431" s="273"/>
      <c r="G431" s="280"/>
    </row>
    <row r="432" spans="2:7" ht="15" x14ac:dyDescent="0.2">
      <c r="B432" s="272" t="s">
        <v>538</v>
      </c>
      <c r="C432" s="280"/>
      <c r="D432" s="280"/>
      <c r="E432" s="273" t="s">
        <v>227</v>
      </c>
      <c r="F432" s="280"/>
      <c r="G432" s="280"/>
    </row>
    <row r="433" spans="1:16" ht="15" x14ac:dyDescent="0.2">
      <c r="B433" s="272" t="s">
        <v>539</v>
      </c>
      <c r="C433" s="280"/>
      <c r="D433" s="280"/>
      <c r="E433" s="280"/>
      <c r="F433" s="273" t="s">
        <v>227</v>
      </c>
      <c r="G433" s="280"/>
    </row>
    <row r="434" spans="1:16" ht="15.75" x14ac:dyDescent="0.2">
      <c r="B434" s="274" t="s">
        <v>808</v>
      </c>
      <c r="C434" s="280"/>
      <c r="D434" s="280"/>
      <c r="E434" s="273"/>
      <c r="F434" s="280"/>
      <c r="G434" s="280"/>
    </row>
    <row r="435" spans="1:16" ht="15" x14ac:dyDescent="0.2">
      <c r="B435" s="272" t="s">
        <v>540</v>
      </c>
      <c r="C435" s="280"/>
      <c r="D435" s="280" t="s">
        <v>227</v>
      </c>
      <c r="E435" s="280"/>
      <c r="F435" s="273"/>
      <c r="G435" s="280"/>
    </row>
    <row r="436" spans="1:16" ht="25.5" x14ac:dyDescent="0.2">
      <c r="B436" s="272" t="s">
        <v>541</v>
      </c>
      <c r="C436" s="280"/>
      <c r="D436" s="280"/>
      <c r="E436" s="273" t="s">
        <v>542</v>
      </c>
      <c r="F436" s="280"/>
      <c r="G436" s="280"/>
    </row>
    <row r="437" spans="1:16" ht="15" x14ac:dyDescent="0.2">
      <c r="B437" s="357" t="s">
        <v>543</v>
      </c>
      <c r="C437" s="358"/>
      <c r="D437" s="358"/>
      <c r="E437" s="358"/>
      <c r="F437" s="359" t="s">
        <v>227</v>
      </c>
      <c r="G437" s="358"/>
    </row>
    <row r="438" spans="1:16" x14ac:dyDescent="0.2">
      <c r="A438" s="234"/>
      <c r="B438" s="360"/>
      <c r="C438" s="361"/>
      <c r="D438" s="361"/>
      <c r="E438" s="361"/>
      <c r="F438" s="361"/>
      <c r="G438" s="361"/>
    </row>
    <row r="439" spans="1:16" x14ac:dyDescent="0.2">
      <c r="A439" s="234"/>
      <c r="B439" s="234"/>
      <c r="C439" s="236"/>
      <c r="D439" s="236"/>
      <c r="E439" s="236"/>
      <c r="F439" s="236"/>
      <c r="G439" s="236"/>
    </row>
    <row r="440" spans="1:16" ht="15.75" x14ac:dyDescent="0.25">
      <c r="A440" s="363"/>
      <c r="B440" s="364" t="s">
        <v>630</v>
      </c>
      <c r="C440" s="364"/>
      <c r="D440" s="364"/>
      <c r="E440" s="364"/>
      <c r="F440" s="364"/>
      <c r="G440" s="364"/>
      <c r="H440" s="363"/>
      <c r="I440" s="364" t="s">
        <v>629</v>
      </c>
      <c r="J440" s="366"/>
      <c r="K440" s="366"/>
      <c r="L440" s="366"/>
      <c r="M440" s="366"/>
      <c r="N440" s="366"/>
      <c r="O440" s="366"/>
      <c r="P440" s="363"/>
    </row>
    <row r="441" spans="1:16" ht="15.75" x14ac:dyDescent="0.25">
      <c r="A441" s="189" t="s">
        <v>3</v>
      </c>
      <c r="B441" s="191" t="s">
        <v>487</v>
      </c>
      <c r="C441" s="191"/>
      <c r="D441" s="191"/>
      <c r="E441" s="191"/>
      <c r="F441" s="247" t="s">
        <v>491</v>
      </c>
      <c r="G441" s="974"/>
      <c r="I441" s="201" t="s">
        <v>84</v>
      </c>
      <c r="J441" s="201"/>
      <c r="K441" s="201" t="s">
        <v>190</v>
      </c>
      <c r="L441" s="201"/>
      <c r="M441" s="201"/>
      <c r="N441" s="201"/>
      <c r="O441" s="201"/>
    </row>
    <row r="442" spans="1:16" ht="15.75" x14ac:dyDescent="0.25">
      <c r="A442" s="192" t="s">
        <v>4</v>
      </c>
      <c r="B442" s="194" t="s">
        <v>488</v>
      </c>
      <c r="C442" s="194"/>
      <c r="D442" s="194"/>
      <c r="E442" s="194"/>
      <c r="F442" s="248" t="s">
        <v>491</v>
      </c>
      <c r="G442" s="975"/>
      <c r="I442" s="202" t="s">
        <v>85</v>
      </c>
      <c r="J442" s="202"/>
      <c r="K442" s="202" t="s">
        <v>495</v>
      </c>
      <c r="L442" s="202"/>
      <c r="M442" s="202"/>
      <c r="N442" s="202"/>
      <c r="O442" s="202"/>
    </row>
    <row r="443" spans="1:16" ht="15.75" x14ac:dyDescent="0.25">
      <c r="A443" s="192" t="s">
        <v>5</v>
      </c>
      <c r="B443" s="194" t="s">
        <v>499</v>
      </c>
      <c r="C443" s="194"/>
      <c r="D443" s="194"/>
      <c r="E443" s="194"/>
      <c r="F443" s="248" t="s">
        <v>493</v>
      </c>
      <c r="G443" s="975"/>
      <c r="I443" s="202" t="s">
        <v>86</v>
      </c>
      <c r="J443" s="202"/>
      <c r="K443" s="202" t="s">
        <v>496</v>
      </c>
      <c r="L443" s="202"/>
      <c r="M443" s="202"/>
      <c r="N443" s="202"/>
      <c r="O443" s="202"/>
    </row>
    <row r="444" spans="1:16" ht="15.75" x14ac:dyDescent="0.25">
      <c r="A444" s="192" t="s">
        <v>109</v>
      </c>
      <c r="B444" s="194" t="s">
        <v>490</v>
      </c>
      <c r="C444" s="194"/>
      <c r="D444" s="194"/>
      <c r="E444" s="194"/>
      <c r="F444" s="248" t="s">
        <v>492</v>
      </c>
      <c r="G444" s="975"/>
      <c r="I444" s="202" t="s">
        <v>87</v>
      </c>
      <c r="J444" s="202"/>
      <c r="K444" s="202" t="s">
        <v>497</v>
      </c>
      <c r="L444" s="202"/>
      <c r="M444" s="202"/>
      <c r="N444" s="202"/>
      <c r="O444" s="202"/>
    </row>
    <row r="445" spans="1:16" ht="15.75" x14ac:dyDescent="0.25">
      <c r="A445" s="195" t="s">
        <v>110</v>
      </c>
      <c r="B445" s="197" t="s">
        <v>486</v>
      </c>
      <c r="C445" s="197"/>
      <c r="D445" s="197"/>
      <c r="E445" s="197"/>
      <c r="F445" s="249" t="s">
        <v>491</v>
      </c>
      <c r="G445" s="976"/>
      <c r="I445" s="203" t="s">
        <v>88</v>
      </c>
      <c r="J445" s="203"/>
      <c r="K445" s="203" t="s">
        <v>498</v>
      </c>
      <c r="L445" s="203"/>
      <c r="M445" s="203"/>
      <c r="N445" s="203"/>
      <c r="O445" s="203"/>
    </row>
    <row r="446" spans="1:16" ht="15.75" x14ac:dyDescent="0.25">
      <c r="A446" s="81"/>
      <c r="B446" s="81"/>
      <c r="C446" s="81"/>
      <c r="D446" s="81"/>
      <c r="E446" s="81"/>
      <c r="F446" s="245" t="s">
        <v>494</v>
      </c>
      <c r="G446" s="186">
        <f>SUM(G441:G445)</f>
        <v>0</v>
      </c>
    </row>
    <row r="447" spans="1:16" ht="15.75" x14ac:dyDescent="0.2">
      <c r="B447" s="54" t="s">
        <v>215</v>
      </c>
      <c r="C447" s="52"/>
      <c r="D447" s="52"/>
      <c r="E447" s="52"/>
      <c r="F447" s="246" t="str">
        <f>IF(G446&lt;10,I441,IF(G446&lt;18,I442,IF(G446&lt;26,I443,IF(G446&lt;34,I444,IF(G446&lt;41,I445,"NAPAKA")))))</f>
        <v>Cenovni razred I</v>
      </c>
      <c r="G447" s="52"/>
    </row>
    <row r="454" spans="1:7" ht="15.75" x14ac:dyDescent="0.25">
      <c r="B454" s="261" t="s">
        <v>369</v>
      </c>
      <c r="C454" s="294" t="s">
        <v>222</v>
      </c>
      <c r="D454" s="294" t="s">
        <v>223</v>
      </c>
      <c r="E454" s="294" t="s">
        <v>224</v>
      </c>
      <c r="F454" s="294" t="s">
        <v>225</v>
      </c>
      <c r="G454" s="294" t="s">
        <v>226</v>
      </c>
    </row>
    <row r="455" spans="1:7" ht="51" x14ac:dyDescent="0.2">
      <c r="A455" s="325"/>
      <c r="B455" s="327" t="s">
        <v>546</v>
      </c>
      <c r="C455" s="328" t="s">
        <v>227</v>
      </c>
      <c r="D455" s="328"/>
      <c r="E455" s="328"/>
      <c r="F455" s="328"/>
      <c r="G455" s="328"/>
    </row>
    <row r="456" spans="1:7" ht="38.25" x14ac:dyDescent="0.2">
      <c r="A456" s="325"/>
      <c r="B456" s="329" t="s">
        <v>603</v>
      </c>
      <c r="C456" s="330"/>
      <c r="D456" s="330" t="s">
        <v>227</v>
      </c>
      <c r="E456" s="330"/>
      <c r="F456" s="330"/>
      <c r="G456" s="330"/>
    </row>
    <row r="457" spans="1:7" ht="38.25" x14ac:dyDescent="0.2">
      <c r="A457" s="325"/>
      <c r="B457" s="329" t="s">
        <v>602</v>
      </c>
      <c r="C457" s="367"/>
      <c r="D457" s="367"/>
      <c r="E457" s="367" t="s">
        <v>227</v>
      </c>
      <c r="F457" s="367"/>
      <c r="G457" s="367"/>
    </row>
    <row r="458" spans="1:7" ht="51" x14ac:dyDescent="0.2">
      <c r="A458" s="326"/>
      <c r="B458" s="331" t="s">
        <v>601</v>
      </c>
      <c r="C458" s="255"/>
      <c r="D458" s="255"/>
      <c r="E458" s="255"/>
      <c r="F458" s="273" t="s">
        <v>227</v>
      </c>
      <c r="G458" s="255"/>
    </row>
    <row r="459" spans="1:7" ht="25.5" x14ac:dyDescent="0.2">
      <c r="A459" s="325"/>
      <c r="B459" s="329" t="s">
        <v>600</v>
      </c>
      <c r="C459" s="255"/>
      <c r="D459" s="255"/>
      <c r="E459" s="255"/>
      <c r="F459" s="255"/>
      <c r="G459" s="273" t="s">
        <v>227</v>
      </c>
    </row>
    <row r="460" spans="1:7" ht="15.75" x14ac:dyDescent="0.2">
      <c r="A460" s="323"/>
      <c r="B460" s="256" t="s">
        <v>547</v>
      </c>
      <c r="C460" s="368"/>
      <c r="D460" s="368"/>
      <c r="E460" s="368"/>
      <c r="F460" s="368"/>
      <c r="G460" s="368"/>
    </row>
    <row r="461" spans="1:7" ht="38.25" x14ac:dyDescent="0.2">
      <c r="A461" s="325"/>
      <c r="B461" s="272" t="s">
        <v>262</v>
      </c>
      <c r="C461" s="273" t="s">
        <v>227</v>
      </c>
      <c r="D461" s="255"/>
      <c r="E461" s="255"/>
      <c r="F461" s="255"/>
      <c r="G461" s="255"/>
    </row>
    <row r="462" spans="1:7" ht="39.6" customHeight="1" x14ac:dyDescent="0.2">
      <c r="A462" s="325"/>
      <c r="B462" s="272" t="s">
        <v>272</v>
      </c>
      <c r="C462" s="255"/>
      <c r="D462" s="273" t="s">
        <v>227</v>
      </c>
      <c r="E462" s="255"/>
      <c r="F462" s="255"/>
      <c r="G462" s="255"/>
    </row>
    <row r="463" spans="1:7" ht="13.15" customHeight="1" x14ac:dyDescent="0.2">
      <c r="A463" s="325"/>
      <c r="B463" s="272" t="s">
        <v>304</v>
      </c>
      <c r="C463" s="255"/>
      <c r="D463" s="255"/>
      <c r="E463" s="273" t="s">
        <v>227</v>
      </c>
      <c r="F463" s="255"/>
      <c r="G463" s="255"/>
    </row>
    <row r="464" spans="1:7" x14ac:dyDescent="0.2">
      <c r="A464" s="325"/>
      <c r="B464" s="272" t="s">
        <v>253</v>
      </c>
      <c r="C464" s="255"/>
      <c r="D464" s="255"/>
      <c r="E464" s="255"/>
      <c r="F464" s="273" t="s">
        <v>227</v>
      </c>
      <c r="G464" s="255"/>
    </row>
    <row r="465" spans="1:7" x14ac:dyDescent="0.2">
      <c r="A465" s="325"/>
      <c r="B465" s="272" t="s">
        <v>259</v>
      </c>
      <c r="C465" s="255"/>
      <c r="D465" s="255"/>
      <c r="E465" s="255"/>
      <c r="F465" s="255"/>
      <c r="G465" s="273" t="s">
        <v>227</v>
      </c>
    </row>
    <row r="466" spans="1:7" ht="15.75" x14ac:dyDescent="0.2">
      <c r="A466" s="324"/>
      <c r="B466" s="256" t="s">
        <v>548</v>
      </c>
      <c r="C466" s="368"/>
      <c r="D466" s="368"/>
      <c r="E466" s="368"/>
      <c r="F466" s="368"/>
      <c r="G466" s="368"/>
    </row>
    <row r="467" spans="1:7" x14ac:dyDescent="0.2">
      <c r="A467" s="325"/>
      <c r="B467" s="329" t="s">
        <v>549</v>
      </c>
      <c r="C467" s="255"/>
      <c r="D467" s="273" t="s">
        <v>227</v>
      </c>
      <c r="E467" s="255"/>
      <c r="F467" s="255"/>
      <c r="G467" s="255"/>
    </row>
    <row r="468" spans="1:7" ht="34.9" customHeight="1" x14ac:dyDescent="0.2">
      <c r="A468" s="325"/>
      <c r="B468" s="333" t="s">
        <v>550</v>
      </c>
      <c r="C468" s="255"/>
      <c r="D468" s="255"/>
      <c r="E468" s="273" t="s">
        <v>227</v>
      </c>
      <c r="F468" s="255"/>
      <c r="G468" s="255"/>
    </row>
    <row r="469" spans="1:7" ht="29.45" customHeight="1" x14ac:dyDescent="0.2">
      <c r="A469" s="325"/>
      <c r="B469" s="333" t="s">
        <v>551</v>
      </c>
      <c r="C469" s="255"/>
      <c r="D469" s="255"/>
      <c r="E469" s="255"/>
      <c r="F469" s="273" t="s">
        <v>227</v>
      </c>
      <c r="G469" s="255"/>
    </row>
    <row r="470" spans="1:7" x14ac:dyDescent="0.2">
      <c r="A470" s="324"/>
      <c r="B470" s="332"/>
      <c r="C470" s="368"/>
      <c r="D470" s="368"/>
      <c r="E470" s="368"/>
      <c r="F470" s="368"/>
      <c r="G470" s="368"/>
    </row>
    <row r="471" spans="1:7" ht="25.5" x14ac:dyDescent="0.2">
      <c r="A471" s="325"/>
      <c r="B471" s="329" t="s">
        <v>552</v>
      </c>
      <c r="C471" s="255"/>
      <c r="D471" s="273" t="s">
        <v>227</v>
      </c>
      <c r="E471" s="255"/>
      <c r="F471" s="255"/>
      <c r="G471" s="255"/>
    </row>
    <row r="472" spans="1:7" x14ac:dyDescent="0.2">
      <c r="A472" s="325"/>
      <c r="B472" s="329" t="s">
        <v>554</v>
      </c>
      <c r="C472" s="255"/>
      <c r="D472" s="255"/>
      <c r="E472" s="273" t="s">
        <v>227</v>
      </c>
      <c r="F472" s="255"/>
      <c r="G472" s="255"/>
    </row>
    <row r="473" spans="1:7" ht="25.5" x14ac:dyDescent="0.2">
      <c r="A473" s="325"/>
      <c r="B473" s="329" t="s">
        <v>553</v>
      </c>
      <c r="C473" s="255"/>
      <c r="D473" s="255"/>
      <c r="E473" s="255"/>
      <c r="F473" s="273" t="s">
        <v>227</v>
      </c>
      <c r="G473" s="255"/>
    </row>
    <row r="474" spans="1:7" ht="15.75" x14ac:dyDescent="0.2">
      <c r="A474" s="324"/>
      <c r="B474" s="256" t="s">
        <v>555</v>
      </c>
      <c r="C474" s="368"/>
      <c r="D474" s="368"/>
      <c r="E474" s="368"/>
      <c r="F474" s="368"/>
      <c r="G474" s="368"/>
    </row>
    <row r="475" spans="1:7" x14ac:dyDescent="0.2">
      <c r="A475" s="325"/>
      <c r="B475" s="329" t="s">
        <v>556</v>
      </c>
      <c r="C475" s="255"/>
      <c r="D475" s="255"/>
      <c r="E475" s="273" t="s">
        <v>227</v>
      </c>
      <c r="F475" s="255"/>
      <c r="G475" s="255"/>
    </row>
    <row r="476" spans="1:7" x14ac:dyDescent="0.2">
      <c r="A476" s="325"/>
      <c r="B476" s="329" t="s">
        <v>557</v>
      </c>
      <c r="C476" s="255"/>
      <c r="D476" s="255"/>
      <c r="E476" s="255"/>
      <c r="F476" s="273" t="s">
        <v>227</v>
      </c>
      <c r="G476" s="255"/>
    </row>
    <row r="477" spans="1:7" ht="15.75" x14ac:dyDescent="0.2">
      <c r="A477" s="324"/>
      <c r="B477" s="256" t="s">
        <v>558</v>
      </c>
      <c r="C477" s="368"/>
      <c r="D477" s="368"/>
      <c r="E477" s="368"/>
      <c r="F477" s="368"/>
      <c r="G477" s="368"/>
    </row>
    <row r="478" spans="1:7" x14ac:dyDescent="0.2">
      <c r="A478" s="325"/>
      <c r="B478" s="329" t="s">
        <v>559</v>
      </c>
      <c r="C478" s="255"/>
      <c r="D478" s="273" t="s">
        <v>227</v>
      </c>
      <c r="E478" s="255"/>
      <c r="F478" s="255"/>
      <c r="G478" s="255"/>
    </row>
    <row r="479" spans="1:7" x14ac:dyDescent="0.2">
      <c r="A479" s="325"/>
      <c r="B479" s="329" t="s">
        <v>560</v>
      </c>
      <c r="C479" s="255"/>
      <c r="D479" s="255"/>
      <c r="E479" s="273" t="s">
        <v>227</v>
      </c>
      <c r="F479" s="255"/>
      <c r="G479" s="255"/>
    </row>
    <row r="480" spans="1:7" x14ac:dyDescent="0.2">
      <c r="A480" s="325"/>
      <c r="B480" s="329" t="s">
        <v>561</v>
      </c>
      <c r="C480" s="255"/>
      <c r="D480" s="255"/>
      <c r="E480" s="255"/>
      <c r="F480" s="273" t="s">
        <v>227</v>
      </c>
      <c r="G480" s="255"/>
    </row>
    <row r="481" spans="1:7" x14ac:dyDescent="0.2">
      <c r="A481" s="325"/>
      <c r="B481" s="329" t="s">
        <v>561</v>
      </c>
      <c r="C481" s="255"/>
      <c r="D481" s="255"/>
      <c r="E481" s="255"/>
      <c r="F481" s="255"/>
      <c r="G481" s="273" t="s">
        <v>227</v>
      </c>
    </row>
    <row r="482" spans="1:7" x14ac:dyDescent="0.2">
      <c r="A482" s="325"/>
      <c r="B482" s="329" t="s">
        <v>562</v>
      </c>
      <c r="C482" s="255"/>
      <c r="D482" s="255"/>
      <c r="E482" s="255"/>
      <c r="F482" s="273" t="s">
        <v>227</v>
      </c>
      <c r="G482" s="255"/>
    </row>
    <row r="483" spans="1:7" x14ac:dyDescent="0.2">
      <c r="A483" s="325"/>
      <c r="B483" s="329" t="s">
        <v>563</v>
      </c>
      <c r="C483" s="255"/>
      <c r="D483" s="255"/>
      <c r="E483" s="255"/>
      <c r="F483" s="255"/>
      <c r="G483" s="273" t="s">
        <v>227</v>
      </c>
    </row>
    <row r="484" spans="1:7" x14ac:dyDescent="0.2">
      <c r="A484" s="325"/>
      <c r="B484" s="329" t="s">
        <v>564</v>
      </c>
      <c r="C484" s="255"/>
      <c r="D484" s="255"/>
      <c r="E484" s="255"/>
      <c r="F484" s="273" t="s">
        <v>227</v>
      </c>
      <c r="G484" s="255"/>
    </row>
    <row r="485" spans="1:7" x14ac:dyDescent="0.2">
      <c r="A485" s="325"/>
      <c r="B485" s="329" t="s">
        <v>565</v>
      </c>
      <c r="C485" s="255"/>
      <c r="D485" s="255"/>
      <c r="E485" s="255"/>
      <c r="F485" s="255"/>
      <c r="G485" s="273" t="s">
        <v>227</v>
      </c>
    </row>
    <row r="486" spans="1:7" x14ac:dyDescent="0.2">
      <c r="A486" s="325"/>
      <c r="B486" s="329" t="s">
        <v>576</v>
      </c>
      <c r="C486" s="255"/>
      <c r="D486" s="255"/>
      <c r="E486" s="255"/>
      <c r="F486" s="273" t="s">
        <v>227</v>
      </c>
      <c r="G486" s="255"/>
    </row>
    <row r="487" spans="1:7" ht="25.5" x14ac:dyDescent="0.2">
      <c r="A487" s="325"/>
      <c r="B487" s="329" t="s">
        <v>577</v>
      </c>
      <c r="C487" s="255"/>
      <c r="D487" s="255"/>
      <c r="E487" s="255"/>
      <c r="F487" s="255"/>
      <c r="G487" s="273" t="s">
        <v>227</v>
      </c>
    </row>
    <row r="488" spans="1:7" x14ac:dyDescent="0.2">
      <c r="A488" s="325"/>
      <c r="B488" s="329" t="s">
        <v>566</v>
      </c>
      <c r="C488" s="255"/>
      <c r="D488" s="255"/>
      <c r="E488" s="255"/>
      <c r="F488" s="273" t="s">
        <v>227</v>
      </c>
      <c r="G488" s="255"/>
    </row>
    <row r="489" spans="1:7" ht="25.5" x14ac:dyDescent="0.2">
      <c r="A489" s="325"/>
      <c r="B489" s="329" t="s">
        <v>567</v>
      </c>
      <c r="C489" s="255"/>
      <c r="D489" s="255"/>
      <c r="E489" s="273" t="s">
        <v>227</v>
      </c>
      <c r="F489" s="255"/>
      <c r="G489" s="255"/>
    </row>
    <row r="490" spans="1:7" x14ac:dyDescent="0.2">
      <c r="A490" s="325"/>
      <c r="B490" s="329" t="s">
        <v>568</v>
      </c>
      <c r="C490" s="255"/>
      <c r="D490" s="255"/>
      <c r="E490" s="255"/>
      <c r="F490" s="273" t="s">
        <v>227</v>
      </c>
      <c r="G490" s="255"/>
    </row>
    <row r="491" spans="1:7" x14ac:dyDescent="0.2">
      <c r="A491" s="325"/>
      <c r="B491" s="334" t="s">
        <v>569</v>
      </c>
      <c r="C491" s="255"/>
      <c r="D491" s="255"/>
      <c r="E491" s="255"/>
      <c r="F491" s="255"/>
      <c r="G491" s="273" t="s">
        <v>227</v>
      </c>
    </row>
    <row r="492" spans="1:7" ht="15.75" x14ac:dyDescent="0.2">
      <c r="A492" s="324"/>
      <c r="B492" s="256" t="s">
        <v>574</v>
      </c>
      <c r="C492" s="368"/>
      <c r="D492" s="368"/>
      <c r="E492" s="368"/>
      <c r="F492" s="368"/>
      <c r="G492" s="368"/>
    </row>
    <row r="493" spans="1:7" x14ac:dyDescent="0.2">
      <c r="A493" s="325"/>
      <c r="B493" s="329" t="s">
        <v>570</v>
      </c>
      <c r="C493" s="255"/>
      <c r="D493" s="255"/>
      <c r="E493" s="273" t="s">
        <v>227</v>
      </c>
      <c r="F493" s="255"/>
      <c r="G493" s="255"/>
    </row>
    <row r="494" spans="1:7" ht="25.5" x14ac:dyDescent="0.2">
      <c r="A494" s="325"/>
      <c r="B494" s="333" t="s">
        <v>571</v>
      </c>
      <c r="C494" s="255"/>
      <c r="D494" s="255"/>
      <c r="E494" s="255"/>
      <c r="F494" s="273" t="s">
        <v>227</v>
      </c>
      <c r="G494" s="255"/>
    </row>
    <row r="495" spans="1:7" ht="25.5" x14ac:dyDescent="0.2">
      <c r="A495" s="325"/>
      <c r="B495" s="329" t="s">
        <v>572</v>
      </c>
      <c r="C495" s="255"/>
      <c r="D495" s="255"/>
      <c r="E495" s="273" t="s">
        <v>227</v>
      </c>
      <c r="F495" s="255"/>
      <c r="G495" s="255"/>
    </row>
    <row r="496" spans="1:7" x14ac:dyDescent="0.2">
      <c r="A496" s="325"/>
      <c r="B496" s="329" t="s">
        <v>573</v>
      </c>
      <c r="C496" s="255"/>
      <c r="D496" s="255"/>
      <c r="E496" s="255"/>
      <c r="F496" s="273" t="s">
        <v>227</v>
      </c>
      <c r="G496" s="255"/>
    </row>
    <row r="497" spans="1:7" ht="25.5" x14ac:dyDescent="0.2">
      <c r="A497" s="325"/>
      <c r="B497" s="329" t="s">
        <v>575</v>
      </c>
      <c r="C497" s="255"/>
      <c r="D497" s="255"/>
      <c r="E497" s="255"/>
      <c r="F497" s="255"/>
      <c r="G497" s="273" t="s">
        <v>227</v>
      </c>
    </row>
    <row r="498" spans="1:7" x14ac:dyDescent="0.2">
      <c r="A498" s="325"/>
      <c r="B498" s="329" t="s">
        <v>578</v>
      </c>
      <c r="C498" s="255"/>
      <c r="D498" s="255"/>
      <c r="E498" s="255"/>
      <c r="F498" s="273" t="s">
        <v>227</v>
      </c>
      <c r="G498" s="255"/>
    </row>
    <row r="499" spans="1:7" x14ac:dyDescent="0.2">
      <c r="A499" s="325"/>
      <c r="B499" s="329" t="s">
        <v>579</v>
      </c>
      <c r="C499" s="255"/>
      <c r="D499" s="255"/>
      <c r="E499" s="255"/>
      <c r="F499" s="255"/>
      <c r="G499" s="273" t="s">
        <v>227</v>
      </c>
    </row>
    <row r="500" spans="1:7" ht="15.75" x14ac:dyDescent="0.2">
      <c r="A500" s="324"/>
      <c r="B500" s="256" t="s">
        <v>580</v>
      </c>
      <c r="C500" s="368"/>
      <c r="D500" s="368"/>
      <c r="E500" s="368"/>
      <c r="F500" s="368"/>
      <c r="G500" s="368"/>
    </row>
    <row r="501" spans="1:7" x14ac:dyDescent="0.2">
      <c r="A501" s="325"/>
      <c r="B501" s="329" t="s">
        <v>581</v>
      </c>
      <c r="C501" s="255"/>
      <c r="D501" s="255"/>
      <c r="E501" s="255"/>
      <c r="F501" s="273" t="s">
        <v>227</v>
      </c>
      <c r="G501" s="255"/>
    </row>
    <row r="502" spans="1:7" x14ac:dyDescent="0.2">
      <c r="A502" s="325"/>
      <c r="B502" s="329" t="s">
        <v>585</v>
      </c>
      <c r="C502" s="255"/>
      <c r="D502" s="255"/>
      <c r="E502" s="255"/>
      <c r="F502" s="255"/>
      <c r="G502" s="273" t="s">
        <v>227</v>
      </c>
    </row>
    <row r="503" spans="1:7" ht="15.75" x14ac:dyDescent="0.2">
      <c r="A503" s="324"/>
      <c r="B503" s="256" t="s">
        <v>582</v>
      </c>
      <c r="C503" s="368"/>
      <c r="D503" s="368"/>
      <c r="E503" s="368"/>
      <c r="F503" s="368"/>
      <c r="G503" s="368"/>
    </row>
    <row r="504" spans="1:7" x14ac:dyDescent="0.2">
      <c r="A504" s="325"/>
      <c r="B504" s="329" t="s">
        <v>583</v>
      </c>
      <c r="C504" s="255"/>
      <c r="D504" s="255"/>
      <c r="E504" s="255"/>
      <c r="F504" s="273" t="s">
        <v>227</v>
      </c>
      <c r="G504" s="255"/>
    </row>
    <row r="505" spans="1:7" x14ac:dyDescent="0.2">
      <c r="A505" s="325"/>
      <c r="B505" s="329" t="s">
        <v>584</v>
      </c>
      <c r="C505" s="255"/>
      <c r="D505" s="255"/>
      <c r="E505" s="255"/>
      <c r="F505" s="255"/>
      <c r="G505" s="273" t="s">
        <v>227</v>
      </c>
    </row>
    <row r="506" spans="1:7" ht="15.75" x14ac:dyDescent="0.2">
      <c r="A506" s="324"/>
      <c r="B506" s="256" t="s">
        <v>586</v>
      </c>
      <c r="C506" s="368"/>
      <c r="D506" s="368"/>
      <c r="E506" s="368"/>
      <c r="F506" s="368"/>
      <c r="G506" s="368"/>
    </row>
    <row r="507" spans="1:7" ht="25.5" x14ac:dyDescent="0.2">
      <c r="A507" s="325"/>
      <c r="B507" s="329" t="s">
        <v>587</v>
      </c>
      <c r="C507" s="255"/>
      <c r="D507" s="255"/>
      <c r="E507" s="255"/>
      <c r="F507" s="273" t="s">
        <v>227</v>
      </c>
      <c r="G507" s="255"/>
    </row>
    <row r="508" spans="1:7" ht="25.5" x14ac:dyDescent="0.2">
      <c r="A508" s="325"/>
      <c r="B508" s="329" t="s">
        <v>588</v>
      </c>
      <c r="C508" s="255"/>
      <c r="D508" s="255"/>
      <c r="E508" s="255"/>
      <c r="F508" s="255"/>
      <c r="G508" s="273" t="s">
        <v>227</v>
      </c>
    </row>
    <row r="509" spans="1:7" x14ac:dyDescent="0.2">
      <c r="A509" s="325"/>
      <c r="B509" s="329" t="s">
        <v>589</v>
      </c>
      <c r="C509" s="255"/>
      <c r="D509" s="255"/>
      <c r="E509" s="255"/>
      <c r="F509" s="255"/>
      <c r="G509" s="273" t="s">
        <v>227</v>
      </c>
    </row>
    <row r="510" spans="1:7" ht="25.5" x14ac:dyDescent="0.2">
      <c r="A510" s="325"/>
      <c r="B510" s="333" t="s">
        <v>590</v>
      </c>
      <c r="C510" s="255"/>
      <c r="D510" s="255"/>
      <c r="E510" s="255"/>
      <c r="F510" s="255"/>
      <c r="G510" s="273" t="s">
        <v>227</v>
      </c>
    </row>
    <row r="511" spans="1:7" ht="25.5" x14ac:dyDescent="0.2">
      <c r="A511" s="325"/>
      <c r="B511" s="333" t="s">
        <v>591</v>
      </c>
      <c r="C511" s="255"/>
      <c r="D511" s="255"/>
      <c r="E511" s="255"/>
      <c r="F511" s="255"/>
      <c r="G511" s="273" t="s">
        <v>227</v>
      </c>
    </row>
    <row r="512" spans="1:7" ht="15.75" x14ac:dyDescent="0.2">
      <c r="A512" s="324"/>
      <c r="B512" s="256" t="s">
        <v>592</v>
      </c>
      <c r="C512" s="368"/>
      <c r="D512" s="368"/>
      <c r="E512" s="368"/>
      <c r="F512" s="368"/>
      <c r="G512" s="368"/>
    </row>
    <row r="513" spans="1:7" x14ac:dyDescent="0.2">
      <c r="A513" s="325"/>
      <c r="B513" s="329" t="s">
        <v>593</v>
      </c>
      <c r="C513" s="255"/>
      <c r="D513" s="255"/>
      <c r="E513" s="273" t="s">
        <v>227</v>
      </c>
      <c r="F513" s="255"/>
      <c r="G513" s="255"/>
    </row>
    <row r="514" spans="1:7" x14ac:dyDescent="0.2">
      <c r="A514" s="325"/>
      <c r="B514" s="329" t="s">
        <v>594</v>
      </c>
      <c r="C514" s="255"/>
      <c r="D514" s="255"/>
      <c r="E514" s="255"/>
      <c r="F514" s="273" t="s">
        <v>227</v>
      </c>
      <c r="G514" s="255"/>
    </row>
    <row r="515" spans="1:7" x14ac:dyDescent="0.2">
      <c r="A515" s="325"/>
      <c r="B515" s="329" t="s">
        <v>595</v>
      </c>
      <c r="C515" s="255"/>
      <c r="D515" s="255"/>
      <c r="E515" s="255"/>
      <c r="F515" s="255"/>
      <c r="G515" s="273" t="s">
        <v>227</v>
      </c>
    </row>
    <row r="516" spans="1:7" ht="15.75" x14ac:dyDescent="0.2">
      <c r="A516" s="324"/>
      <c r="B516" s="256" t="s">
        <v>599</v>
      </c>
      <c r="C516" s="368"/>
      <c r="D516" s="368"/>
      <c r="E516" s="368"/>
      <c r="F516" s="368"/>
      <c r="G516" s="368"/>
    </row>
    <row r="517" spans="1:7" x14ac:dyDescent="0.2">
      <c r="A517" s="325"/>
      <c r="B517" s="329" t="s">
        <v>596</v>
      </c>
      <c r="C517" s="254"/>
      <c r="D517" s="273" t="s">
        <v>227</v>
      </c>
      <c r="E517" s="254"/>
      <c r="F517" s="254"/>
      <c r="G517" s="254"/>
    </row>
    <row r="518" spans="1:7" x14ac:dyDescent="0.2">
      <c r="A518" s="325"/>
      <c r="B518" s="329" t="s">
        <v>597</v>
      </c>
      <c r="C518" s="254"/>
      <c r="D518" s="254"/>
      <c r="E518" s="254"/>
      <c r="F518" s="273" t="s">
        <v>227</v>
      </c>
      <c r="G518" s="254"/>
    </row>
    <row r="519" spans="1:7" ht="25.5" x14ac:dyDescent="0.2">
      <c r="A519" s="325"/>
      <c r="B519" s="329" t="s">
        <v>598</v>
      </c>
      <c r="C519" s="254"/>
      <c r="D519" s="254"/>
      <c r="E519" s="254"/>
      <c r="F519" s="254"/>
      <c r="G519" s="273" t="s">
        <v>227</v>
      </c>
    </row>
    <row r="525" spans="1:7" x14ac:dyDescent="0.2">
      <c r="F525"/>
      <c r="G525"/>
    </row>
    <row r="526" spans="1:7" x14ac:dyDescent="0.2">
      <c r="F526"/>
      <c r="G526"/>
    </row>
    <row r="527" spans="1:7" ht="15.75" x14ac:dyDescent="0.25">
      <c r="B527" s="261" t="s">
        <v>366</v>
      </c>
      <c r="C527" s="294" t="s">
        <v>222</v>
      </c>
      <c r="D527" s="294" t="s">
        <v>223</v>
      </c>
      <c r="E527" s="294" t="s">
        <v>224</v>
      </c>
      <c r="F527"/>
      <c r="G527"/>
    </row>
    <row r="528" spans="1:7" ht="15.75" x14ac:dyDescent="0.2">
      <c r="B528" s="256" t="s">
        <v>635</v>
      </c>
      <c r="F528"/>
      <c r="G528"/>
    </row>
    <row r="529" spans="2:7" ht="26.25" customHeight="1" x14ac:dyDescent="0.2">
      <c r="B529" s="329" t="s">
        <v>636</v>
      </c>
      <c r="C529" s="273" t="s">
        <v>227</v>
      </c>
      <c r="D529" s="330"/>
      <c r="E529" s="330"/>
      <c r="F529"/>
      <c r="G529"/>
    </row>
    <row r="530" spans="2:7" ht="38.25" x14ac:dyDescent="0.2">
      <c r="B530" s="329" t="s">
        <v>637</v>
      </c>
      <c r="C530" s="273"/>
      <c r="D530" s="273" t="s">
        <v>227</v>
      </c>
      <c r="E530" s="330"/>
      <c r="F530"/>
      <c r="G530"/>
    </row>
    <row r="531" spans="2:7" ht="51" x14ac:dyDescent="0.2">
      <c r="B531" s="329" t="s">
        <v>638</v>
      </c>
      <c r="C531" s="273"/>
      <c r="D531" s="273"/>
      <c r="E531" s="273" t="s">
        <v>227</v>
      </c>
      <c r="F531"/>
      <c r="G531"/>
    </row>
    <row r="532" spans="2:7" x14ac:dyDescent="0.2">
      <c r="B532" s="329" t="s">
        <v>639</v>
      </c>
      <c r="C532" s="273"/>
      <c r="D532" s="273"/>
      <c r="E532" s="273" t="s">
        <v>227</v>
      </c>
      <c r="F532"/>
      <c r="G532"/>
    </row>
    <row r="533" spans="2:7" x14ac:dyDescent="0.2">
      <c r="B533" s="329" t="s">
        <v>646</v>
      </c>
      <c r="C533" s="273" t="s">
        <v>227</v>
      </c>
      <c r="D533" s="330"/>
      <c r="E533" s="330"/>
      <c r="F533"/>
      <c r="G533"/>
    </row>
    <row r="534" spans="2:7" ht="25.5" x14ac:dyDescent="0.2">
      <c r="B534" s="329" t="s">
        <v>643</v>
      </c>
      <c r="C534" s="273"/>
      <c r="D534" s="273" t="s">
        <v>227</v>
      </c>
      <c r="E534" s="330"/>
      <c r="F534"/>
      <c r="G534"/>
    </row>
    <row r="535" spans="2:7" x14ac:dyDescent="0.2">
      <c r="B535" s="329" t="s">
        <v>640</v>
      </c>
      <c r="C535" s="273"/>
      <c r="D535" s="273" t="s">
        <v>227</v>
      </c>
      <c r="E535" s="330"/>
      <c r="F535"/>
      <c r="G535"/>
    </row>
    <row r="536" spans="2:7" x14ac:dyDescent="0.2">
      <c r="B536" s="329" t="s">
        <v>641</v>
      </c>
      <c r="C536" s="273"/>
      <c r="D536" s="273" t="s">
        <v>227</v>
      </c>
      <c r="E536" s="330"/>
      <c r="F536"/>
      <c r="G536"/>
    </row>
    <row r="537" spans="2:7" x14ac:dyDescent="0.2">
      <c r="B537" s="329" t="s">
        <v>642</v>
      </c>
      <c r="C537" s="273"/>
      <c r="D537" s="273" t="s">
        <v>227</v>
      </c>
      <c r="E537" s="330"/>
      <c r="F537"/>
      <c r="G537"/>
    </row>
    <row r="538" spans="2:7" x14ac:dyDescent="0.2">
      <c r="B538" s="329" t="s">
        <v>644</v>
      </c>
      <c r="C538" s="273"/>
      <c r="D538" s="273"/>
      <c r="E538" s="273" t="s">
        <v>227</v>
      </c>
      <c r="F538"/>
      <c r="G538"/>
    </row>
    <row r="539" spans="2:7" ht="38.25" x14ac:dyDescent="0.2">
      <c r="B539" s="329" t="s">
        <v>645</v>
      </c>
      <c r="C539" s="273"/>
      <c r="D539" s="273"/>
      <c r="E539" s="273" t="s">
        <v>227</v>
      </c>
      <c r="F539"/>
      <c r="G539"/>
    </row>
    <row r="540" spans="2:7" x14ac:dyDescent="0.2">
      <c r="B540" s="329" t="s">
        <v>634</v>
      </c>
      <c r="C540" s="273" t="s">
        <v>227</v>
      </c>
      <c r="D540" s="330"/>
      <c r="E540" s="330"/>
      <c r="F540"/>
      <c r="G540"/>
    </row>
    <row r="541" spans="2:7" ht="25.5" x14ac:dyDescent="0.2">
      <c r="B541" s="329" t="s">
        <v>647</v>
      </c>
      <c r="C541" s="273"/>
      <c r="D541" s="273" t="s">
        <v>227</v>
      </c>
      <c r="E541" s="330"/>
      <c r="F541"/>
      <c r="G541"/>
    </row>
    <row r="542" spans="2:7" ht="25.5" x14ac:dyDescent="0.2">
      <c r="B542" s="329" t="s">
        <v>648</v>
      </c>
      <c r="C542" s="273"/>
      <c r="D542" s="273"/>
      <c r="E542" s="273" t="s">
        <v>227</v>
      </c>
      <c r="F542"/>
      <c r="G542"/>
    </row>
    <row r="543" spans="2:7" ht="25.5" x14ac:dyDescent="0.2">
      <c r="B543" s="329" t="s">
        <v>649</v>
      </c>
      <c r="C543" s="273"/>
      <c r="D543" s="273"/>
      <c r="E543" s="273" t="s">
        <v>227</v>
      </c>
      <c r="F543"/>
      <c r="G543"/>
    </row>
    <row r="544" spans="2:7" x14ac:dyDescent="0.2">
      <c r="B544" s="329" t="s">
        <v>651</v>
      </c>
      <c r="C544" s="273"/>
      <c r="D544" s="273"/>
      <c r="E544" s="273" t="s">
        <v>227</v>
      </c>
      <c r="F544"/>
      <c r="G544"/>
    </row>
    <row r="545" spans="2:7" x14ac:dyDescent="0.2">
      <c r="B545" s="329" t="s">
        <v>650</v>
      </c>
      <c r="C545" s="273"/>
      <c r="D545" s="273"/>
      <c r="E545" s="273" t="s">
        <v>227</v>
      </c>
      <c r="F545"/>
      <c r="G545"/>
    </row>
    <row r="546" spans="2:7" ht="15.75" x14ac:dyDescent="0.2">
      <c r="B546" s="256" t="s">
        <v>652</v>
      </c>
      <c r="C546" s="273"/>
      <c r="D546" s="330"/>
      <c r="E546" s="330"/>
      <c r="F546"/>
      <c r="G546"/>
    </row>
    <row r="547" spans="2:7" ht="25.5" x14ac:dyDescent="0.2">
      <c r="B547" s="329" t="s">
        <v>654</v>
      </c>
      <c r="C547" s="273" t="s">
        <v>227</v>
      </c>
      <c r="D547" s="330"/>
      <c r="E547" s="330"/>
      <c r="F547"/>
      <c r="G547"/>
    </row>
    <row r="548" spans="2:7" x14ac:dyDescent="0.2">
      <c r="B548" s="329" t="s">
        <v>653</v>
      </c>
      <c r="C548" s="273" t="s">
        <v>227</v>
      </c>
      <c r="D548" s="330"/>
      <c r="E548" s="330"/>
      <c r="F548"/>
      <c r="G548"/>
    </row>
    <row r="549" spans="2:7" ht="38.25" x14ac:dyDescent="0.2">
      <c r="B549" s="329" t="s">
        <v>655</v>
      </c>
      <c r="C549" s="330"/>
      <c r="D549" s="273" t="s">
        <v>227</v>
      </c>
      <c r="E549" s="330"/>
      <c r="F549"/>
      <c r="G549"/>
    </row>
    <row r="550" spans="2:7" ht="25.5" x14ac:dyDescent="0.2">
      <c r="B550" s="329" t="s">
        <v>661</v>
      </c>
      <c r="C550" s="330"/>
      <c r="D550" s="273" t="s">
        <v>227</v>
      </c>
      <c r="E550" s="330"/>
      <c r="F550"/>
      <c r="G550"/>
    </row>
    <row r="551" spans="2:7" x14ac:dyDescent="0.2">
      <c r="B551" s="329" t="s">
        <v>656</v>
      </c>
      <c r="C551" s="330"/>
      <c r="D551" s="273" t="s">
        <v>227</v>
      </c>
      <c r="E551" s="330"/>
      <c r="F551"/>
      <c r="G551"/>
    </row>
    <row r="552" spans="2:7" x14ac:dyDescent="0.2">
      <c r="B552" s="329" t="s">
        <v>657</v>
      </c>
      <c r="C552" s="330"/>
      <c r="D552" s="273" t="s">
        <v>227</v>
      </c>
      <c r="E552" s="330"/>
      <c r="F552"/>
      <c r="G552"/>
    </row>
    <row r="553" spans="2:7" ht="25.5" x14ac:dyDescent="0.2">
      <c r="B553" s="329" t="s">
        <v>658</v>
      </c>
      <c r="C553" s="330"/>
      <c r="D553" s="273" t="s">
        <v>227</v>
      </c>
      <c r="E553" s="330"/>
      <c r="F553"/>
      <c r="G553"/>
    </row>
    <row r="554" spans="2:7" x14ac:dyDescent="0.2">
      <c r="B554" s="329" t="s">
        <v>659</v>
      </c>
      <c r="C554" s="330"/>
      <c r="D554" s="273" t="s">
        <v>227</v>
      </c>
      <c r="E554" s="330"/>
      <c r="F554"/>
      <c r="G554"/>
    </row>
    <row r="555" spans="2:7" ht="51" x14ac:dyDescent="0.2">
      <c r="B555" s="329" t="s">
        <v>660</v>
      </c>
      <c r="C555" s="330"/>
      <c r="D555" s="330"/>
      <c r="E555" s="273" t="s">
        <v>227</v>
      </c>
      <c r="F555"/>
      <c r="G555"/>
    </row>
    <row r="556" spans="2:7" ht="25.5" x14ac:dyDescent="0.2">
      <c r="B556" s="329" t="s">
        <v>662</v>
      </c>
      <c r="C556" s="330"/>
      <c r="D556" s="330"/>
      <c r="E556" s="273" t="s">
        <v>227</v>
      </c>
      <c r="F556"/>
      <c r="G556"/>
    </row>
    <row r="557" spans="2:7" ht="25.5" x14ac:dyDescent="0.2">
      <c r="B557" s="329" t="s">
        <v>663</v>
      </c>
      <c r="C557" s="330"/>
      <c r="D557" s="330"/>
      <c r="E557" s="273" t="s">
        <v>227</v>
      </c>
      <c r="F557"/>
      <c r="G557"/>
    </row>
    <row r="558" spans="2:7" ht="25.5" x14ac:dyDescent="0.2">
      <c r="B558" s="329" t="s">
        <v>664</v>
      </c>
      <c r="C558" s="330"/>
      <c r="D558" s="330"/>
      <c r="E558" s="273" t="s">
        <v>227</v>
      </c>
      <c r="F558"/>
      <c r="G558"/>
    </row>
    <row r="559" spans="2:7" x14ac:dyDescent="0.2">
      <c r="B559" s="329" t="s">
        <v>665</v>
      </c>
      <c r="C559" s="273" t="s">
        <v>227</v>
      </c>
      <c r="D559" s="330"/>
      <c r="E559" s="330"/>
      <c r="F559"/>
      <c r="G559"/>
    </row>
    <row r="560" spans="2:7" x14ac:dyDescent="0.2">
      <c r="B560" s="329" t="s">
        <v>666</v>
      </c>
      <c r="C560" s="330"/>
      <c r="D560" s="273" t="s">
        <v>227</v>
      </c>
      <c r="E560" s="330"/>
      <c r="F560"/>
      <c r="G560"/>
    </row>
    <row r="561" spans="2:7" ht="63.75" x14ac:dyDescent="0.2">
      <c r="B561" s="329" t="s">
        <v>667</v>
      </c>
      <c r="C561" s="330"/>
      <c r="D561" s="330"/>
      <c r="E561" s="273" t="s">
        <v>227</v>
      </c>
      <c r="F561"/>
      <c r="G561"/>
    </row>
    <row r="562" spans="2:7" ht="15.75" x14ac:dyDescent="0.2">
      <c r="B562" s="256" t="s">
        <v>668</v>
      </c>
      <c r="C562" s="330"/>
      <c r="D562" s="330"/>
      <c r="E562" s="330"/>
      <c r="F562"/>
      <c r="G562"/>
    </row>
    <row r="563" spans="2:7" x14ac:dyDescent="0.2">
      <c r="B563" s="329" t="s">
        <v>669</v>
      </c>
      <c r="C563" s="273" t="s">
        <v>227</v>
      </c>
      <c r="D563" s="330"/>
      <c r="E563" s="330"/>
      <c r="F563"/>
      <c r="G563"/>
    </row>
    <row r="564" spans="2:7" ht="25.5" x14ac:dyDescent="0.2">
      <c r="B564" s="329" t="s">
        <v>670</v>
      </c>
      <c r="C564" s="330"/>
      <c r="D564" s="273" t="s">
        <v>227</v>
      </c>
      <c r="E564" s="330"/>
      <c r="F564"/>
      <c r="G564"/>
    </row>
    <row r="565" spans="2:7" ht="25.5" x14ac:dyDescent="0.2">
      <c r="B565" s="329" t="s">
        <v>671</v>
      </c>
      <c r="C565" s="330"/>
      <c r="D565" s="330"/>
      <c r="E565" s="273" t="s">
        <v>227</v>
      </c>
      <c r="F565"/>
      <c r="G565"/>
    </row>
    <row r="566" spans="2:7" ht="15.75" x14ac:dyDescent="0.2">
      <c r="B566" s="256" t="s">
        <v>672</v>
      </c>
      <c r="C566" s="330"/>
      <c r="D566" s="330"/>
      <c r="E566" s="330"/>
      <c r="F566"/>
      <c r="G566"/>
    </row>
    <row r="567" spans="2:7" x14ac:dyDescent="0.2">
      <c r="B567" s="329" t="s">
        <v>673</v>
      </c>
      <c r="C567" s="273" t="s">
        <v>227</v>
      </c>
      <c r="D567" s="330"/>
      <c r="E567" s="330"/>
      <c r="F567"/>
      <c r="G567"/>
    </row>
    <row r="568" spans="2:7" ht="25.5" x14ac:dyDescent="0.2">
      <c r="B568" s="329" t="s">
        <v>674</v>
      </c>
      <c r="C568" s="330"/>
      <c r="D568" s="273" t="s">
        <v>227</v>
      </c>
      <c r="E568" s="330"/>
      <c r="F568"/>
      <c r="G568"/>
    </row>
    <row r="569" spans="2:7" ht="25.5" x14ac:dyDescent="0.2">
      <c r="B569" s="329" t="s">
        <v>675</v>
      </c>
      <c r="C569" s="330"/>
      <c r="D569" s="273" t="s">
        <v>227</v>
      </c>
      <c r="E569" s="330"/>
      <c r="F569"/>
      <c r="G569"/>
    </row>
    <row r="570" spans="2:7" ht="51" x14ac:dyDescent="0.2">
      <c r="B570" s="329" t="s">
        <v>676</v>
      </c>
      <c r="C570" s="330"/>
      <c r="D570" s="330"/>
      <c r="E570" s="273" t="s">
        <v>227</v>
      </c>
      <c r="F570"/>
      <c r="G570"/>
    </row>
    <row r="571" spans="2:7" x14ac:dyDescent="0.2">
      <c r="B571" s="329" t="s">
        <v>677</v>
      </c>
      <c r="C571" s="273" t="s">
        <v>227</v>
      </c>
      <c r="D571" s="330"/>
      <c r="E571" s="330"/>
      <c r="F571"/>
      <c r="G571"/>
    </row>
    <row r="572" spans="2:7" x14ac:dyDescent="0.2">
      <c r="B572" s="329" t="s">
        <v>678</v>
      </c>
      <c r="C572" s="330"/>
      <c r="D572" s="273" t="s">
        <v>227</v>
      </c>
      <c r="E572" s="330"/>
      <c r="F572"/>
      <c r="G572"/>
    </row>
    <row r="573" spans="2:7" x14ac:dyDescent="0.2">
      <c r="B573" s="329" t="s">
        <v>679</v>
      </c>
      <c r="C573" s="330"/>
      <c r="D573" s="330"/>
      <c r="E573" s="273" t="s">
        <v>227</v>
      </c>
      <c r="F573"/>
      <c r="G573"/>
    </row>
    <row r="574" spans="2:7" ht="25.5" x14ac:dyDescent="0.2">
      <c r="B574" s="329" t="s">
        <v>680</v>
      </c>
      <c r="C574" s="273" t="s">
        <v>227</v>
      </c>
      <c r="D574" s="330"/>
      <c r="E574" s="330"/>
      <c r="F574"/>
      <c r="G574"/>
    </row>
    <row r="575" spans="2:7" ht="38.25" x14ac:dyDescent="0.2">
      <c r="B575" s="329" t="s">
        <v>681</v>
      </c>
      <c r="C575" s="330"/>
      <c r="D575" s="273" t="s">
        <v>227</v>
      </c>
      <c r="E575" s="330"/>
      <c r="F575"/>
      <c r="G575"/>
    </row>
    <row r="576" spans="2:7" ht="25.5" x14ac:dyDescent="0.2">
      <c r="B576" s="329" t="s">
        <v>682</v>
      </c>
      <c r="C576" s="330"/>
      <c r="D576" s="330"/>
      <c r="E576" s="273" t="s">
        <v>227</v>
      </c>
      <c r="F576"/>
      <c r="G576"/>
    </row>
    <row r="577" spans="2:7" x14ac:dyDescent="0.2">
      <c r="B577" s="329" t="s">
        <v>686</v>
      </c>
      <c r="C577" s="273" t="s">
        <v>227</v>
      </c>
      <c r="D577" s="330"/>
      <c r="E577" s="273"/>
      <c r="F577"/>
      <c r="G577"/>
    </row>
    <row r="578" spans="2:7" ht="25.5" x14ac:dyDescent="0.2">
      <c r="B578" s="329" t="s">
        <v>687</v>
      </c>
      <c r="C578" s="330"/>
      <c r="D578" s="273" t="s">
        <v>227</v>
      </c>
      <c r="E578" s="273"/>
      <c r="F578"/>
      <c r="G578"/>
    </row>
    <row r="579" spans="2:7" x14ac:dyDescent="0.2">
      <c r="B579" s="329" t="s">
        <v>688</v>
      </c>
      <c r="C579" s="330"/>
      <c r="D579" s="273" t="s">
        <v>227</v>
      </c>
      <c r="E579" s="273"/>
      <c r="F579"/>
      <c r="G579"/>
    </row>
    <row r="580" spans="2:7" x14ac:dyDescent="0.2">
      <c r="B580" s="329" t="s">
        <v>689</v>
      </c>
      <c r="C580" s="330"/>
      <c r="D580" s="330"/>
      <c r="E580" s="273" t="s">
        <v>227</v>
      </c>
      <c r="F580"/>
      <c r="G580"/>
    </row>
    <row r="581" spans="2:7" ht="38.25" x14ac:dyDescent="0.2">
      <c r="B581" s="329" t="s">
        <v>690</v>
      </c>
      <c r="C581" s="330"/>
      <c r="D581" s="330"/>
      <c r="E581" s="273" t="s">
        <v>227</v>
      </c>
      <c r="F581"/>
      <c r="G581"/>
    </row>
    <row r="582" spans="2:7" ht="25.5" x14ac:dyDescent="0.2">
      <c r="B582" s="329" t="s">
        <v>691</v>
      </c>
      <c r="C582" s="330"/>
      <c r="D582" s="330"/>
      <c r="E582" s="273" t="s">
        <v>227</v>
      </c>
      <c r="F582"/>
      <c r="G582"/>
    </row>
    <row r="583" spans="2:7" ht="38.25" x14ac:dyDescent="0.2">
      <c r="B583" s="329" t="s">
        <v>692</v>
      </c>
      <c r="C583" s="330"/>
      <c r="D583" s="330"/>
      <c r="E583" s="273" t="s">
        <v>227</v>
      </c>
      <c r="F583"/>
      <c r="G583"/>
    </row>
    <row r="584" spans="2:7" x14ac:dyDescent="0.2">
      <c r="B584" s="329" t="s">
        <v>693</v>
      </c>
      <c r="C584" s="330"/>
      <c r="D584" s="330"/>
      <c r="E584" s="273" t="s">
        <v>227</v>
      </c>
      <c r="F584"/>
      <c r="G584"/>
    </row>
    <row r="585" spans="2:7" ht="25.5" x14ac:dyDescent="0.2">
      <c r="B585" s="329" t="s">
        <v>694</v>
      </c>
      <c r="C585" s="330"/>
      <c r="D585" s="330"/>
      <c r="E585" s="273" t="s">
        <v>227</v>
      </c>
      <c r="F585"/>
      <c r="G585"/>
    </row>
    <row r="586" spans="2:7" x14ac:dyDescent="0.2">
      <c r="B586" s="329" t="s">
        <v>695</v>
      </c>
      <c r="C586" s="330"/>
      <c r="D586" s="273" t="s">
        <v>227</v>
      </c>
      <c r="E586" s="330"/>
      <c r="F586"/>
      <c r="G586"/>
    </row>
    <row r="587" spans="2:7" x14ac:dyDescent="0.2">
      <c r="B587" s="329" t="s">
        <v>696</v>
      </c>
      <c r="C587" s="330"/>
      <c r="D587" s="330"/>
      <c r="E587" s="273" t="s">
        <v>227</v>
      </c>
      <c r="F587"/>
      <c r="G587"/>
    </row>
    <row r="588" spans="2:7" ht="15.75" x14ac:dyDescent="0.2">
      <c r="B588" s="256" t="s">
        <v>697</v>
      </c>
      <c r="C588" s="330"/>
      <c r="D588" s="330"/>
      <c r="E588" s="273"/>
      <c r="F588"/>
      <c r="G588"/>
    </row>
    <row r="589" spans="2:7" ht="38.25" x14ac:dyDescent="0.2">
      <c r="B589" s="329" t="s">
        <v>698</v>
      </c>
      <c r="C589" s="330"/>
      <c r="D589" s="273" t="s">
        <v>227</v>
      </c>
      <c r="E589" s="273"/>
      <c r="F589"/>
      <c r="G589"/>
    </row>
    <row r="590" spans="2:7" ht="38.25" x14ac:dyDescent="0.2">
      <c r="B590" s="329" t="s">
        <v>699</v>
      </c>
      <c r="C590" s="330"/>
      <c r="D590" s="330"/>
      <c r="E590" s="273" t="s">
        <v>227</v>
      </c>
      <c r="F590"/>
      <c r="G590"/>
    </row>
    <row r="591" spans="2:7" ht="25.5" x14ac:dyDescent="0.2">
      <c r="B591" s="329" t="s">
        <v>700</v>
      </c>
      <c r="C591" s="330"/>
      <c r="D591" s="273" t="s">
        <v>227</v>
      </c>
      <c r="E591" s="273"/>
      <c r="F591"/>
      <c r="G591"/>
    </row>
    <row r="592" spans="2:7" ht="25.5" x14ac:dyDescent="0.2">
      <c r="B592" s="329" t="s">
        <v>701</v>
      </c>
      <c r="C592" s="330"/>
      <c r="D592" s="330"/>
      <c r="E592" s="273" t="s">
        <v>227</v>
      </c>
      <c r="F592"/>
      <c r="G592"/>
    </row>
    <row r="593" spans="2:7" ht="25.5" x14ac:dyDescent="0.2">
      <c r="B593" s="329" t="s">
        <v>702</v>
      </c>
      <c r="C593" s="330"/>
      <c r="D593" s="273" t="s">
        <v>227</v>
      </c>
      <c r="E593" s="273"/>
      <c r="F593"/>
      <c r="G593"/>
    </row>
    <row r="594" spans="2:7" x14ac:dyDescent="0.2">
      <c r="B594" s="329" t="s">
        <v>703</v>
      </c>
      <c r="C594" s="330"/>
      <c r="D594" s="330"/>
      <c r="E594" s="273" t="s">
        <v>227</v>
      </c>
      <c r="F594"/>
      <c r="G594"/>
    </row>
    <row r="595" spans="2:7" x14ac:dyDescent="0.2">
      <c r="B595" s="329" t="s">
        <v>704</v>
      </c>
      <c r="C595" s="330"/>
      <c r="D595" s="273" t="s">
        <v>227</v>
      </c>
      <c r="E595" s="273"/>
      <c r="F595"/>
      <c r="G595"/>
    </row>
    <row r="596" spans="2:7" x14ac:dyDescent="0.2">
      <c r="B596" s="329" t="s">
        <v>705</v>
      </c>
      <c r="C596" s="330"/>
      <c r="D596" s="330"/>
      <c r="E596" s="273" t="s">
        <v>227</v>
      </c>
      <c r="F596"/>
      <c r="G596"/>
    </row>
    <row r="597" spans="2:7" x14ac:dyDescent="0.2">
      <c r="B597" s="329" t="s">
        <v>706</v>
      </c>
      <c r="C597" s="330"/>
      <c r="D597" s="273" t="s">
        <v>227</v>
      </c>
      <c r="E597" s="273"/>
      <c r="F597"/>
      <c r="G597"/>
    </row>
    <row r="598" spans="2:7" x14ac:dyDescent="0.2">
      <c r="B598" s="329" t="s">
        <v>707</v>
      </c>
      <c r="C598" s="330"/>
      <c r="D598" s="330"/>
      <c r="E598" s="273" t="s">
        <v>227</v>
      </c>
      <c r="F598"/>
      <c r="G598"/>
    </row>
    <row r="599" spans="2:7" x14ac:dyDescent="0.2">
      <c r="B599" s="329" t="s">
        <v>708</v>
      </c>
      <c r="C599" s="330"/>
      <c r="D599" s="273" t="s">
        <v>227</v>
      </c>
      <c r="E599" s="273"/>
      <c r="F599"/>
      <c r="G599"/>
    </row>
    <row r="600" spans="2:7" x14ac:dyDescent="0.2">
      <c r="B600" s="329" t="s">
        <v>709</v>
      </c>
      <c r="C600" s="330"/>
      <c r="D600" s="273" t="s">
        <v>227</v>
      </c>
      <c r="E600" s="273"/>
      <c r="F600"/>
      <c r="G600"/>
    </row>
    <row r="601" spans="2:7" x14ac:dyDescent="0.2">
      <c r="B601" s="329" t="s">
        <v>710</v>
      </c>
      <c r="C601" s="330"/>
      <c r="D601" s="330"/>
      <c r="E601" s="273" t="s">
        <v>227</v>
      </c>
      <c r="F601"/>
      <c r="G601"/>
    </row>
    <row r="602" spans="2:7" ht="25.5" x14ac:dyDescent="0.2">
      <c r="B602" s="329" t="s">
        <v>711</v>
      </c>
      <c r="C602" s="330"/>
      <c r="D602" s="273" t="s">
        <v>227</v>
      </c>
      <c r="E602" s="273"/>
      <c r="F602"/>
      <c r="G602"/>
    </row>
    <row r="603" spans="2:7" x14ac:dyDescent="0.2">
      <c r="B603" s="329" t="s">
        <v>712</v>
      </c>
      <c r="C603" s="330"/>
      <c r="D603" s="273" t="s">
        <v>227</v>
      </c>
      <c r="E603" s="273"/>
      <c r="F603"/>
      <c r="G603"/>
    </row>
    <row r="604" spans="2:7" x14ac:dyDescent="0.2">
      <c r="B604" s="329" t="s">
        <v>713</v>
      </c>
      <c r="C604" s="330"/>
      <c r="D604" s="330"/>
      <c r="E604" s="273" t="s">
        <v>227</v>
      </c>
      <c r="F604"/>
      <c r="G604"/>
    </row>
    <row r="605" spans="2:7" ht="51" x14ac:dyDescent="0.2">
      <c r="B605" s="329" t="s">
        <v>714</v>
      </c>
      <c r="C605" s="330"/>
      <c r="D605" s="273" t="s">
        <v>227</v>
      </c>
      <c r="E605" s="273"/>
      <c r="F605"/>
      <c r="G605"/>
    </row>
    <row r="606" spans="2:7" ht="38.25" x14ac:dyDescent="0.2">
      <c r="B606" s="329" t="s">
        <v>715</v>
      </c>
      <c r="C606" s="330"/>
      <c r="D606" s="330"/>
      <c r="E606" s="273" t="s">
        <v>227</v>
      </c>
      <c r="F606"/>
      <c r="G606"/>
    </row>
    <row r="607" spans="2:7" ht="15.75" x14ac:dyDescent="0.2">
      <c r="B607" s="256" t="s">
        <v>716</v>
      </c>
      <c r="C607" s="330"/>
      <c r="D607" s="330"/>
      <c r="E607" s="273"/>
      <c r="F607"/>
      <c r="G607"/>
    </row>
    <row r="608" spans="2:7" ht="25.5" x14ac:dyDescent="0.2">
      <c r="B608" s="329" t="s">
        <v>717</v>
      </c>
      <c r="C608" s="330"/>
      <c r="D608" s="330"/>
      <c r="E608" s="273" t="s">
        <v>227</v>
      </c>
      <c r="F608"/>
      <c r="G608"/>
    </row>
    <row r="609" spans="2:7" x14ac:dyDescent="0.2">
      <c r="C609"/>
      <c r="D609"/>
      <c r="E609"/>
      <c r="F609"/>
      <c r="G609"/>
    </row>
    <row r="610" spans="2:7" x14ac:dyDescent="0.2">
      <c r="C610"/>
      <c r="D610"/>
      <c r="E610"/>
      <c r="F610"/>
      <c r="G610"/>
    </row>
    <row r="611" spans="2:7" x14ac:dyDescent="0.2">
      <c r="C611"/>
      <c r="D611"/>
      <c r="E611"/>
      <c r="F611"/>
      <c r="G611"/>
    </row>
    <row r="612" spans="2:7" ht="15.75" x14ac:dyDescent="0.25">
      <c r="B612" s="261" t="s">
        <v>374</v>
      </c>
      <c r="C612" s="252"/>
      <c r="D612" s="252"/>
      <c r="E612" s="252"/>
      <c r="F612"/>
      <c r="G612"/>
    </row>
    <row r="613" spans="2:7" x14ac:dyDescent="0.2">
      <c r="B613" s="329" t="s">
        <v>683</v>
      </c>
      <c r="C613" s="273" t="s">
        <v>227</v>
      </c>
      <c r="D613" s="330"/>
      <c r="E613" s="330"/>
      <c r="F613"/>
      <c r="G613"/>
    </row>
    <row r="614" spans="2:7" x14ac:dyDescent="0.2">
      <c r="B614" s="329" t="s">
        <v>684</v>
      </c>
      <c r="C614" s="330"/>
      <c r="D614" s="273" t="s">
        <v>227</v>
      </c>
      <c r="E614" s="330"/>
      <c r="F614"/>
      <c r="G614"/>
    </row>
    <row r="615" spans="2:7" x14ac:dyDescent="0.2">
      <c r="B615" s="329" t="s">
        <v>685</v>
      </c>
      <c r="C615" s="330"/>
      <c r="D615" s="330"/>
      <c r="E615" s="273" t="s">
        <v>227</v>
      </c>
      <c r="F615"/>
      <c r="G615"/>
    </row>
    <row r="616" spans="2:7" x14ac:dyDescent="0.2">
      <c r="C616"/>
      <c r="D616"/>
      <c r="E616"/>
      <c r="F616"/>
      <c r="G616"/>
    </row>
    <row r="617" spans="2:7" x14ac:dyDescent="0.2">
      <c r="C617"/>
      <c r="D617"/>
      <c r="E617"/>
      <c r="F617"/>
      <c r="G617"/>
    </row>
    <row r="618" spans="2:7" x14ac:dyDescent="0.2">
      <c r="C618"/>
      <c r="D618"/>
      <c r="E618"/>
      <c r="F618"/>
      <c r="G618"/>
    </row>
    <row r="619" spans="2:7" ht="15.75" x14ac:dyDescent="0.25">
      <c r="B619" s="261" t="s">
        <v>372</v>
      </c>
      <c r="C619" s="252"/>
      <c r="D619" s="252"/>
      <c r="E619" s="252"/>
      <c r="F619"/>
      <c r="G619"/>
    </row>
    <row r="620" spans="2:7" x14ac:dyDescent="0.2">
      <c r="B620" s="250" t="s">
        <v>473</v>
      </c>
      <c r="F620"/>
      <c r="G620"/>
    </row>
    <row r="621" spans="2:7" x14ac:dyDescent="0.2">
      <c r="F621"/>
      <c r="G621"/>
    </row>
    <row r="622" spans="2:7" x14ac:dyDescent="0.2">
      <c r="F622"/>
      <c r="G622"/>
    </row>
    <row r="624" spans="2:7" ht="15.75" x14ac:dyDescent="0.25">
      <c r="B624" s="261" t="s">
        <v>69</v>
      </c>
      <c r="C624" s="294" t="s">
        <v>222</v>
      </c>
      <c r="D624" s="294" t="s">
        <v>223</v>
      </c>
      <c r="E624" s="294" t="s">
        <v>224</v>
      </c>
      <c r="F624"/>
      <c r="G624"/>
    </row>
    <row r="625" spans="2:7" ht="25.5" x14ac:dyDescent="0.2">
      <c r="B625" s="239" t="s">
        <v>331</v>
      </c>
      <c r="C625" s="283" t="s">
        <v>227</v>
      </c>
      <c r="D625" s="283"/>
      <c r="E625" s="283"/>
      <c r="F625"/>
      <c r="G625"/>
    </row>
    <row r="626" spans="2:7" x14ac:dyDescent="0.2">
      <c r="B626" s="240" t="s">
        <v>332</v>
      </c>
      <c r="C626" s="273"/>
      <c r="D626" s="273" t="s">
        <v>227</v>
      </c>
      <c r="E626" s="273"/>
      <c r="F626"/>
      <c r="G626"/>
    </row>
    <row r="627" spans="2:7" x14ac:dyDescent="0.2">
      <c r="B627" s="240" t="s">
        <v>333</v>
      </c>
      <c r="C627" s="273"/>
      <c r="D627" s="273" t="s">
        <v>227</v>
      </c>
      <c r="E627" s="273"/>
      <c r="F627"/>
      <c r="G627"/>
    </row>
    <row r="628" spans="2:7" x14ac:dyDescent="0.2">
      <c r="B628" s="240" t="s">
        <v>334</v>
      </c>
      <c r="C628" s="273"/>
      <c r="D628" s="273" t="s">
        <v>227</v>
      </c>
      <c r="E628" s="273"/>
      <c r="F628"/>
      <c r="G628"/>
    </row>
    <row r="629" spans="2:7" x14ac:dyDescent="0.2">
      <c r="B629" s="240" t="s">
        <v>335</v>
      </c>
      <c r="C629" s="273"/>
      <c r="D629" s="273" t="s">
        <v>227</v>
      </c>
      <c r="E629" s="273"/>
      <c r="F629"/>
      <c r="G629"/>
    </row>
    <row r="630" spans="2:7" x14ac:dyDescent="0.2">
      <c r="B630" s="240" t="s">
        <v>336</v>
      </c>
      <c r="C630" s="273"/>
      <c r="D630" s="273" t="s">
        <v>227</v>
      </c>
      <c r="E630" s="273"/>
      <c r="F630"/>
      <c r="G630"/>
    </row>
    <row r="631" spans="2:7" x14ac:dyDescent="0.2">
      <c r="B631" s="240" t="s">
        <v>337</v>
      </c>
      <c r="C631" s="273"/>
      <c r="D631" s="273" t="s">
        <v>227</v>
      </c>
      <c r="E631" s="273"/>
      <c r="F631"/>
      <c r="G631"/>
    </row>
    <row r="632" spans="2:7" x14ac:dyDescent="0.2">
      <c r="B632" s="240" t="s">
        <v>338</v>
      </c>
      <c r="C632" s="273"/>
      <c r="D632" s="273" t="s">
        <v>227</v>
      </c>
      <c r="E632" s="273"/>
      <c r="F632"/>
      <c r="G632"/>
    </row>
    <row r="633" spans="2:7" x14ac:dyDescent="0.2">
      <c r="B633" s="240" t="s">
        <v>339</v>
      </c>
      <c r="C633" s="273"/>
      <c r="D633" s="273" t="s">
        <v>227</v>
      </c>
      <c r="E633" s="273"/>
      <c r="F633"/>
      <c r="G633"/>
    </row>
    <row r="634" spans="2:7" x14ac:dyDescent="0.2">
      <c r="B634" s="240" t="s">
        <v>340</v>
      </c>
      <c r="C634" s="273"/>
      <c r="D634" s="273" t="s">
        <v>227</v>
      </c>
      <c r="E634" s="273"/>
      <c r="F634"/>
      <c r="G634"/>
    </row>
    <row r="635" spans="2:7" x14ac:dyDescent="0.2">
      <c r="B635" s="240" t="s">
        <v>341</v>
      </c>
      <c r="C635" s="273"/>
      <c r="D635" s="273"/>
      <c r="E635" s="273" t="s">
        <v>227</v>
      </c>
      <c r="F635"/>
      <c r="G635"/>
    </row>
    <row r="636" spans="2:7" x14ac:dyDescent="0.2">
      <c r="B636" s="240" t="s">
        <v>342</v>
      </c>
      <c r="C636" s="273"/>
      <c r="D636" s="273"/>
      <c r="E636" s="273" t="s">
        <v>227</v>
      </c>
      <c r="F636"/>
      <c r="G636"/>
    </row>
    <row r="637" spans="2:7" ht="25.5" x14ac:dyDescent="0.2">
      <c r="B637" s="240" t="s">
        <v>343</v>
      </c>
      <c r="C637" s="273"/>
      <c r="D637" s="273"/>
      <c r="E637" s="273" t="s">
        <v>227</v>
      </c>
      <c r="F637"/>
      <c r="G637"/>
    </row>
    <row r="638" spans="2:7" ht="25.5" x14ac:dyDescent="0.2">
      <c r="B638" s="240" t="s">
        <v>344</v>
      </c>
      <c r="C638" s="273"/>
      <c r="D638" s="273"/>
      <c r="E638" s="273" t="s">
        <v>227</v>
      </c>
      <c r="F638"/>
      <c r="G638"/>
    </row>
    <row r="639" spans="2:7" x14ac:dyDescent="0.2">
      <c r="B639" s="240" t="s">
        <v>345</v>
      </c>
      <c r="C639" s="273"/>
      <c r="D639" s="273"/>
      <c r="E639" s="273" t="s">
        <v>227</v>
      </c>
      <c r="F639"/>
      <c r="G639"/>
    </row>
    <row r="640" spans="2:7" x14ac:dyDescent="0.2">
      <c r="B640" s="234"/>
      <c r="C640" s="236"/>
      <c r="D640" s="236"/>
      <c r="E640" s="236"/>
      <c r="F640"/>
      <c r="G640"/>
    </row>
    <row r="641" spans="2:7" x14ac:dyDescent="0.2">
      <c r="F641"/>
      <c r="G641"/>
    </row>
    <row r="643" spans="2:7" ht="15.75" x14ac:dyDescent="0.25">
      <c r="B643" s="261" t="s">
        <v>373</v>
      </c>
      <c r="C643" s="294" t="s">
        <v>222</v>
      </c>
      <c r="D643" s="294" t="s">
        <v>223</v>
      </c>
      <c r="E643" s="294" t="s">
        <v>224</v>
      </c>
      <c r="F643" s="294" t="s">
        <v>225</v>
      </c>
      <c r="G643" s="294" t="s">
        <v>226</v>
      </c>
    </row>
    <row r="644" spans="2:7" x14ac:dyDescent="0.2">
      <c r="B644" s="275" t="s">
        <v>346</v>
      </c>
      <c r="C644" s="284" t="s">
        <v>227</v>
      </c>
      <c r="D644" s="284"/>
      <c r="E644" s="284"/>
      <c r="F644" s="284"/>
      <c r="G644" s="284"/>
    </row>
    <row r="645" spans="2:7" x14ac:dyDescent="0.2">
      <c r="B645" s="276" t="s">
        <v>347</v>
      </c>
      <c r="C645" s="266"/>
      <c r="D645" s="266" t="s">
        <v>227</v>
      </c>
      <c r="E645" s="266"/>
      <c r="F645" s="266"/>
      <c r="G645" s="266"/>
    </row>
    <row r="646" spans="2:7" x14ac:dyDescent="0.2">
      <c r="B646" s="276" t="s">
        <v>348</v>
      </c>
      <c r="C646" s="266"/>
      <c r="D646" s="266"/>
      <c r="E646" s="266"/>
      <c r="F646" s="266"/>
      <c r="G646" s="266"/>
    </row>
    <row r="647" spans="2:7" x14ac:dyDescent="0.2">
      <c r="B647" s="293" t="s">
        <v>349</v>
      </c>
      <c r="C647" s="266"/>
      <c r="D647" s="266" t="s">
        <v>227</v>
      </c>
      <c r="E647" s="266"/>
      <c r="F647" s="266"/>
      <c r="G647" s="266"/>
    </row>
    <row r="648" spans="2:7" x14ac:dyDescent="0.2">
      <c r="B648" s="293" t="s">
        <v>350</v>
      </c>
      <c r="C648" s="266"/>
      <c r="D648" s="266"/>
      <c r="E648" s="266" t="s">
        <v>227</v>
      </c>
      <c r="F648" s="266"/>
      <c r="G648" s="266"/>
    </row>
    <row r="649" spans="2:7" x14ac:dyDescent="0.2">
      <c r="B649" s="293" t="s">
        <v>351</v>
      </c>
      <c r="C649" s="266"/>
      <c r="D649" s="266"/>
      <c r="E649" s="266"/>
      <c r="F649" s="266" t="s">
        <v>227</v>
      </c>
      <c r="G649" s="266"/>
    </row>
    <row r="650" spans="2:7" x14ac:dyDescent="0.2">
      <c r="B650" s="276" t="s">
        <v>352</v>
      </c>
      <c r="C650" s="266"/>
      <c r="D650" s="266"/>
      <c r="E650" s="266"/>
      <c r="F650" s="266"/>
      <c r="G650" s="266"/>
    </row>
    <row r="651" spans="2:7" x14ac:dyDescent="0.2">
      <c r="B651" s="293" t="s">
        <v>353</v>
      </c>
      <c r="C651" s="266"/>
      <c r="D651" s="266" t="s">
        <v>227</v>
      </c>
      <c r="E651" s="266"/>
      <c r="F651" s="266"/>
      <c r="G651" s="266"/>
    </row>
    <row r="652" spans="2:7" x14ac:dyDescent="0.2">
      <c r="B652" s="293" t="s">
        <v>354</v>
      </c>
      <c r="C652" s="266"/>
      <c r="D652" s="266"/>
      <c r="E652" s="266" t="s">
        <v>227</v>
      </c>
      <c r="F652" s="266"/>
      <c r="G652" s="266"/>
    </row>
    <row r="653" spans="2:7" x14ac:dyDescent="0.2">
      <c r="B653" s="293" t="s">
        <v>355</v>
      </c>
      <c r="C653" s="266"/>
      <c r="D653" s="266"/>
      <c r="E653" s="266"/>
      <c r="F653" s="266" t="s">
        <v>227</v>
      </c>
      <c r="G653" s="266"/>
    </row>
    <row r="654" spans="2:7" x14ac:dyDescent="0.2">
      <c r="B654" s="276" t="s">
        <v>356</v>
      </c>
      <c r="C654" s="266"/>
      <c r="D654" s="266"/>
      <c r="E654" s="266"/>
      <c r="F654" s="266"/>
      <c r="G654" s="266"/>
    </row>
    <row r="655" spans="2:7" x14ac:dyDescent="0.2">
      <c r="B655" s="293" t="s">
        <v>353</v>
      </c>
      <c r="C655" s="266"/>
      <c r="D655" s="266" t="s">
        <v>227</v>
      </c>
      <c r="E655" s="266"/>
      <c r="F655" s="266"/>
      <c r="G655" s="266"/>
    </row>
    <row r="656" spans="2:7" x14ac:dyDescent="0.2">
      <c r="B656" s="293" t="s">
        <v>354</v>
      </c>
      <c r="C656" s="266"/>
      <c r="D656" s="266"/>
      <c r="E656" s="266" t="s">
        <v>227</v>
      </c>
      <c r="F656" s="266"/>
      <c r="G656" s="266"/>
    </row>
    <row r="657" spans="2:7" x14ac:dyDescent="0.2">
      <c r="B657" s="293" t="s">
        <v>355</v>
      </c>
      <c r="C657" s="266"/>
      <c r="D657" s="266"/>
      <c r="E657" s="266"/>
      <c r="F657" s="266" t="s">
        <v>227</v>
      </c>
      <c r="G657" s="266"/>
    </row>
    <row r="658" spans="2:7" x14ac:dyDescent="0.2">
      <c r="B658" s="276" t="s">
        <v>357</v>
      </c>
      <c r="C658" s="266"/>
      <c r="D658" s="266"/>
      <c r="E658" s="266"/>
      <c r="F658" s="266"/>
      <c r="G658" s="266"/>
    </row>
    <row r="659" spans="2:7" x14ac:dyDescent="0.2">
      <c r="B659" s="293" t="s">
        <v>358</v>
      </c>
      <c r="C659" s="266"/>
      <c r="D659" s="266" t="s">
        <v>227</v>
      </c>
      <c r="E659" s="266"/>
      <c r="F659" s="266"/>
      <c r="G659" s="266"/>
    </row>
    <row r="660" spans="2:7" x14ac:dyDescent="0.2">
      <c r="B660" s="293" t="s">
        <v>359</v>
      </c>
      <c r="C660" s="266"/>
      <c r="D660" s="266"/>
      <c r="E660" s="266" t="s">
        <v>227</v>
      </c>
      <c r="F660" s="266"/>
      <c r="G660" s="266"/>
    </row>
    <row r="661" spans="2:7" x14ac:dyDescent="0.2">
      <c r="B661" s="276" t="s">
        <v>360</v>
      </c>
      <c r="C661" s="266"/>
      <c r="D661" s="266"/>
      <c r="E661" s="266"/>
      <c r="F661" s="266"/>
      <c r="G661" s="266"/>
    </row>
    <row r="662" spans="2:7" x14ac:dyDescent="0.2">
      <c r="B662" s="293" t="s">
        <v>361</v>
      </c>
      <c r="C662" s="266"/>
      <c r="D662" s="266"/>
      <c r="E662" s="266"/>
      <c r="F662" s="266" t="s">
        <v>227</v>
      </c>
      <c r="G662" s="266"/>
    </row>
    <row r="663" spans="2:7" x14ac:dyDescent="0.2">
      <c r="B663" s="293" t="s">
        <v>355</v>
      </c>
      <c r="C663" s="266"/>
      <c r="D663" s="266"/>
      <c r="E663" s="266"/>
      <c r="F663" s="266"/>
      <c r="G663" s="266" t="s">
        <v>227</v>
      </c>
    </row>
    <row r="664" spans="2:7" x14ac:dyDescent="0.2">
      <c r="B664" s="276" t="s">
        <v>362</v>
      </c>
      <c r="C664" s="266"/>
      <c r="D664" s="266"/>
      <c r="E664" s="266"/>
      <c r="F664" s="266"/>
      <c r="G664" s="266" t="s">
        <v>227</v>
      </c>
    </row>
    <row r="665" spans="2:7" x14ac:dyDescent="0.2">
      <c r="B665" s="276" t="s">
        <v>363</v>
      </c>
      <c r="C665" s="266"/>
      <c r="D665" s="266"/>
      <c r="E665" s="266"/>
      <c r="F665" s="266"/>
      <c r="G665" s="266" t="s">
        <v>227</v>
      </c>
    </row>
    <row r="668" spans="2:7" x14ac:dyDescent="0.2">
      <c r="C668"/>
      <c r="D668"/>
    </row>
    <row r="669" spans="2:7" x14ac:dyDescent="0.2">
      <c r="C669"/>
      <c r="D669"/>
    </row>
    <row r="670" spans="2:7" x14ac:dyDescent="0.2">
      <c r="C670"/>
      <c r="D670"/>
    </row>
    <row r="671" spans="2:7" x14ac:dyDescent="0.2">
      <c r="C671"/>
      <c r="D671"/>
    </row>
    <row r="672" spans="2:7" x14ac:dyDescent="0.2">
      <c r="C672"/>
      <c r="D672"/>
    </row>
    <row r="673" spans="3:4" x14ac:dyDescent="0.2">
      <c r="C673"/>
      <c r="D673"/>
    </row>
  </sheetData>
  <sheetProtection algorithmName="SHA-512" hashValue="uKTsdZMdj4qBqgEHr5ZSDCfxJJwlS99lodaBOC2gh85UJMYO9FB4TSkCMIbfWcJ4JyMJQlZGAKNbfI5MaxEpzw==" saltValue="rxBMHDl+izVwDqREB/GLhg==" spinCount="100000" sheet="1" objects="1" scenarios="1"/>
  <mergeCells count="6">
    <mergeCell ref="B261:G261"/>
    <mergeCell ref="B267:G267"/>
    <mergeCell ref="B317:G317"/>
    <mergeCell ref="B4:G4"/>
    <mergeCell ref="B259:G259"/>
    <mergeCell ref="B315:G315"/>
  </mergeCells>
  <phoneticPr fontId="6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outlinePr summaryBelow="0"/>
    <pageSetUpPr fitToPage="1"/>
  </sheetPr>
  <dimension ref="A1:R1496"/>
  <sheetViews>
    <sheetView showGridLines="0" topLeftCell="A163" zoomScale="85" zoomScaleNormal="85" workbookViewId="0">
      <selection activeCell="A216" sqref="A216"/>
    </sheetView>
  </sheetViews>
  <sheetFormatPr defaultColWidth="9.140625" defaultRowHeight="14.25" x14ac:dyDescent="0.25"/>
  <cols>
    <col min="1" max="1" width="10.7109375" style="14" customWidth="1"/>
    <col min="2" max="2" width="43.42578125" style="12" customWidth="1"/>
    <col min="3" max="3" width="8.7109375" style="15" customWidth="1"/>
    <col min="4" max="6" width="8.7109375" style="12" customWidth="1"/>
    <col min="7" max="7" width="10" style="12" customWidth="1"/>
    <col min="8" max="8" width="12" style="12" customWidth="1"/>
    <col min="9" max="9" width="15.7109375" style="12" customWidth="1"/>
    <col min="10" max="10" width="10.5703125" style="12" customWidth="1"/>
    <col min="11" max="15" width="8.7109375" style="12" customWidth="1"/>
    <col min="16" max="17" width="12.28515625" style="12" customWidth="1"/>
    <col min="18" max="18" width="8.7109375" style="12" customWidth="1"/>
    <col min="19" max="16384" width="9.140625" style="12"/>
  </cols>
  <sheetData>
    <row r="1" spans="1:10" s="16" customFormat="1" ht="18" customHeight="1" x14ac:dyDescent="0.2"/>
    <row r="2" spans="1:10" s="17" customFormat="1" ht="18" customHeight="1" x14ac:dyDescent="0.3"/>
    <row r="3" spans="1:10" s="16" customFormat="1" ht="23.25" x14ac:dyDescent="0.35">
      <c r="A3" s="17"/>
      <c r="B3" s="1282" t="str">
        <f>'OSNOVNI PODATKI'!B3</f>
        <v>ARHIGRAM 6</v>
      </c>
      <c r="C3" s="17"/>
      <c r="D3" s="17"/>
      <c r="E3" s="17"/>
      <c r="F3" s="17"/>
      <c r="G3" s="17"/>
      <c r="H3" s="17"/>
      <c r="I3" s="18"/>
      <c r="J3" s="17"/>
    </row>
    <row r="4" spans="1:10" s="18" customFormat="1" ht="26.25" customHeight="1" x14ac:dyDescent="0.25">
      <c r="B4" s="1316" t="str">
        <f>'OSNOVNI PODATKI'!B4</f>
        <v>Vrednotenje storitev na področju arhitekturnega 
in krajinskoarhitekturnega projektiranja</v>
      </c>
      <c r="C4" s="1316"/>
    </row>
    <row r="5" spans="1:10" s="16" customFormat="1" ht="12.75" x14ac:dyDescent="0.2">
      <c r="A5" s="38" t="str">
        <f>'OSNOVNI PODATKI'!A5</f>
        <v>V 6.14</v>
      </c>
      <c r="B5" s="601" t="str">
        <f>'OSNOVNI PODATKI'!B5</f>
        <v>december 2024</v>
      </c>
    </row>
    <row r="6" spans="1:10" s="16" customFormat="1" ht="18.75" x14ac:dyDescent="0.3">
      <c r="A6" s="19"/>
      <c r="B6" s="20"/>
      <c r="C6" s="17"/>
      <c r="D6" s="17"/>
      <c r="E6" s="17"/>
      <c r="F6" s="17"/>
      <c r="G6" s="17"/>
      <c r="H6" s="17"/>
      <c r="I6" s="17"/>
      <c r="J6" s="17"/>
    </row>
    <row r="7" spans="1:10" s="18" customFormat="1" ht="15.75" x14ac:dyDescent="0.25">
      <c r="A7" s="398" t="s">
        <v>58</v>
      </c>
      <c r="B7" s="602">
        <f>'OSNOVNI PODATKI'!E1</f>
        <v>0</v>
      </c>
      <c r="C7" s="45"/>
    </row>
    <row r="8" spans="1:10" s="18" customFormat="1" ht="15.75" x14ac:dyDescent="0.25">
      <c r="A8" s="398"/>
      <c r="B8" s="602">
        <f>'OSNOVNI PODATKI'!E2</f>
        <v>0</v>
      </c>
      <c r="C8" s="45"/>
    </row>
    <row r="9" spans="1:10" s="18" customFormat="1" ht="15.75" x14ac:dyDescent="0.25">
      <c r="A9" s="398" t="s">
        <v>59</v>
      </c>
      <c r="B9" s="602">
        <f>'OSNOVNI PODATKI'!E3</f>
        <v>0</v>
      </c>
      <c r="C9" s="45"/>
    </row>
    <row r="10" spans="1:10" s="18" customFormat="1" ht="15.75" x14ac:dyDescent="0.25">
      <c r="A10" s="398" t="s">
        <v>60</v>
      </c>
      <c r="B10" s="602">
        <f>'OSNOVNI PODATKI'!E4</f>
        <v>0</v>
      </c>
      <c r="C10" s="45"/>
      <c r="D10" s="41"/>
      <c r="E10" s="41"/>
      <c r="F10" s="41"/>
      <c r="G10" s="41"/>
      <c r="H10" s="41"/>
      <c r="J10" s="41"/>
    </row>
    <row r="11" spans="1:10" s="18" customFormat="1" ht="15.75" x14ac:dyDescent="0.25">
      <c r="A11" s="399" t="s">
        <v>61</v>
      </c>
      <c r="B11" s="605">
        <f ca="1">'OSNOVNI PODATKI'!E5</f>
        <v>45646</v>
      </c>
      <c r="C11" s="61"/>
      <c r="D11" s="41"/>
      <c r="E11" s="41"/>
      <c r="F11" s="41"/>
      <c r="G11" s="41"/>
      <c r="H11" s="41"/>
      <c r="J11" s="41"/>
    </row>
    <row r="12" spans="1:10" s="18" customFormat="1" ht="15.75" x14ac:dyDescent="0.25"/>
    <row r="13" spans="1:10" s="64" customFormat="1" ht="26.25" x14ac:dyDescent="0.2">
      <c r="A13" s="1281" t="s">
        <v>740</v>
      </c>
      <c r="B13" s="227"/>
      <c r="C13" s="227"/>
      <c r="D13" s="227"/>
      <c r="E13" s="227"/>
      <c r="F13" s="227"/>
      <c r="G13" s="227"/>
      <c r="H13" s="227"/>
      <c r="I13" s="227"/>
    </row>
    <row r="14" spans="1:10" s="18" customFormat="1" ht="15.75" x14ac:dyDescent="0.25">
      <c r="A14" s="76"/>
      <c r="B14" s="22"/>
      <c r="C14" s="23"/>
      <c r="E14" s="23"/>
      <c r="F14" s="23"/>
      <c r="G14" s="24"/>
      <c r="H14" s="24"/>
      <c r="I14" s="25"/>
    </row>
    <row r="15" spans="1:10" s="224" customFormat="1" ht="15.75" x14ac:dyDescent="0.2"/>
    <row r="16" spans="1:10" s="41" customFormat="1" ht="18.75" x14ac:dyDescent="0.2">
      <c r="A16" s="421" t="s">
        <v>843</v>
      </c>
      <c r="B16" s="422"/>
      <c r="C16" s="422"/>
      <c r="D16" s="422"/>
      <c r="E16" s="422"/>
      <c r="F16" s="422"/>
      <c r="G16" s="422"/>
      <c r="H16" s="422"/>
      <c r="I16" s="1262">
        <v>55</v>
      </c>
    </row>
    <row r="17" spans="1:9" s="225" customFormat="1" ht="17.25" customHeight="1" x14ac:dyDescent="0.3">
      <c r="A17" s="1295"/>
      <c r="B17" s="1295"/>
      <c r="C17" s="1295"/>
      <c r="D17" s="1295"/>
      <c r="E17" s="1295"/>
      <c r="F17" s="1295"/>
      <c r="G17" s="1295"/>
      <c r="H17" s="1295"/>
      <c r="I17" s="457" t="s">
        <v>214</v>
      </c>
    </row>
    <row r="18" spans="1:9" s="18" customFormat="1" ht="15.75" x14ac:dyDescent="0.25"/>
    <row r="19" spans="1:9" ht="24.75" x14ac:dyDescent="0.25">
      <c r="A19" s="401"/>
      <c r="B19" s="402"/>
      <c r="C19" s="402"/>
      <c r="D19" s="402"/>
      <c r="E19" s="412"/>
      <c r="F19" s="403"/>
      <c r="G19" s="455" t="s">
        <v>842</v>
      </c>
      <c r="H19" s="456" t="s">
        <v>57</v>
      </c>
      <c r="I19" s="455" t="s">
        <v>70</v>
      </c>
    </row>
    <row r="20" spans="1:9" s="682" customFormat="1" ht="16.5" x14ac:dyDescent="0.2">
      <c r="A20" s="693" t="s">
        <v>33</v>
      </c>
      <c r="B20" s="684" t="s">
        <v>34</v>
      </c>
      <c r="C20" s="684"/>
      <c r="D20" s="684"/>
      <c r="E20" s="685"/>
      <c r="F20" s="686"/>
      <c r="G20" s="977"/>
      <c r="H20" s="687">
        <f>+H21+H34+H47</f>
        <v>0</v>
      </c>
      <c r="I20" s="688">
        <f>+I21+I34+I47</f>
        <v>0</v>
      </c>
    </row>
    <row r="21" spans="1:9" s="473" customFormat="1" ht="16.5" customHeight="1" x14ac:dyDescent="0.2">
      <c r="A21" s="475" t="s">
        <v>35</v>
      </c>
      <c r="B21" s="501" t="s">
        <v>67</v>
      </c>
      <c r="C21" s="501"/>
      <c r="D21" s="501"/>
      <c r="E21" s="505"/>
      <c r="F21" s="506"/>
      <c r="G21" s="978" t="b">
        <v>0</v>
      </c>
      <c r="H21" s="507">
        <f>SUM(H22:H33)</f>
        <v>0</v>
      </c>
      <c r="I21" s="474">
        <f>SUM(I22:I33)</f>
        <v>0</v>
      </c>
    </row>
    <row r="22" spans="1:9" s="216" customFormat="1" x14ac:dyDescent="0.2">
      <c r="A22" s="1314"/>
      <c r="B22" s="445" t="s">
        <v>958</v>
      </c>
      <c r="C22" s="446"/>
      <c r="D22" s="446"/>
      <c r="E22" s="447"/>
      <c r="F22" s="448"/>
      <c r="G22" s="979" t="b">
        <v>1</v>
      </c>
      <c r="H22" s="500">
        <f>IFERROR(IF(G21=TRUE,STAVBE!Q139+'NOTRANJA OPREMA'!Q188+'ODPRTI PROSTOR'!Q139,0),0)</f>
        <v>0</v>
      </c>
      <c r="I22" s="449">
        <f>+H22*$I$16</f>
        <v>0</v>
      </c>
    </row>
    <row r="23" spans="1:9" s="450" customFormat="1" ht="12.6" customHeight="1" x14ac:dyDescent="0.2">
      <c r="A23" s="1314"/>
      <c r="B23" s="445" t="s">
        <v>367</v>
      </c>
      <c r="C23" s="446"/>
      <c r="D23" s="446"/>
      <c r="E23" s="447"/>
      <c r="F23" s="448"/>
      <c r="G23" s="979" t="b">
        <v>1</v>
      </c>
      <c r="H23" s="500">
        <f>IFERROR(IF(G21=TRUE,STAVBE!G139,0),0)</f>
        <v>0</v>
      </c>
      <c r="I23" s="449">
        <f>+H23*$I$16</f>
        <v>0</v>
      </c>
    </row>
    <row r="24" spans="1:9" s="450" customFormat="1" ht="12.75" x14ac:dyDescent="0.2">
      <c r="A24" s="1314"/>
      <c r="B24" s="445" t="s">
        <v>2</v>
      </c>
      <c r="C24" s="451"/>
      <c r="D24" s="451"/>
      <c r="E24" s="452"/>
      <c r="F24" s="453"/>
      <c r="G24" s="980" t="b">
        <v>1</v>
      </c>
      <c r="H24" s="500">
        <f>IFERROR(IF(G21=TRUE,'NOTRANJA OPREMA'!G188,0),0)</f>
        <v>0</v>
      </c>
      <c r="I24" s="454">
        <f>+H24*$I$16</f>
        <v>0</v>
      </c>
    </row>
    <row r="25" spans="1:9" s="450" customFormat="1" ht="12.75" x14ac:dyDescent="0.2">
      <c r="A25" s="1314"/>
      <c r="B25" s="445" t="s">
        <v>217</v>
      </c>
      <c r="C25" s="451"/>
      <c r="D25" s="451"/>
      <c r="E25" s="452"/>
      <c r="F25" s="453"/>
      <c r="G25" s="980" t="b">
        <v>1</v>
      </c>
      <c r="H25" s="500">
        <f>IFERROR(IF(G21=TRUE,'ODPRTI PROSTOR'!G139,0),0)</f>
        <v>0</v>
      </c>
      <c r="I25" s="454">
        <f>+H25*$I$16</f>
        <v>0</v>
      </c>
    </row>
    <row r="26" spans="1:9" s="462" customFormat="1" ht="12.75" x14ac:dyDescent="0.2">
      <c r="A26" s="1314"/>
      <c r="B26" s="874" t="s">
        <v>369</v>
      </c>
      <c r="C26" s="875"/>
      <c r="D26" s="875"/>
      <c r="E26" s="876"/>
      <c r="F26" s="877"/>
      <c r="G26" s="981" t="b">
        <v>1</v>
      </c>
      <c r="H26" s="879">
        <f>IFERROR(IF(G21=TRUE,'GRADBENE KONSTRUKCIJE'!G140,0),0)</f>
        <v>0</v>
      </c>
      <c r="I26" s="880">
        <f t="shared" ref="I26:I33" si="0">+H26*$I$16</f>
        <v>0</v>
      </c>
    </row>
    <row r="27" spans="1:9" s="462" customFormat="1" ht="12.75" x14ac:dyDescent="0.2">
      <c r="A27" s="1314"/>
      <c r="B27" s="874" t="s">
        <v>959</v>
      </c>
      <c r="C27" s="875"/>
      <c r="D27" s="875"/>
      <c r="E27" s="876"/>
      <c r="F27" s="877"/>
      <c r="G27" s="981" t="b">
        <v>1</v>
      </c>
      <c r="H27" s="879">
        <f>IFERROR(IF(G21=TRUE,'TEHNIČNA OPREMA'!G141,0),0)</f>
        <v>0</v>
      </c>
      <c r="I27" s="880">
        <f t="shared" si="0"/>
        <v>0</v>
      </c>
    </row>
    <row r="28" spans="1:9" s="462" customFormat="1" ht="12.75" x14ac:dyDescent="0.2">
      <c r="A28" s="1314"/>
      <c r="B28" s="874" t="s">
        <v>960</v>
      </c>
      <c r="C28" s="875"/>
      <c r="D28" s="875"/>
      <c r="E28" s="876"/>
      <c r="F28" s="877"/>
      <c r="G28" s="981" t="b">
        <v>1</v>
      </c>
      <c r="H28" s="879">
        <f>IFERROR(IF(G21=TRUE,'TEHNIČNA OPREMA'!G192,0),0)</f>
        <v>0</v>
      </c>
      <c r="I28" s="880">
        <f t="shared" si="0"/>
        <v>0</v>
      </c>
    </row>
    <row r="29" spans="1:9" s="462" customFormat="1" ht="12.75" x14ac:dyDescent="0.2">
      <c r="A29" s="1314"/>
      <c r="B29" s="874" t="s">
        <v>364</v>
      </c>
      <c r="C29" s="875"/>
      <c r="D29" s="875"/>
      <c r="E29" s="876"/>
      <c r="F29" s="877"/>
      <c r="G29" s="981" t="b">
        <v>1</v>
      </c>
      <c r="H29" s="879">
        <f>IFERROR(IF(G21=TRUE,'TEHNIČNA OPREMA'!G240,0),0)</f>
        <v>0</v>
      </c>
      <c r="I29" s="880">
        <f t="shared" si="0"/>
        <v>0</v>
      </c>
    </row>
    <row r="30" spans="1:9" s="462" customFormat="1" ht="12.75" x14ac:dyDescent="0.2">
      <c r="A30" s="1314"/>
      <c r="B30" s="874" t="s">
        <v>374</v>
      </c>
      <c r="C30" s="875"/>
      <c r="D30" s="875"/>
      <c r="E30" s="876"/>
      <c r="F30" s="877"/>
      <c r="G30" s="981" t="b">
        <v>1</v>
      </c>
      <c r="H30" s="879">
        <f>IFERROR(IF(G21=TRUE,'POŽARNA VARNOST'!G155,0),0)</f>
        <v>0</v>
      </c>
      <c r="I30" s="880">
        <f t="shared" si="0"/>
        <v>0</v>
      </c>
    </row>
    <row r="31" spans="1:9" s="462" customFormat="1" ht="12.75" x14ac:dyDescent="0.2">
      <c r="A31" s="1314"/>
      <c r="B31" s="875" t="s">
        <v>372</v>
      </c>
      <c r="C31" s="875"/>
      <c r="D31" s="875"/>
      <c r="E31" s="876"/>
      <c r="F31" s="877"/>
      <c r="G31" s="981" t="b">
        <v>1</v>
      </c>
      <c r="H31" s="879">
        <f>IFERROR(IF(G21=TRUE,'GRADBENA FIZIKA'!G145,0),0)</f>
        <v>0</v>
      </c>
      <c r="I31" s="880">
        <f t="shared" si="0"/>
        <v>0</v>
      </c>
    </row>
    <row r="32" spans="1:9" s="462" customFormat="1" ht="12.75" x14ac:dyDescent="0.2">
      <c r="A32" s="1314"/>
      <c r="B32" s="881" t="s">
        <v>69</v>
      </c>
      <c r="C32" s="881"/>
      <c r="D32" s="881"/>
      <c r="E32" s="876"/>
      <c r="F32" s="877"/>
      <c r="G32" s="981" t="b">
        <v>1</v>
      </c>
      <c r="H32" s="879">
        <f>IFERROR(IF(G21=TRUE,'GRADBENA FIZIKA'!G190,0),0)</f>
        <v>0</v>
      </c>
      <c r="I32" s="880">
        <f t="shared" si="0"/>
        <v>0</v>
      </c>
    </row>
    <row r="33" spans="1:9" s="462" customFormat="1" ht="12.75" x14ac:dyDescent="0.2">
      <c r="A33" s="1315"/>
      <c r="B33" s="882" t="s">
        <v>373</v>
      </c>
      <c r="C33" s="882"/>
      <c r="D33" s="882"/>
      <c r="E33" s="883"/>
      <c r="F33" s="884"/>
      <c r="G33" s="982" t="b">
        <v>1</v>
      </c>
      <c r="H33" s="885">
        <f>IFERROR(IF(G21=TRUE,'GRADBENA FIZIKA'!G235,0),0)</f>
        <v>0</v>
      </c>
      <c r="I33" s="886">
        <f t="shared" si="0"/>
        <v>0</v>
      </c>
    </row>
    <row r="34" spans="1:9" s="473" customFormat="1" ht="16.5" customHeight="1" x14ac:dyDescent="0.2">
      <c r="A34" s="475" t="s">
        <v>36</v>
      </c>
      <c r="B34" s="501" t="s">
        <v>68</v>
      </c>
      <c r="C34" s="501"/>
      <c r="D34" s="501"/>
      <c r="E34" s="505"/>
      <c r="F34" s="506"/>
      <c r="G34" s="978" t="b">
        <v>0</v>
      </c>
      <c r="H34" s="507">
        <f>SUM(H35:H46)</f>
        <v>0</v>
      </c>
      <c r="I34" s="474">
        <f>SUM(I35:I46)</f>
        <v>0</v>
      </c>
    </row>
    <row r="35" spans="1:9" s="216" customFormat="1" x14ac:dyDescent="0.2">
      <c r="A35" s="1314"/>
      <c r="B35" s="445" t="s">
        <v>958</v>
      </c>
      <c r="C35" s="446"/>
      <c r="D35" s="446"/>
      <c r="E35" s="447"/>
      <c r="F35" s="448"/>
      <c r="G35" s="979" t="b">
        <v>1</v>
      </c>
      <c r="H35" s="500">
        <f>IFERROR(IF(G34=TRUE,STAVBE!Q140+'NOTRANJA OPREMA'!Q189+'ODPRTI PROSTOR'!Q140,0),0)</f>
        <v>0</v>
      </c>
      <c r="I35" s="449">
        <f>+H35*$I$16</f>
        <v>0</v>
      </c>
    </row>
    <row r="36" spans="1:9" s="450" customFormat="1" ht="12.6" customHeight="1" x14ac:dyDescent="0.2">
      <c r="A36" s="1314"/>
      <c r="B36" s="445" t="s">
        <v>367</v>
      </c>
      <c r="C36" s="446"/>
      <c r="D36" s="446"/>
      <c r="E36" s="447"/>
      <c r="F36" s="448"/>
      <c r="G36" s="979" t="b">
        <v>1</v>
      </c>
      <c r="H36" s="500">
        <f>IFERROR(IF(G34=TRUE,STAVBE!G140,0),0)</f>
        <v>0</v>
      </c>
      <c r="I36" s="449">
        <f>+H36*$I$16</f>
        <v>0</v>
      </c>
    </row>
    <row r="37" spans="1:9" s="450" customFormat="1" ht="12.75" x14ac:dyDescent="0.2">
      <c r="A37" s="1314"/>
      <c r="B37" s="445" t="s">
        <v>2</v>
      </c>
      <c r="C37" s="451"/>
      <c r="D37" s="451"/>
      <c r="E37" s="452"/>
      <c r="F37" s="453"/>
      <c r="G37" s="980" t="b">
        <v>1</v>
      </c>
      <c r="H37" s="500">
        <f>IFERROR(IF(G34=TRUE,'NOTRANJA OPREMA'!G189,0),0)</f>
        <v>0</v>
      </c>
      <c r="I37" s="454">
        <f>+H37*$I$16</f>
        <v>0</v>
      </c>
    </row>
    <row r="38" spans="1:9" s="450" customFormat="1" ht="12.75" x14ac:dyDescent="0.2">
      <c r="A38" s="1314"/>
      <c r="B38" s="445" t="s">
        <v>217</v>
      </c>
      <c r="C38" s="451"/>
      <c r="D38" s="451"/>
      <c r="E38" s="452"/>
      <c r="F38" s="453"/>
      <c r="G38" s="980" t="b">
        <v>1</v>
      </c>
      <c r="H38" s="500">
        <f>IFERROR(IF(G34=TRUE,'ODPRTI PROSTOR'!G140*'OSNOVNI PODATKI'!#REF!,0),0)</f>
        <v>0</v>
      </c>
      <c r="I38" s="454">
        <f>+H38*$I$16</f>
        <v>0</v>
      </c>
    </row>
    <row r="39" spans="1:9" s="462" customFormat="1" ht="12.75" x14ac:dyDescent="0.2">
      <c r="A39" s="1314"/>
      <c r="B39" s="874" t="s">
        <v>369</v>
      </c>
      <c r="C39" s="875"/>
      <c r="D39" s="875"/>
      <c r="E39" s="876"/>
      <c r="F39" s="877"/>
      <c r="G39" s="981" t="b">
        <v>1</v>
      </c>
      <c r="H39" s="879">
        <f>IFERROR(IF(G34=TRUE,'GRADBENE KONSTRUKCIJE'!G141,0),0)</f>
        <v>0</v>
      </c>
      <c r="I39" s="880">
        <f t="shared" ref="I39:I46" si="1">+H39*$I$16</f>
        <v>0</v>
      </c>
    </row>
    <row r="40" spans="1:9" s="462" customFormat="1" ht="12.75" x14ac:dyDescent="0.2">
      <c r="A40" s="1314"/>
      <c r="B40" s="874" t="s">
        <v>959</v>
      </c>
      <c r="C40" s="875"/>
      <c r="D40" s="875"/>
      <c r="E40" s="876"/>
      <c r="F40" s="877"/>
      <c r="G40" s="981" t="b">
        <v>1</v>
      </c>
      <c r="H40" s="879">
        <f>IFERROR(IF(G34=TRUE,'TEHNIČNA OPREMA'!G142,0),0)</f>
        <v>0</v>
      </c>
      <c r="I40" s="880">
        <f t="shared" si="1"/>
        <v>0</v>
      </c>
    </row>
    <row r="41" spans="1:9" s="462" customFormat="1" ht="12.75" x14ac:dyDescent="0.2">
      <c r="A41" s="1314"/>
      <c r="B41" s="874" t="s">
        <v>960</v>
      </c>
      <c r="C41" s="875"/>
      <c r="D41" s="875"/>
      <c r="E41" s="876"/>
      <c r="F41" s="877"/>
      <c r="G41" s="981" t="b">
        <v>1</v>
      </c>
      <c r="H41" s="879">
        <f>IFERROR(IF(G34=TRUE,'TEHNIČNA OPREMA'!G193,0),0)</f>
        <v>0</v>
      </c>
      <c r="I41" s="880">
        <f t="shared" si="1"/>
        <v>0</v>
      </c>
    </row>
    <row r="42" spans="1:9" s="462" customFormat="1" ht="12.75" x14ac:dyDescent="0.2">
      <c r="A42" s="1314"/>
      <c r="B42" s="874" t="s">
        <v>364</v>
      </c>
      <c r="C42" s="875"/>
      <c r="D42" s="875"/>
      <c r="E42" s="876"/>
      <c r="F42" s="877"/>
      <c r="G42" s="981" t="b">
        <v>1</v>
      </c>
      <c r="H42" s="879">
        <f>IFERROR(IF(G34=TRUE,'TEHNIČNA OPREMA'!G241,0),0)</f>
        <v>0</v>
      </c>
      <c r="I42" s="880">
        <f t="shared" si="1"/>
        <v>0</v>
      </c>
    </row>
    <row r="43" spans="1:9" s="462" customFormat="1" ht="12.75" x14ac:dyDescent="0.2">
      <c r="A43" s="1314"/>
      <c r="B43" s="874" t="s">
        <v>374</v>
      </c>
      <c r="C43" s="875"/>
      <c r="D43" s="875"/>
      <c r="E43" s="876"/>
      <c r="F43" s="877"/>
      <c r="G43" s="981" t="b">
        <v>1</v>
      </c>
      <c r="H43" s="879">
        <f>IFERROR(IF(G34=TRUE,'POŽARNA VARNOST'!G156,0),0)</f>
        <v>0</v>
      </c>
      <c r="I43" s="880">
        <f t="shared" si="1"/>
        <v>0</v>
      </c>
    </row>
    <row r="44" spans="1:9" s="462" customFormat="1" ht="12.75" x14ac:dyDescent="0.2">
      <c r="A44" s="1314"/>
      <c r="B44" s="875" t="s">
        <v>372</v>
      </c>
      <c r="C44" s="875"/>
      <c r="D44" s="875"/>
      <c r="E44" s="876"/>
      <c r="F44" s="877"/>
      <c r="G44" s="981" t="b">
        <v>1</v>
      </c>
      <c r="H44" s="879">
        <f>IFERROR(IF(G34=TRUE,'GRADBENA FIZIKA'!G146,0),0)</f>
        <v>0</v>
      </c>
      <c r="I44" s="880">
        <f t="shared" si="1"/>
        <v>0</v>
      </c>
    </row>
    <row r="45" spans="1:9" s="462" customFormat="1" ht="12.75" x14ac:dyDescent="0.2">
      <c r="A45" s="1314"/>
      <c r="B45" s="881" t="s">
        <v>69</v>
      </c>
      <c r="C45" s="881"/>
      <c r="D45" s="881"/>
      <c r="E45" s="876"/>
      <c r="F45" s="877"/>
      <c r="G45" s="981" t="b">
        <v>1</v>
      </c>
      <c r="H45" s="879">
        <f>IFERROR(IF(G34=TRUE,'GRADBENA FIZIKA'!G191,0),0)</f>
        <v>0</v>
      </c>
      <c r="I45" s="880">
        <f t="shared" si="1"/>
        <v>0</v>
      </c>
    </row>
    <row r="46" spans="1:9" s="462" customFormat="1" ht="12.75" x14ac:dyDescent="0.2">
      <c r="A46" s="1315"/>
      <c r="B46" s="882" t="s">
        <v>373</v>
      </c>
      <c r="C46" s="882"/>
      <c r="D46" s="882"/>
      <c r="E46" s="883"/>
      <c r="F46" s="884"/>
      <c r="G46" s="982" t="b">
        <v>1</v>
      </c>
      <c r="H46" s="885">
        <f>IFERROR(IF(G34=TRUE,'GRADBENA FIZIKA'!G236,0),0)</f>
        <v>0</v>
      </c>
      <c r="I46" s="886">
        <f t="shared" si="1"/>
        <v>0</v>
      </c>
    </row>
    <row r="47" spans="1:9" s="473" customFormat="1" ht="16.5" customHeight="1" x14ac:dyDescent="0.2">
      <c r="A47" s="695" t="s">
        <v>37</v>
      </c>
      <c r="B47" s="694" t="s">
        <v>837</v>
      </c>
      <c r="C47" s="694"/>
      <c r="D47" s="694"/>
      <c r="E47" s="509"/>
      <c r="F47" s="510"/>
      <c r="G47" s="983" t="b">
        <v>0</v>
      </c>
      <c r="H47" s="511">
        <f>IFERROR(IF(G47=TRUE,(STAVBE!Q141+'NOTRANJA OPREMA'!Q190+'ODPRTI PROSTOR'!Q141),0),0)</f>
        <v>0</v>
      </c>
      <c r="I47" s="508">
        <f>+H47*$I$16</f>
        <v>0</v>
      </c>
    </row>
    <row r="48" spans="1:9" s="682" customFormat="1" ht="16.5" x14ac:dyDescent="0.2">
      <c r="A48" s="690">
        <v>2</v>
      </c>
      <c r="B48" s="684" t="s">
        <v>38</v>
      </c>
      <c r="C48" s="684"/>
      <c r="D48" s="684"/>
      <c r="E48" s="685"/>
      <c r="F48" s="685"/>
      <c r="G48" s="984"/>
      <c r="H48" s="691">
        <f>+H49+H62+H75+H79+H92</f>
        <v>975.53999999999985</v>
      </c>
      <c r="I48" s="692">
        <f>+I49+I62+I75+I79+I92</f>
        <v>53654.700000000004</v>
      </c>
    </row>
    <row r="49" spans="1:9" s="216" customFormat="1" ht="16.5" customHeight="1" x14ac:dyDescent="0.2">
      <c r="A49" s="475" t="s">
        <v>51</v>
      </c>
      <c r="B49" s="501" t="s">
        <v>94</v>
      </c>
      <c r="C49" s="501"/>
      <c r="D49" s="501"/>
      <c r="E49" s="502"/>
      <c r="F49" s="502"/>
      <c r="G49" s="985" t="b">
        <v>1</v>
      </c>
      <c r="H49" s="504">
        <f>SUM(H50:H61)</f>
        <v>142.11499999999998</v>
      </c>
      <c r="I49" s="474">
        <f>SUM(I50:I61)</f>
        <v>7816.3249999999998</v>
      </c>
    </row>
    <row r="50" spans="1:9" s="216" customFormat="1" x14ac:dyDescent="0.2">
      <c r="A50" s="1314" t="s">
        <v>874</v>
      </c>
      <c r="B50" s="445" t="s">
        <v>958</v>
      </c>
      <c r="C50" s="446"/>
      <c r="D50" s="446"/>
      <c r="E50" s="447"/>
      <c r="F50" s="448"/>
      <c r="G50" s="979" t="b">
        <v>1</v>
      </c>
      <c r="H50" s="500">
        <f>IFERROR(IF(G49=TRUE,STAVBE!Q143+'NOTRANJA OPREMA'!Q192+'ODPRTI PROSTOR'!Q143,0),0)</f>
        <v>2.8762499999999998</v>
      </c>
      <c r="I50" s="449">
        <f>+H50*$I$16</f>
        <v>158.19374999999999</v>
      </c>
    </row>
    <row r="51" spans="1:9" s="450" customFormat="1" ht="12.6" customHeight="1" x14ac:dyDescent="0.2">
      <c r="A51" s="1314"/>
      <c r="B51" s="445" t="s">
        <v>367</v>
      </c>
      <c r="C51" s="446"/>
      <c r="D51" s="446"/>
      <c r="E51" s="447"/>
      <c r="F51" s="448"/>
      <c r="G51" s="979" t="b">
        <v>1</v>
      </c>
      <c r="H51" s="500">
        <f>IFERROR(IF(G49=TRUE,STAVBE!G143,0),0)</f>
        <v>33.701250000000002</v>
      </c>
      <c r="I51" s="449">
        <f>+H51*$I$16</f>
        <v>1853.5687500000001</v>
      </c>
    </row>
    <row r="52" spans="1:9" s="450" customFormat="1" ht="12.75" x14ac:dyDescent="0.2">
      <c r="A52" s="1314"/>
      <c r="B52" s="445" t="s">
        <v>2</v>
      </c>
      <c r="C52" s="451"/>
      <c r="D52" s="451"/>
      <c r="E52" s="452"/>
      <c r="F52" s="453"/>
      <c r="G52" s="980" t="b">
        <v>1</v>
      </c>
      <c r="H52" s="500">
        <f>IFERROR(IF(G49=TRUE,'NOTRANJA OPREMA'!G192,0),0)</f>
        <v>0</v>
      </c>
      <c r="I52" s="454">
        <f>+H52*$I$16</f>
        <v>0</v>
      </c>
    </row>
    <row r="53" spans="1:9" s="450" customFormat="1" ht="12.75" x14ac:dyDescent="0.2">
      <c r="A53" s="1314"/>
      <c r="B53" s="445" t="s">
        <v>217</v>
      </c>
      <c r="C53" s="451"/>
      <c r="D53" s="451"/>
      <c r="E53" s="452"/>
      <c r="F53" s="453"/>
      <c r="G53" s="980" t="b">
        <v>1</v>
      </c>
      <c r="H53" s="500">
        <f>IFERROR(IF(G49=TRUE,'ODPRTI PROSTOR'!G143,0),0)</f>
        <v>20.947500000000002</v>
      </c>
      <c r="I53" s="454">
        <f>+H53*$I$16</f>
        <v>1152.1125000000002</v>
      </c>
    </row>
    <row r="54" spans="1:9" s="462" customFormat="1" ht="12.75" x14ac:dyDescent="0.2">
      <c r="A54" s="1314"/>
      <c r="B54" s="874" t="s">
        <v>369</v>
      </c>
      <c r="C54" s="875"/>
      <c r="D54" s="875"/>
      <c r="E54" s="876"/>
      <c r="F54" s="877"/>
      <c r="G54" s="981" t="b">
        <v>1</v>
      </c>
      <c r="H54" s="879">
        <f>IFERROR(IF(G49=TRUE,'GRADBENE KONSTRUKCIJE'!G144,0),0)</f>
        <v>33.75</v>
      </c>
      <c r="I54" s="880">
        <f t="shared" ref="I54:I61" si="2">+H54*$I$16</f>
        <v>1856.25</v>
      </c>
    </row>
    <row r="55" spans="1:9" s="462" customFormat="1" ht="12.75" x14ac:dyDescent="0.2">
      <c r="A55" s="1314"/>
      <c r="B55" s="874" t="s">
        <v>959</v>
      </c>
      <c r="C55" s="875"/>
      <c r="D55" s="875"/>
      <c r="E55" s="876"/>
      <c r="F55" s="877"/>
      <c r="G55" s="981" t="b">
        <v>1</v>
      </c>
      <c r="H55" s="879">
        <f>IFERROR(IF(G49=TRUE,'TEHNIČNA OPREMA'!G145,0),0)</f>
        <v>8.4149999999999991</v>
      </c>
      <c r="I55" s="880">
        <f t="shared" si="2"/>
        <v>462.82499999999993</v>
      </c>
    </row>
    <row r="56" spans="1:9" s="462" customFormat="1" ht="12.75" x14ac:dyDescent="0.2">
      <c r="A56" s="1314"/>
      <c r="B56" s="874" t="s">
        <v>960</v>
      </c>
      <c r="C56" s="875"/>
      <c r="D56" s="875"/>
      <c r="E56" s="876"/>
      <c r="F56" s="877"/>
      <c r="G56" s="981" t="b">
        <v>1</v>
      </c>
      <c r="H56" s="879">
        <f>IFERROR(IF(G49=TRUE,'TEHNIČNA OPREMA'!G196,0),0)</f>
        <v>17.145</v>
      </c>
      <c r="I56" s="880">
        <f t="shared" si="2"/>
        <v>942.97500000000002</v>
      </c>
    </row>
    <row r="57" spans="1:9" s="462" customFormat="1" ht="12.75" x14ac:dyDescent="0.2">
      <c r="A57" s="1314"/>
      <c r="B57" s="874" t="s">
        <v>364</v>
      </c>
      <c r="C57" s="875"/>
      <c r="D57" s="875"/>
      <c r="E57" s="876"/>
      <c r="F57" s="877"/>
      <c r="G57" s="981" t="b">
        <v>1</v>
      </c>
      <c r="H57" s="879">
        <f>IFERROR(IF(G49=TRUE,'TEHNIČNA OPREMA'!G244,0),0)</f>
        <v>2.88</v>
      </c>
      <c r="I57" s="880">
        <f t="shared" si="2"/>
        <v>158.4</v>
      </c>
    </row>
    <row r="58" spans="1:9" s="462" customFormat="1" ht="12.75" x14ac:dyDescent="0.2">
      <c r="A58" s="1314"/>
      <c r="B58" s="874" t="s">
        <v>374</v>
      </c>
      <c r="C58" s="875"/>
      <c r="D58" s="875"/>
      <c r="E58" s="876"/>
      <c r="F58" s="877"/>
      <c r="G58" s="981" t="b">
        <v>1</v>
      </c>
      <c r="H58" s="879">
        <f>IFERROR(IF(G49=TRUE,'POŽARNA VARNOST'!G159,0),0)</f>
        <v>2.1</v>
      </c>
      <c r="I58" s="880">
        <f t="shared" si="2"/>
        <v>115.5</v>
      </c>
    </row>
    <row r="59" spans="1:9" s="462" customFormat="1" ht="12.75" x14ac:dyDescent="0.2">
      <c r="A59" s="1314"/>
      <c r="B59" s="875" t="s">
        <v>372</v>
      </c>
      <c r="C59" s="875"/>
      <c r="D59" s="875"/>
      <c r="E59" s="876"/>
      <c r="F59" s="877"/>
      <c r="G59" s="981" t="b">
        <v>1</v>
      </c>
      <c r="H59" s="879">
        <f>IFERROR(IF(G49=TRUE,'GRADBENA FIZIKA'!G149,0),0)</f>
        <v>6.7</v>
      </c>
      <c r="I59" s="880">
        <f t="shared" si="2"/>
        <v>368.5</v>
      </c>
    </row>
    <row r="60" spans="1:9" s="462" customFormat="1" ht="12.75" x14ac:dyDescent="0.2">
      <c r="A60" s="1314"/>
      <c r="B60" s="881" t="s">
        <v>69</v>
      </c>
      <c r="C60" s="881"/>
      <c r="D60" s="881"/>
      <c r="E60" s="876"/>
      <c r="F60" s="877"/>
      <c r="G60" s="981" t="b">
        <v>1</v>
      </c>
      <c r="H60" s="879">
        <f>IFERROR(IF(G49=TRUE,'GRADBENA FIZIKA'!G194,0),0)</f>
        <v>5.4</v>
      </c>
      <c r="I60" s="880">
        <f t="shared" si="2"/>
        <v>297</v>
      </c>
    </row>
    <row r="61" spans="1:9" s="462" customFormat="1" ht="12.75" x14ac:dyDescent="0.2">
      <c r="A61" s="1315"/>
      <c r="B61" s="882" t="s">
        <v>373</v>
      </c>
      <c r="C61" s="882"/>
      <c r="D61" s="882"/>
      <c r="E61" s="883"/>
      <c r="F61" s="884"/>
      <c r="G61" s="982" t="b">
        <v>1</v>
      </c>
      <c r="H61" s="885">
        <f>IFERROR(IF(G49=TRUE,'GRADBENA FIZIKA'!G239,0),0)</f>
        <v>8.2000000000000011</v>
      </c>
      <c r="I61" s="886">
        <f t="shared" si="2"/>
        <v>451.00000000000006</v>
      </c>
    </row>
    <row r="62" spans="1:9" s="216" customFormat="1" ht="16.5" customHeight="1" x14ac:dyDescent="0.2">
      <c r="A62" s="476" t="s">
        <v>52</v>
      </c>
      <c r="B62" s="503" t="s">
        <v>737</v>
      </c>
      <c r="C62" s="503"/>
      <c r="D62" s="503"/>
      <c r="E62" s="502"/>
      <c r="F62" s="502"/>
      <c r="G62" s="985" t="b">
        <v>1</v>
      </c>
      <c r="H62" s="504">
        <f>SUM(H63:H74)</f>
        <v>313.23999999999995</v>
      </c>
      <c r="I62" s="474">
        <f>SUM(I63:I74)</f>
        <v>17228.2</v>
      </c>
    </row>
    <row r="63" spans="1:9" s="216" customFormat="1" x14ac:dyDescent="0.2">
      <c r="A63" s="1314" t="s">
        <v>875</v>
      </c>
      <c r="B63" s="445" t="s">
        <v>958</v>
      </c>
      <c r="C63" s="446"/>
      <c r="D63" s="446"/>
      <c r="E63" s="447"/>
      <c r="F63" s="448"/>
      <c r="G63" s="979" t="b">
        <v>1</v>
      </c>
      <c r="H63" s="500">
        <f>IFERROR(IF(G62=TRUE,STAVBE!Q144+'NOTRANJA OPREMA'!Q193+'ODPRTI PROSTOR'!Q144,0),0)</f>
        <v>6.9749999999999996</v>
      </c>
      <c r="I63" s="449">
        <f>+H63*$I$16</f>
        <v>383.625</v>
      </c>
    </row>
    <row r="64" spans="1:9" s="450" customFormat="1" ht="12.6" customHeight="1" x14ac:dyDescent="0.2">
      <c r="A64" s="1314"/>
      <c r="B64" s="445" t="s">
        <v>367</v>
      </c>
      <c r="C64" s="446"/>
      <c r="D64" s="446"/>
      <c r="E64" s="447"/>
      <c r="F64" s="448"/>
      <c r="G64" s="979" t="b">
        <v>1</v>
      </c>
      <c r="H64" s="500">
        <f>IFERROR(IF((G62=TRUE),STAVBE!G144,0),0)</f>
        <v>101.10374999999999</v>
      </c>
      <c r="I64" s="449">
        <f>+H64*$I$16</f>
        <v>5560.7062499999993</v>
      </c>
    </row>
    <row r="65" spans="1:9" s="450" customFormat="1" ht="12.75" x14ac:dyDescent="0.2">
      <c r="A65" s="1314"/>
      <c r="B65" s="445" t="s">
        <v>2</v>
      </c>
      <c r="C65" s="451"/>
      <c r="D65" s="451"/>
      <c r="E65" s="452"/>
      <c r="F65" s="453"/>
      <c r="G65" s="980" t="b">
        <v>1</v>
      </c>
      <c r="H65" s="500">
        <f>IFERROR(IF((G62=TRUE),'NOTRANJA OPREMA'!G193,0),0)</f>
        <v>0</v>
      </c>
      <c r="I65" s="454">
        <f>+H65*$I$16</f>
        <v>0</v>
      </c>
    </row>
    <row r="66" spans="1:9" s="450" customFormat="1" ht="12.75" x14ac:dyDescent="0.2">
      <c r="A66" s="1314"/>
      <c r="B66" s="445" t="s">
        <v>217</v>
      </c>
      <c r="C66" s="451"/>
      <c r="D66" s="451"/>
      <c r="E66" s="452"/>
      <c r="F66" s="453"/>
      <c r="G66" s="980" t="b">
        <v>1</v>
      </c>
      <c r="H66" s="500">
        <f>IFERROR(IF(G62=TRUE,'ODPRTI PROSTOR'!G144,0),0)</f>
        <v>31.421249999999997</v>
      </c>
      <c r="I66" s="454">
        <f>+H66*$I$16</f>
        <v>1728.1687499999998</v>
      </c>
    </row>
    <row r="67" spans="1:9" s="462" customFormat="1" ht="12.75" x14ac:dyDescent="0.2">
      <c r="A67" s="1314"/>
      <c r="B67" s="874" t="s">
        <v>369</v>
      </c>
      <c r="C67" s="875"/>
      <c r="D67" s="875"/>
      <c r="E67" s="876"/>
      <c r="F67" s="877"/>
      <c r="G67" s="981" t="b">
        <v>1</v>
      </c>
      <c r="H67" s="879">
        <f>IFERROR(IF(G62=TRUE,'GRADBENE KONSTRUKCIJE'!G145,0),0)</f>
        <v>67.5</v>
      </c>
      <c r="I67" s="880">
        <f t="shared" ref="I67:I74" si="3">+H67*$I$16</f>
        <v>3712.5</v>
      </c>
    </row>
    <row r="68" spans="1:9" s="462" customFormat="1" ht="12.75" x14ac:dyDescent="0.2">
      <c r="A68" s="1314"/>
      <c r="B68" s="874" t="s">
        <v>959</v>
      </c>
      <c r="C68" s="875"/>
      <c r="D68" s="875"/>
      <c r="E68" s="876"/>
      <c r="F68" s="877"/>
      <c r="G68" s="981" t="b">
        <v>1</v>
      </c>
      <c r="H68" s="879">
        <f>IFERROR(IF(G62=TRUE,'TEHNIČNA OPREMA'!G146,0),0)</f>
        <v>17.765000000000001</v>
      </c>
      <c r="I68" s="880">
        <f t="shared" si="3"/>
        <v>977.07500000000005</v>
      </c>
    </row>
    <row r="69" spans="1:9" s="462" customFormat="1" ht="12.75" x14ac:dyDescent="0.2">
      <c r="A69" s="1314"/>
      <c r="B69" s="874" t="s">
        <v>960</v>
      </c>
      <c r="C69" s="875"/>
      <c r="D69" s="875"/>
      <c r="E69" s="876"/>
      <c r="F69" s="877"/>
      <c r="G69" s="981" t="b">
        <v>1</v>
      </c>
      <c r="H69" s="879">
        <f>IFERROR(IF(G62=TRUE,'TEHNIČNA OPREMA'!G197,0),0)</f>
        <v>36.195</v>
      </c>
      <c r="I69" s="880">
        <f t="shared" si="3"/>
        <v>1990.7249999999999</v>
      </c>
    </row>
    <row r="70" spans="1:9" s="462" customFormat="1" ht="12.75" x14ac:dyDescent="0.2">
      <c r="A70" s="1314"/>
      <c r="B70" s="874" t="s">
        <v>364</v>
      </c>
      <c r="C70" s="875"/>
      <c r="D70" s="875"/>
      <c r="E70" s="876"/>
      <c r="F70" s="877"/>
      <c r="G70" s="981" t="b">
        <v>1</v>
      </c>
      <c r="H70" s="879">
        <f>IFERROR(IF(G62=TRUE,'TEHNIČNA OPREMA'!G245,0),0)</f>
        <v>6.08</v>
      </c>
      <c r="I70" s="880">
        <f t="shared" si="3"/>
        <v>334.4</v>
      </c>
    </row>
    <row r="71" spans="1:9" s="462" customFormat="1" ht="12.75" x14ac:dyDescent="0.2">
      <c r="A71" s="1314"/>
      <c r="B71" s="874" t="s">
        <v>374</v>
      </c>
      <c r="C71" s="875"/>
      <c r="D71" s="875"/>
      <c r="E71" s="876"/>
      <c r="F71" s="877"/>
      <c r="G71" s="981" t="b">
        <v>1</v>
      </c>
      <c r="H71" s="879">
        <f>IFERROR(IF(G62=TRUE,'POŽARNA VARNOST'!G160,0),0)</f>
        <v>5.6000000000000005</v>
      </c>
      <c r="I71" s="880">
        <f t="shared" si="3"/>
        <v>308.00000000000006</v>
      </c>
    </row>
    <row r="72" spans="1:9" s="462" customFormat="1" ht="12.75" x14ac:dyDescent="0.2">
      <c r="A72" s="1314"/>
      <c r="B72" s="875" t="s">
        <v>372</v>
      </c>
      <c r="C72" s="875"/>
      <c r="D72" s="875"/>
      <c r="E72" s="876"/>
      <c r="F72" s="877"/>
      <c r="G72" s="981" t="b">
        <v>1</v>
      </c>
      <c r="H72" s="879">
        <f>IFERROR(IF(G62=TRUE,'GRADBENA FIZIKA'!G150,0),0)</f>
        <v>13.4</v>
      </c>
      <c r="I72" s="880">
        <f t="shared" si="3"/>
        <v>737</v>
      </c>
    </row>
    <row r="73" spans="1:9" s="462" customFormat="1" ht="12.75" x14ac:dyDescent="0.2">
      <c r="A73" s="1314"/>
      <c r="B73" s="881" t="s">
        <v>69</v>
      </c>
      <c r="C73" s="881"/>
      <c r="D73" s="881"/>
      <c r="E73" s="876"/>
      <c r="F73" s="877"/>
      <c r="G73" s="981" t="b">
        <v>1</v>
      </c>
      <c r="H73" s="879">
        <f>IFERROR(IF(G62=TRUE,'GRADBENA FIZIKA'!G195,0),0)</f>
        <v>10.8</v>
      </c>
      <c r="I73" s="880">
        <f t="shared" si="3"/>
        <v>594</v>
      </c>
    </row>
    <row r="74" spans="1:9" s="462" customFormat="1" ht="12.75" x14ac:dyDescent="0.2">
      <c r="A74" s="1315"/>
      <c r="B74" s="882" t="s">
        <v>373</v>
      </c>
      <c r="C74" s="882"/>
      <c r="D74" s="882"/>
      <c r="E74" s="883"/>
      <c r="F74" s="884"/>
      <c r="G74" s="986" t="b">
        <v>1</v>
      </c>
      <c r="H74" s="885">
        <f>IFERROR(IF(G62=TRUE,'GRADBENA FIZIKA'!G240,0),0)</f>
        <v>16.400000000000002</v>
      </c>
      <c r="I74" s="886">
        <f t="shared" si="3"/>
        <v>902.00000000000011</v>
      </c>
    </row>
    <row r="75" spans="1:9" s="216" customFormat="1" ht="16.5" customHeight="1" x14ac:dyDescent="0.2">
      <c r="A75" s="476" t="s">
        <v>53</v>
      </c>
      <c r="B75" s="503" t="s">
        <v>1089</v>
      </c>
      <c r="C75" s="503"/>
      <c r="D75" s="503"/>
      <c r="E75" s="502"/>
      <c r="F75" s="502"/>
      <c r="G75" s="987"/>
      <c r="H75" s="504">
        <f>SUM(H76:H78)</f>
        <v>46.5</v>
      </c>
      <c r="I75" s="474">
        <f>SUM(I76:I78)</f>
        <v>2557.5</v>
      </c>
    </row>
    <row r="76" spans="1:9" s="450" customFormat="1" ht="16.5" customHeight="1" x14ac:dyDescent="0.2">
      <c r="A76" s="463"/>
      <c r="B76" s="446" t="s">
        <v>844</v>
      </c>
      <c r="C76" s="446"/>
      <c r="D76" s="446"/>
      <c r="E76" s="447"/>
      <c r="F76" s="448"/>
      <c r="G76" s="988" t="b">
        <v>1</v>
      </c>
      <c r="H76" s="500">
        <f>IFERROR(IF(G76=TRUE,(STAVBE!$Q$146+'ODPRTI PROSTOR'!Q146),0),0)</f>
        <v>5.58</v>
      </c>
      <c r="I76" s="449">
        <f>+H76*$I$16</f>
        <v>306.89999999999998</v>
      </c>
    </row>
    <row r="77" spans="1:9" s="450" customFormat="1" ht="16.5" customHeight="1" x14ac:dyDescent="0.2">
      <c r="A77" s="464"/>
      <c r="B77" s="451" t="s">
        <v>845</v>
      </c>
      <c r="C77" s="451"/>
      <c r="D77" s="451"/>
      <c r="E77" s="452"/>
      <c r="F77" s="453"/>
      <c r="G77" s="989" t="b">
        <v>1</v>
      </c>
      <c r="H77" s="705">
        <f>IFERROR(IF(G77=TRUE,(STAVBE!$Q$147+'ODPRTI PROSTOR'!Q147),0),0)</f>
        <v>22.32</v>
      </c>
      <c r="I77" s="454">
        <f>+H77*$I$16</f>
        <v>1227.5999999999999</v>
      </c>
    </row>
    <row r="78" spans="1:9" s="450" customFormat="1" ht="16.5" customHeight="1" x14ac:dyDescent="0.2">
      <c r="A78" s="444"/>
      <c r="B78" s="890" t="s">
        <v>1032</v>
      </c>
      <c r="C78" s="890"/>
      <c r="D78" s="890"/>
      <c r="E78" s="891"/>
      <c r="F78" s="892"/>
      <c r="G78" s="990" t="b">
        <v>1</v>
      </c>
      <c r="H78" s="894">
        <f>IFERROR(IF(G78=TRUE,(STAVBE!$Q$148+'ODPRTI PROSTOR'!Q148),0),0)</f>
        <v>18.600000000000001</v>
      </c>
      <c r="I78" s="893">
        <f>+H78*$I$16</f>
        <v>1023.0000000000001</v>
      </c>
    </row>
    <row r="79" spans="1:9" s="216" customFormat="1" ht="16.5" customHeight="1" x14ac:dyDescent="0.2">
      <c r="A79" s="476" t="s">
        <v>95</v>
      </c>
      <c r="B79" s="503" t="s">
        <v>738</v>
      </c>
      <c r="C79" s="503"/>
      <c r="D79" s="503"/>
      <c r="E79" s="502"/>
      <c r="F79" s="502"/>
      <c r="G79" s="989" t="b">
        <v>1</v>
      </c>
      <c r="H79" s="696">
        <f>SUM(H80:H91)</f>
        <v>365.18</v>
      </c>
      <c r="I79" s="474">
        <f>SUM(I80:I91)</f>
        <v>20084.899999999998</v>
      </c>
    </row>
    <row r="80" spans="1:9" s="216" customFormat="1" x14ac:dyDescent="0.2">
      <c r="A80" s="1312" t="s">
        <v>957</v>
      </c>
      <c r="B80" s="445" t="s">
        <v>958</v>
      </c>
      <c r="C80" s="446"/>
      <c r="D80" s="446"/>
      <c r="E80" s="447"/>
      <c r="F80" s="448"/>
      <c r="G80" s="979" t="b">
        <v>1</v>
      </c>
      <c r="H80" s="500">
        <f>IFERROR(IF(G79=TRUE,STAVBE!Q149+'NOTRANJA OPREMA'!Q195+'ODPRTI PROSTOR'!Q149,0),0)</f>
        <v>13.95</v>
      </c>
      <c r="I80" s="449">
        <f>+H80*$I$16</f>
        <v>767.25</v>
      </c>
    </row>
    <row r="81" spans="1:9" s="450" customFormat="1" ht="12.6" customHeight="1" x14ac:dyDescent="0.2">
      <c r="A81" s="1312"/>
      <c r="B81" s="445" t="s">
        <v>367</v>
      </c>
      <c r="C81" s="446"/>
      <c r="D81" s="446"/>
      <c r="E81" s="447"/>
      <c r="F81" s="448"/>
      <c r="G81" s="979" t="b">
        <v>1</v>
      </c>
      <c r="H81" s="500">
        <f>IFERROR(IF(G79=TRUE,STAVBE!G149,0),0)</f>
        <v>166.73249999999999</v>
      </c>
      <c r="I81" s="449">
        <f t="shared" ref="I81:I91" si="4">+H81*$I$16</f>
        <v>9170.2874999999985</v>
      </c>
    </row>
    <row r="82" spans="1:9" s="450" customFormat="1" ht="12.75" x14ac:dyDescent="0.2">
      <c r="A82" s="1312"/>
      <c r="B82" s="445" t="s">
        <v>2</v>
      </c>
      <c r="C82" s="451"/>
      <c r="D82" s="451"/>
      <c r="E82" s="452"/>
      <c r="F82" s="453"/>
      <c r="G82" s="980" t="b">
        <v>1</v>
      </c>
      <c r="H82" s="500">
        <f>IFERROR(IF(G79=TRUE,'NOTRANJA OPREMA'!G195,0),0)</f>
        <v>0</v>
      </c>
      <c r="I82" s="454">
        <f>+H82*$I$16</f>
        <v>0</v>
      </c>
    </row>
    <row r="83" spans="1:9" s="450" customFormat="1" ht="12.75" x14ac:dyDescent="0.2">
      <c r="A83" s="1312"/>
      <c r="B83" s="445" t="s">
        <v>217</v>
      </c>
      <c r="C83" s="451"/>
      <c r="D83" s="451"/>
      <c r="E83" s="452"/>
      <c r="F83" s="453"/>
      <c r="G83" s="980" t="b">
        <v>1</v>
      </c>
      <c r="H83" s="500">
        <f>IFERROR(IF(G79=TRUE,'ODPRTI PROSTOR'!G149,0),0)</f>
        <v>51.817499999999995</v>
      </c>
      <c r="I83" s="454">
        <f>+H83*$I$16</f>
        <v>2849.9624999999996</v>
      </c>
    </row>
    <row r="84" spans="1:9" s="462" customFormat="1" ht="12.75" x14ac:dyDescent="0.2">
      <c r="A84" s="1312"/>
      <c r="B84" s="874" t="s">
        <v>369</v>
      </c>
      <c r="C84" s="875"/>
      <c r="D84" s="875"/>
      <c r="E84" s="876"/>
      <c r="F84" s="877"/>
      <c r="G84" s="981" t="b">
        <v>1</v>
      </c>
      <c r="H84" s="879">
        <f>IFERROR(IF(G79=TRUE,'GRADBENE KONSTRUKCIJE'!G147,0),0)</f>
        <v>49.500000000000007</v>
      </c>
      <c r="I84" s="880">
        <f t="shared" si="4"/>
        <v>2722.5000000000005</v>
      </c>
    </row>
    <row r="85" spans="1:9" s="462" customFormat="1" ht="12.75" x14ac:dyDescent="0.2">
      <c r="A85" s="1312"/>
      <c r="B85" s="874" t="s">
        <v>959</v>
      </c>
      <c r="C85" s="875"/>
      <c r="D85" s="875"/>
      <c r="E85" s="876"/>
      <c r="F85" s="877"/>
      <c r="G85" s="981" t="b">
        <v>1</v>
      </c>
      <c r="H85" s="879">
        <f>IFERROR(IF(G79=TRUE,'TEHNIČNA OPREMA'!G148,0),0)</f>
        <v>13.089999999999998</v>
      </c>
      <c r="I85" s="880">
        <f t="shared" si="4"/>
        <v>719.94999999999993</v>
      </c>
    </row>
    <row r="86" spans="1:9" s="462" customFormat="1" ht="12.75" x14ac:dyDescent="0.2">
      <c r="A86" s="1312"/>
      <c r="B86" s="874" t="s">
        <v>960</v>
      </c>
      <c r="C86" s="875"/>
      <c r="D86" s="875"/>
      <c r="E86" s="876"/>
      <c r="F86" s="877"/>
      <c r="G86" s="981" t="b">
        <v>1</v>
      </c>
      <c r="H86" s="879">
        <f>IFERROR(IF(G79=TRUE,'TEHNIČNA OPREMA'!G199,0),0)</f>
        <v>26.669999999999998</v>
      </c>
      <c r="I86" s="880">
        <f t="shared" si="4"/>
        <v>1466.85</v>
      </c>
    </row>
    <row r="87" spans="1:9" s="462" customFormat="1" ht="12.75" x14ac:dyDescent="0.2">
      <c r="A87" s="1312"/>
      <c r="B87" s="874" t="s">
        <v>364</v>
      </c>
      <c r="C87" s="875"/>
      <c r="D87" s="875"/>
      <c r="E87" s="876"/>
      <c r="F87" s="877"/>
      <c r="G87" s="981" t="b">
        <v>1</v>
      </c>
      <c r="H87" s="879">
        <f>IFERROR(IF(G79=TRUE,'TEHNIČNA OPREMA'!G247,0),0)</f>
        <v>5.76</v>
      </c>
      <c r="I87" s="880">
        <f t="shared" si="4"/>
        <v>316.8</v>
      </c>
    </row>
    <row r="88" spans="1:9" s="462" customFormat="1" ht="12.75" x14ac:dyDescent="0.2">
      <c r="A88" s="1312"/>
      <c r="B88" s="874" t="s">
        <v>374</v>
      </c>
      <c r="C88" s="875"/>
      <c r="D88" s="875"/>
      <c r="E88" s="876"/>
      <c r="F88" s="877"/>
      <c r="G88" s="981" t="b">
        <v>1</v>
      </c>
      <c r="H88" s="879">
        <f>IFERROR(IF(G79=TRUE,'POŽARNA VARNOST'!G162,0),0)</f>
        <v>5.18</v>
      </c>
      <c r="I88" s="880">
        <f t="shared" si="4"/>
        <v>284.89999999999998</v>
      </c>
    </row>
    <row r="89" spans="1:9" s="462" customFormat="1" ht="12.75" x14ac:dyDescent="0.2">
      <c r="A89" s="1312"/>
      <c r="B89" s="875" t="s">
        <v>372</v>
      </c>
      <c r="C89" s="875"/>
      <c r="D89" s="875"/>
      <c r="E89" s="876"/>
      <c r="F89" s="877"/>
      <c r="G89" s="981" t="b">
        <v>1</v>
      </c>
      <c r="H89" s="879">
        <f>IFERROR(IF(G79=TRUE,'GRADBENA FIZIKA'!G152,0),0)</f>
        <v>10.72</v>
      </c>
      <c r="I89" s="880">
        <f t="shared" si="4"/>
        <v>589.6</v>
      </c>
    </row>
    <row r="90" spans="1:9" s="462" customFormat="1" ht="12.75" x14ac:dyDescent="0.2">
      <c r="A90" s="1312"/>
      <c r="B90" s="881" t="s">
        <v>69</v>
      </c>
      <c r="C90" s="881"/>
      <c r="D90" s="881"/>
      <c r="E90" s="876"/>
      <c r="F90" s="877"/>
      <c r="G90" s="981" t="b">
        <v>1</v>
      </c>
      <c r="H90" s="879">
        <f>IFERROR(IF(G79=TRUE,'GRADBENA FIZIKA'!G197,0),0)</f>
        <v>8.64</v>
      </c>
      <c r="I90" s="880">
        <f t="shared" si="4"/>
        <v>475.20000000000005</v>
      </c>
    </row>
    <row r="91" spans="1:9" s="462" customFormat="1" ht="12.75" x14ac:dyDescent="0.2">
      <c r="A91" s="1318"/>
      <c r="B91" s="882" t="s">
        <v>373</v>
      </c>
      <c r="C91" s="882"/>
      <c r="D91" s="882"/>
      <c r="E91" s="883"/>
      <c r="F91" s="884"/>
      <c r="G91" s="986" t="b">
        <v>1</v>
      </c>
      <c r="H91" s="885">
        <f>IFERROR(IF(G79=TRUE,'GRADBENA FIZIKA'!G242,0),0)</f>
        <v>13.120000000000001</v>
      </c>
      <c r="I91" s="880">
        <f t="shared" si="4"/>
        <v>721.6</v>
      </c>
    </row>
    <row r="92" spans="1:9" s="216" customFormat="1" ht="16.5" customHeight="1" x14ac:dyDescent="0.2">
      <c r="A92" s="476" t="s">
        <v>96</v>
      </c>
      <c r="B92" s="503" t="s">
        <v>838</v>
      </c>
      <c r="C92" s="503"/>
      <c r="D92" s="503"/>
      <c r="E92" s="502"/>
      <c r="F92" s="502"/>
      <c r="G92" s="991" t="b">
        <v>1</v>
      </c>
      <c r="H92" s="504">
        <f>SUM(H93:H108)</f>
        <v>108.50500000000001</v>
      </c>
      <c r="I92" s="474">
        <f>SUM(I93:I108)</f>
        <v>5967.7750000000015</v>
      </c>
    </row>
    <row r="93" spans="1:9" s="216" customFormat="1" x14ac:dyDescent="0.2">
      <c r="A93" s="1311" t="s">
        <v>1079</v>
      </c>
      <c r="B93" s="445" t="s">
        <v>1095</v>
      </c>
      <c r="C93" s="446"/>
      <c r="D93" s="446"/>
      <c r="E93" s="447"/>
      <c r="F93" s="448"/>
      <c r="G93" s="979" t="b">
        <v>1</v>
      </c>
      <c r="H93" s="500"/>
      <c r="I93" s="449"/>
    </row>
    <row r="94" spans="1:9" s="216" customFormat="1" ht="14.25" customHeight="1" x14ac:dyDescent="0.2">
      <c r="A94" s="1312"/>
      <c r="B94" s="445" t="s">
        <v>958</v>
      </c>
      <c r="C94" s="446"/>
      <c r="D94" s="446"/>
      <c r="E94" s="447"/>
      <c r="F94" s="448"/>
      <c r="G94" s="979" t="b">
        <v>1</v>
      </c>
      <c r="H94" s="500">
        <f>IFERROR(IF(G92=TRUE,STAVBE!Q150+'NOTRANJA OPREMA'!Q196+'ODPRTI PROSTOR'!Q150,0),0)</f>
        <v>4.0987499999999999</v>
      </c>
      <c r="I94" s="449">
        <f t="shared" ref="I94:I100" si="5">+H94*$I$16</f>
        <v>225.43125000000001</v>
      </c>
    </row>
    <row r="95" spans="1:9" s="450" customFormat="1" ht="12.6" customHeight="1" x14ac:dyDescent="0.2">
      <c r="A95" s="1312"/>
      <c r="B95" s="445" t="s">
        <v>367</v>
      </c>
      <c r="C95" s="446"/>
      <c r="D95" s="446"/>
      <c r="E95" s="447"/>
      <c r="F95" s="448"/>
      <c r="G95" s="979" t="b">
        <v>1</v>
      </c>
      <c r="H95" s="500">
        <f>IFERROR(IF(G92=TRUE,STAVBE!G150,0),0)</f>
        <v>39.022500000000001</v>
      </c>
      <c r="I95" s="449">
        <f t="shared" si="5"/>
        <v>2146.2375000000002</v>
      </c>
    </row>
    <row r="96" spans="1:9" s="450" customFormat="1" ht="12.75" x14ac:dyDescent="0.2">
      <c r="A96" s="1312"/>
      <c r="B96" s="445" t="s">
        <v>2</v>
      </c>
      <c r="C96" s="451"/>
      <c r="D96" s="451"/>
      <c r="E96" s="452"/>
      <c r="F96" s="453"/>
      <c r="G96" s="980" t="b">
        <v>1</v>
      </c>
      <c r="H96" s="500">
        <f>IFERROR(IF(G92=TRUE,'NOTRANJA OPREMA'!G196,0),0)</f>
        <v>0</v>
      </c>
      <c r="I96" s="454">
        <f t="shared" si="5"/>
        <v>0</v>
      </c>
    </row>
    <row r="97" spans="1:9" s="450" customFormat="1" ht="12.75" x14ac:dyDescent="0.2">
      <c r="A97" s="1312"/>
      <c r="B97" s="445" t="s">
        <v>217</v>
      </c>
      <c r="C97" s="451"/>
      <c r="D97" s="451"/>
      <c r="E97" s="452"/>
      <c r="F97" s="453"/>
      <c r="G97" s="980" t="b">
        <v>1</v>
      </c>
      <c r="H97" s="500">
        <f>IFERROR(IF(G92=TRUE,'ODPRTI PROSTOR'!G150,0),0)</f>
        <v>8.2687499999999989</v>
      </c>
      <c r="I97" s="454">
        <f t="shared" si="5"/>
        <v>454.78124999999994</v>
      </c>
    </row>
    <row r="98" spans="1:9" s="462" customFormat="1" ht="12.75" x14ac:dyDescent="0.2">
      <c r="A98" s="1312"/>
      <c r="B98" s="874" t="s">
        <v>959</v>
      </c>
      <c r="C98" s="875"/>
      <c r="D98" s="875"/>
      <c r="E98" s="876"/>
      <c r="F98" s="877"/>
      <c r="G98" s="981" t="b">
        <v>1</v>
      </c>
      <c r="H98" s="879">
        <f>IFERROR(IF(G92=TRUE,'TEHNIČNA OPREMA'!G149,0),0)</f>
        <v>4.6749999999999998</v>
      </c>
      <c r="I98" s="880">
        <f t="shared" si="5"/>
        <v>257.125</v>
      </c>
    </row>
    <row r="99" spans="1:9" s="462" customFormat="1" ht="12.75" x14ac:dyDescent="0.2">
      <c r="A99" s="1312"/>
      <c r="B99" s="874" t="s">
        <v>960</v>
      </c>
      <c r="C99" s="875"/>
      <c r="D99" s="875"/>
      <c r="E99" s="876"/>
      <c r="F99" s="877"/>
      <c r="G99" s="981" t="b">
        <v>1</v>
      </c>
      <c r="H99" s="879">
        <f>IFERROR(IF(G92=TRUE,'TEHNIČNA OPREMA'!G200,0),0)</f>
        <v>9.5250000000000004</v>
      </c>
      <c r="I99" s="880">
        <f t="shared" si="5"/>
        <v>523.875</v>
      </c>
    </row>
    <row r="100" spans="1:9" s="462" customFormat="1" ht="12.75" x14ac:dyDescent="0.2">
      <c r="A100" s="1318"/>
      <c r="B100" s="895" t="s">
        <v>364</v>
      </c>
      <c r="C100" s="896"/>
      <c r="D100" s="896"/>
      <c r="E100" s="897"/>
      <c r="F100" s="898"/>
      <c r="G100" s="982" t="b">
        <v>1</v>
      </c>
      <c r="H100" s="899">
        <f>IFERROR(IF(G92=TRUE,'TEHNIČNA OPREMA'!G248,0),0)</f>
        <v>1.6</v>
      </c>
      <c r="I100" s="886">
        <f t="shared" si="5"/>
        <v>88</v>
      </c>
    </row>
    <row r="101" spans="1:9" s="450" customFormat="1" ht="16.5" customHeight="1" x14ac:dyDescent="0.2">
      <c r="A101" s="444"/>
      <c r="B101" s="900" t="s">
        <v>954</v>
      </c>
      <c r="C101" s="446"/>
      <c r="D101" s="446"/>
      <c r="E101" s="447"/>
      <c r="F101" s="448"/>
      <c r="G101" s="988" t="b">
        <v>1</v>
      </c>
      <c r="H101" s="867"/>
      <c r="I101" s="811"/>
    </row>
    <row r="102" spans="1:9" s="450" customFormat="1" ht="12.6" customHeight="1" x14ac:dyDescent="0.2">
      <c r="A102" s="444"/>
      <c r="B102" s="901" t="s">
        <v>367</v>
      </c>
      <c r="C102" s="446"/>
      <c r="D102" s="446"/>
      <c r="E102" s="447"/>
      <c r="F102" s="448"/>
      <c r="G102" s="979" t="b">
        <v>1</v>
      </c>
      <c r="H102" s="910">
        <f>IFERROR(IF(G101=TRUE,(STAVBE!$G151),0),0)</f>
        <v>14.19</v>
      </c>
      <c r="I102" s="904">
        <f t="shared" ref="I102:I108" si="6">+H102*$I$16</f>
        <v>780.44999999999993</v>
      </c>
    </row>
    <row r="103" spans="1:9" s="450" customFormat="1" ht="12.75" x14ac:dyDescent="0.2">
      <c r="A103" s="444"/>
      <c r="B103" s="901" t="s">
        <v>2</v>
      </c>
      <c r="C103" s="451"/>
      <c r="D103" s="451"/>
      <c r="E103" s="452"/>
      <c r="F103" s="453"/>
      <c r="G103" s="980" t="b">
        <v>1</v>
      </c>
      <c r="H103" s="910">
        <f>IFERROR(IF(G101=TRUE,('NOTRANJA OPREMA'!G197),0),0)</f>
        <v>0</v>
      </c>
      <c r="I103" s="905">
        <f t="shared" si="6"/>
        <v>0</v>
      </c>
    </row>
    <row r="104" spans="1:9" s="450" customFormat="1" ht="12.75" x14ac:dyDescent="0.2">
      <c r="A104" s="444"/>
      <c r="B104" s="901" t="s">
        <v>217</v>
      </c>
      <c r="C104" s="451"/>
      <c r="D104" s="451"/>
      <c r="E104" s="452"/>
      <c r="F104" s="453"/>
      <c r="G104" s="980" t="b">
        <v>1</v>
      </c>
      <c r="H104" s="910">
        <f>IFERROR(IF(G101=TRUE,('ODPRTI PROSTOR'!G151),0),0)</f>
        <v>3.3074999999999997</v>
      </c>
      <c r="I104" s="905">
        <f t="shared" si="6"/>
        <v>181.91249999999999</v>
      </c>
    </row>
    <row r="105" spans="1:9" s="462" customFormat="1" ht="12.75" x14ac:dyDescent="0.2">
      <c r="A105" s="444"/>
      <c r="B105" s="902" t="s">
        <v>959</v>
      </c>
      <c r="C105" s="459"/>
      <c r="D105" s="459"/>
      <c r="E105" s="460"/>
      <c r="F105" s="461"/>
      <c r="G105" s="992" t="b">
        <v>1</v>
      </c>
      <c r="H105" s="911">
        <f>IFERROR(IF(G101=TRUE,('TEHNIČNA OPREMA'!G150),0),0)</f>
        <v>1.87</v>
      </c>
      <c r="I105" s="906">
        <f t="shared" si="6"/>
        <v>102.85000000000001</v>
      </c>
    </row>
    <row r="106" spans="1:9" s="462" customFormat="1" ht="12.75" x14ac:dyDescent="0.2">
      <c r="A106" s="444"/>
      <c r="B106" s="902" t="s">
        <v>960</v>
      </c>
      <c r="C106" s="459"/>
      <c r="D106" s="459"/>
      <c r="E106" s="460"/>
      <c r="F106" s="461"/>
      <c r="G106" s="992" t="b">
        <v>1</v>
      </c>
      <c r="H106" s="911">
        <f>IFERROR(IF(G101=TRUE,('TEHNIČNA OPREMA'!G201),0),0)</f>
        <v>3.81</v>
      </c>
      <c r="I106" s="906">
        <f t="shared" si="6"/>
        <v>209.55</v>
      </c>
    </row>
    <row r="107" spans="1:9" s="462" customFormat="1" ht="12.75" x14ac:dyDescent="0.2">
      <c r="A107" s="818"/>
      <c r="B107" s="903" t="s">
        <v>364</v>
      </c>
      <c r="C107" s="465"/>
      <c r="D107" s="465"/>
      <c r="E107" s="466"/>
      <c r="F107" s="467"/>
      <c r="G107" s="993" t="b">
        <v>1</v>
      </c>
      <c r="H107" s="912">
        <f>IFERROR(IF(G101=TRUE,('TEHNIČNA OPREMA'!G249),0),0)</f>
        <v>0.64</v>
      </c>
      <c r="I107" s="907">
        <f t="shared" si="6"/>
        <v>35.200000000000003</v>
      </c>
    </row>
    <row r="108" spans="1:9" s="450" customFormat="1" ht="16.5" customHeight="1" x14ac:dyDescent="0.2">
      <c r="A108" s="444"/>
      <c r="B108" s="909" t="s">
        <v>1021</v>
      </c>
      <c r="C108" s="795"/>
      <c r="D108" s="795"/>
      <c r="E108" s="796"/>
      <c r="F108" s="797"/>
      <c r="G108" s="994" t="b">
        <v>1</v>
      </c>
      <c r="H108" s="913">
        <f>IFERROR(IF(G108=TRUE,(STAVBE!$Q152+'NOTRANJA OPREMA'!Q198+'ODPRTI PROSTOR'!Q152),0),0)</f>
        <v>17.497499999999999</v>
      </c>
      <c r="I108" s="908">
        <f t="shared" si="6"/>
        <v>962.36249999999995</v>
      </c>
    </row>
    <row r="109" spans="1:9" s="682" customFormat="1" ht="16.5" x14ac:dyDescent="0.2">
      <c r="A109" s="689" t="s">
        <v>39</v>
      </c>
      <c r="B109" s="684" t="s">
        <v>121</v>
      </c>
      <c r="C109" s="684"/>
      <c r="D109" s="684"/>
      <c r="E109" s="685"/>
      <c r="F109" s="686"/>
      <c r="G109" s="977"/>
      <c r="H109" s="687">
        <f>+H110+H119</f>
        <v>0</v>
      </c>
      <c r="I109" s="688">
        <f>+I110+I119</f>
        <v>0</v>
      </c>
    </row>
    <row r="110" spans="1:9" s="217" customFormat="1" ht="16.5" customHeight="1" x14ac:dyDescent="0.2">
      <c r="A110" s="476" t="s">
        <v>40</v>
      </c>
      <c r="B110" s="474" t="s">
        <v>839</v>
      </c>
      <c r="C110" s="474"/>
      <c r="D110" s="474"/>
      <c r="E110" s="505"/>
      <c r="F110" s="506"/>
      <c r="G110" s="985" t="b">
        <v>0</v>
      </c>
      <c r="H110" s="507">
        <f>SUM(H111:H118)</f>
        <v>0</v>
      </c>
      <c r="I110" s="474">
        <f>SUM(I111:I118)</f>
        <v>0</v>
      </c>
    </row>
    <row r="111" spans="1:9" s="216" customFormat="1" x14ac:dyDescent="0.2">
      <c r="A111" s="650"/>
      <c r="B111" s="445" t="s">
        <v>958</v>
      </c>
      <c r="C111" s="446"/>
      <c r="D111" s="446"/>
      <c r="E111" s="447"/>
      <c r="F111" s="448"/>
      <c r="G111" s="979" t="b">
        <v>1</v>
      </c>
      <c r="H111" s="500">
        <f>IFERROR(IF(G110=TRUE,STAVBE!Q154+'NOTRANJA OPREMA'!Q200+'ODPRTI PROSTOR'!Q154,0),0)</f>
        <v>0</v>
      </c>
      <c r="I111" s="449">
        <f t="shared" ref="I111:I118" si="7">+H111*$I$16</f>
        <v>0</v>
      </c>
    </row>
    <row r="112" spans="1:9" s="450" customFormat="1" ht="12.75" x14ac:dyDescent="0.2">
      <c r="A112" s="1317"/>
      <c r="B112" s="445" t="s">
        <v>367</v>
      </c>
      <c r="C112" s="446"/>
      <c r="D112" s="446"/>
      <c r="E112" s="447"/>
      <c r="F112" s="448"/>
      <c r="G112" s="979" t="b">
        <v>1</v>
      </c>
      <c r="H112" s="500">
        <f>IFERROR(IF(G110=TRUE,STAVBE!G154,0),0)</f>
        <v>0</v>
      </c>
      <c r="I112" s="449">
        <f t="shared" si="7"/>
        <v>0</v>
      </c>
    </row>
    <row r="113" spans="1:9" s="450" customFormat="1" ht="12.75" x14ac:dyDescent="0.2">
      <c r="A113" s="1317"/>
      <c r="B113" s="445" t="s">
        <v>2</v>
      </c>
      <c r="C113" s="451"/>
      <c r="D113" s="451"/>
      <c r="E113" s="452"/>
      <c r="F113" s="453"/>
      <c r="G113" s="980" t="b">
        <v>1</v>
      </c>
      <c r="H113" s="500">
        <f>IFERROR(IF(G110=TRUE,'NOTRANJA OPREMA'!G200,0),0)</f>
        <v>0</v>
      </c>
      <c r="I113" s="454">
        <f t="shared" si="7"/>
        <v>0</v>
      </c>
    </row>
    <row r="114" spans="1:9" s="450" customFormat="1" ht="12.75" x14ac:dyDescent="0.2">
      <c r="A114" s="1317"/>
      <c r="B114" s="445" t="s">
        <v>217</v>
      </c>
      <c r="C114" s="451"/>
      <c r="D114" s="451"/>
      <c r="E114" s="452"/>
      <c r="F114" s="453"/>
      <c r="G114" s="979" t="b">
        <v>1</v>
      </c>
      <c r="H114" s="500">
        <f>IFERROR(IF(G110=TRUE,'ODPRTI PROSTOR'!G154,0),0)</f>
        <v>0</v>
      </c>
      <c r="I114" s="454">
        <f t="shared" si="7"/>
        <v>0</v>
      </c>
    </row>
    <row r="115" spans="1:9" s="462" customFormat="1" ht="12.75" x14ac:dyDescent="0.2">
      <c r="A115" s="1317"/>
      <c r="B115" s="874" t="s">
        <v>959</v>
      </c>
      <c r="C115" s="875"/>
      <c r="D115" s="875"/>
      <c r="E115" s="876"/>
      <c r="F115" s="877"/>
      <c r="G115" s="995" t="b">
        <v>1</v>
      </c>
      <c r="H115" s="879">
        <f>IFERROR(IF(G110=TRUE,'TEHNIČNA OPREMA'!G152,0),0)</f>
        <v>0</v>
      </c>
      <c r="I115" s="880">
        <f t="shared" si="7"/>
        <v>0</v>
      </c>
    </row>
    <row r="116" spans="1:9" s="462" customFormat="1" ht="12.75" x14ac:dyDescent="0.2">
      <c r="A116" s="1317"/>
      <c r="B116" s="874" t="s">
        <v>960</v>
      </c>
      <c r="C116" s="875"/>
      <c r="D116" s="875"/>
      <c r="E116" s="876"/>
      <c r="F116" s="877"/>
      <c r="G116" s="995" t="b">
        <v>1</v>
      </c>
      <c r="H116" s="879">
        <f>IFERROR(IF(G110=TRUE,'TEHNIČNA OPREMA'!G203,0),0)</f>
        <v>0</v>
      </c>
      <c r="I116" s="880">
        <f t="shared" si="7"/>
        <v>0</v>
      </c>
    </row>
    <row r="117" spans="1:9" s="462" customFormat="1" ht="12.75" x14ac:dyDescent="0.2">
      <c r="A117" s="1317"/>
      <c r="B117" s="914" t="s">
        <v>364</v>
      </c>
      <c r="C117" s="875"/>
      <c r="D117" s="875"/>
      <c r="E117" s="876"/>
      <c r="F117" s="877"/>
      <c r="G117" s="996" t="b">
        <v>1</v>
      </c>
      <c r="H117" s="879">
        <f>IFERROR(IF(G110=TRUE,'TEHNIČNA OPREMA'!G251,0),0)</f>
        <v>0</v>
      </c>
      <c r="I117" s="880">
        <f t="shared" si="7"/>
        <v>0</v>
      </c>
    </row>
    <row r="118" spans="1:9" s="450" customFormat="1" ht="16.5" customHeight="1" x14ac:dyDescent="0.2">
      <c r="A118" s="818"/>
      <c r="B118" s="909" t="s">
        <v>1022</v>
      </c>
      <c r="C118" s="887"/>
      <c r="D118" s="887"/>
      <c r="E118" s="888"/>
      <c r="F118" s="889"/>
      <c r="G118" s="997" t="b">
        <v>0</v>
      </c>
      <c r="H118" s="916">
        <f>IFERROR(IF(G118=TRUE,(STAVBE!$Q155+'ODPRTI PROSTOR'!Q155),0),0)</f>
        <v>0</v>
      </c>
      <c r="I118" s="915">
        <f t="shared" si="7"/>
        <v>0</v>
      </c>
    </row>
    <row r="119" spans="1:9" s="217" customFormat="1" ht="16.5" customHeight="1" x14ac:dyDescent="0.2">
      <c r="A119" s="476" t="s">
        <v>41</v>
      </c>
      <c r="B119" s="474" t="s">
        <v>201</v>
      </c>
      <c r="C119" s="474"/>
      <c r="D119" s="474"/>
      <c r="E119" s="505"/>
      <c r="F119" s="506"/>
      <c r="G119" s="985" t="b">
        <v>0</v>
      </c>
      <c r="H119" s="507">
        <f>SUM(H120:H127)</f>
        <v>0</v>
      </c>
      <c r="I119" s="474">
        <f>SUM(I120:I127)</f>
        <v>0</v>
      </c>
    </row>
    <row r="120" spans="1:9" s="216" customFormat="1" x14ac:dyDescent="0.2">
      <c r="A120" s="650"/>
      <c r="B120" s="445" t="s">
        <v>958</v>
      </c>
      <c r="C120" s="446"/>
      <c r="D120" s="446"/>
      <c r="E120" s="447"/>
      <c r="F120" s="448"/>
      <c r="G120" s="979" t="b">
        <v>0</v>
      </c>
      <c r="H120" s="500">
        <f>IFERROR(IF(G119=TRUE,STAVBE!Q156+'NOTRANJA OPREMA'!Q202+'ODPRTI PROSTOR'!Q156,0),0)</f>
        <v>0</v>
      </c>
      <c r="I120" s="449">
        <f t="shared" ref="I120:I127" si="8">+H120*$I$16</f>
        <v>0</v>
      </c>
    </row>
    <row r="121" spans="1:9" s="450" customFormat="1" ht="12.75" x14ac:dyDescent="0.2">
      <c r="A121" s="1317"/>
      <c r="B121" s="445" t="s">
        <v>367</v>
      </c>
      <c r="C121" s="446"/>
      <c r="D121" s="446"/>
      <c r="E121" s="447"/>
      <c r="F121" s="448"/>
      <c r="G121" s="979" t="b">
        <v>0</v>
      </c>
      <c r="H121" s="500">
        <f>IFERROR(IF(G119=TRUE,STAVBE!G156,0),0)</f>
        <v>0</v>
      </c>
      <c r="I121" s="449">
        <f t="shared" si="8"/>
        <v>0</v>
      </c>
    </row>
    <row r="122" spans="1:9" s="450" customFormat="1" ht="12.75" x14ac:dyDescent="0.2">
      <c r="A122" s="1317"/>
      <c r="B122" s="445" t="s">
        <v>2</v>
      </c>
      <c r="C122" s="451"/>
      <c r="D122" s="451"/>
      <c r="E122" s="452"/>
      <c r="F122" s="453"/>
      <c r="G122" s="980" t="b">
        <v>0</v>
      </c>
      <c r="H122" s="500">
        <f>IFERROR(IF(G119=TRUE,'NOTRANJA OPREMA'!G202,0),0)</f>
        <v>0</v>
      </c>
      <c r="I122" s="454">
        <f t="shared" si="8"/>
        <v>0</v>
      </c>
    </row>
    <row r="123" spans="1:9" s="450" customFormat="1" ht="12.75" x14ac:dyDescent="0.2">
      <c r="A123" s="1317"/>
      <c r="B123" s="445" t="s">
        <v>217</v>
      </c>
      <c r="C123" s="451"/>
      <c r="D123" s="451"/>
      <c r="E123" s="452"/>
      <c r="F123" s="453"/>
      <c r="G123" s="980" t="b">
        <v>0</v>
      </c>
      <c r="H123" s="500">
        <f>IFERROR(IF(G119=TRUE,'ODPRTI PROSTOR'!G156,0),0)</f>
        <v>0</v>
      </c>
      <c r="I123" s="454">
        <f t="shared" si="8"/>
        <v>0</v>
      </c>
    </row>
    <row r="124" spans="1:9" s="462" customFormat="1" ht="12.75" x14ac:dyDescent="0.2">
      <c r="A124" s="1317"/>
      <c r="B124" s="874" t="s">
        <v>959</v>
      </c>
      <c r="C124" s="875"/>
      <c r="D124" s="875"/>
      <c r="E124" s="876"/>
      <c r="F124" s="877"/>
      <c r="G124" s="995" t="b">
        <v>0</v>
      </c>
      <c r="H124" s="879">
        <f>IFERROR(IF(G119=TRUE,'TEHNIČNA OPREMA'!G153,0),0)</f>
        <v>0</v>
      </c>
      <c r="I124" s="880">
        <f t="shared" si="8"/>
        <v>0</v>
      </c>
    </row>
    <row r="125" spans="1:9" s="462" customFormat="1" ht="12.75" x14ac:dyDescent="0.2">
      <c r="A125" s="1317"/>
      <c r="B125" s="874" t="s">
        <v>960</v>
      </c>
      <c r="C125" s="875"/>
      <c r="D125" s="875"/>
      <c r="E125" s="876"/>
      <c r="F125" s="877"/>
      <c r="G125" s="995" t="b">
        <v>0</v>
      </c>
      <c r="H125" s="879">
        <f>IFERROR(IF(G119=TRUE,'TEHNIČNA OPREMA'!G204,0),0)</f>
        <v>0</v>
      </c>
      <c r="I125" s="880">
        <f t="shared" si="8"/>
        <v>0</v>
      </c>
    </row>
    <row r="126" spans="1:9" s="462" customFormat="1" ht="12.75" x14ac:dyDescent="0.2">
      <c r="A126" s="1317"/>
      <c r="B126" s="914" t="s">
        <v>364</v>
      </c>
      <c r="C126" s="875"/>
      <c r="D126" s="875"/>
      <c r="E126" s="876"/>
      <c r="F126" s="877"/>
      <c r="G126" s="996" t="b">
        <v>0</v>
      </c>
      <c r="H126" s="879">
        <f>IFERROR(IF(G119=TRUE,'TEHNIČNA OPREMA'!G252,0),0)</f>
        <v>0</v>
      </c>
      <c r="I126" s="880">
        <f t="shared" si="8"/>
        <v>0</v>
      </c>
    </row>
    <row r="127" spans="1:9" s="450" customFormat="1" ht="16.5" customHeight="1" x14ac:dyDescent="0.2">
      <c r="A127" s="444"/>
      <c r="B127" s="909" t="s">
        <v>1022</v>
      </c>
      <c r="C127" s="887"/>
      <c r="D127" s="887"/>
      <c r="E127" s="888"/>
      <c r="F127" s="889"/>
      <c r="G127" s="997" t="b">
        <v>0</v>
      </c>
      <c r="H127" s="916">
        <f>IFERROR(IF(G127=TRUE,(STAVBE!$Q157+'NOTRANJA OPREMA'!Q203+'ODPRTI PROSTOR'!Q157),0),0)</f>
        <v>0</v>
      </c>
      <c r="I127" s="915">
        <f t="shared" si="8"/>
        <v>0</v>
      </c>
    </row>
    <row r="128" spans="1:9" s="682" customFormat="1" ht="16.5" x14ac:dyDescent="0.2">
      <c r="A128" s="683">
        <v>4</v>
      </c>
      <c r="B128" s="684" t="s">
        <v>60</v>
      </c>
      <c r="C128" s="684"/>
      <c r="D128" s="684"/>
      <c r="E128" s="685"/>
      <c r="F128" s="686"/>
      <c r="G128" s="977"/>
      <c r="H128" s="687">
        <f>H129+H130+H146+H160+H176</f>
        <v>124.307</v>
      </c>
      <c r="I128" s="688">
        <f>+I129+I130+I146+I160+I176</f>
        <v>6836.8850000000002</v>
      </c>
    </row>
    <row r="129" spans="1:9" s="217" customFormat="1" ht="16.5" customHeight="1" x14ac:dyDescent="0.2">
      <c r="A129" s="476" t="s">
        <v>42</v>
      </c>
      <c r="B129" s="474" t="s">
        <v>202</v>
      </c>
      <c r="C129" s="474"/>
      <c r="D129" s="474"/>
      <c r="E129" s="505"/>
      <c r="F129" s="506"/>
      <c r="G129" s="978" t="b">
        <v>0</v>
      </c>
      <c r="H129" s="507">
        <f>IFERROR(IF(G129=TRUE,(STAVBE!Q159+'NOTRANJA OPREMA'!Q205+'ODPRTI PROSTOR'!Q159),0),0)</f>
        <v>0</v>
      </c>
      <c r="I129" s="474">
        <f>+H129*$I$16</f>
        <v>0</v>
      </c>
    </row>
    <row r="130" spans="1:9" s="217" customFormat="1" ht="16.5" customHeight="1" x14ac:dyDescent="0.2">
      <c r="A130" s="476" t="s">
        <v>43</v>
      </c>
      <c r="B130" s="474" t="s">
        <v>1115</v>
      </c>
      <c r="C130" s="474"/>
      <c r="D130" s="474"/>
      <c r="E130" s="505"/>
      <c r="F130" s="506"/>
      <c r="G130" s="998" t="b">
        <v>1</v>
      </c>
      <c r="H130" s="507">
        <f>SUM(H131:H145)</f>
        <v>77.92</v>
      </c>
      <c r="I130" s="474">
        <f>SUM(I131:I145)</f>
        <v>4285.5999999999995</v>
      </c>
    </row>
    <row r="131" spans="1:9" s="216" customFormat="1" x14ac:dyDescent="0.2">
      <c r="A131" s="650"/>
      <c r="B131" s="445" t="s">
        <v>958</v>
      </c>
      <c r="C131" s="446"/>
      <c r="D131" s="446"/>
      <c r="E131" s="447"/>
      <c r="F131" s="448"/>
      <c r="G131" s="999" t="b">
        <v>1</v>
      </c>
      <c r="H131" s="500">
        <f>IFERROR(IF(G130=TRUE,(STAVBE!Q160+'NOTRANJA OPREMA'!Q206+'ODPRTI PROSTOR'!Q160),0),0)</f>
        <v>4.6500000000000004</v>
      </c>
      <c r="I131" s="449">
        <f t="shared" ref="I131:I137" si="9">+H131*$I$16</f>
        <v>255.75000000000003</v>
      </c>
    </row>
    <row r="132" spans="1:9" s="450" customFormat="1" ht="12.75" x14ac:dyDescent="0.2">
      <c r="A132" s="444"/>
      <c r="B132" s="445" t="s">
        <v>367</v>
      </c>
      <c r="C132" s="446"/>
      <c r="D132" s="446"/>
      <c r="E132" s="447"/>
      <c r="F132" s="448"/>
      <c r="G132" s="979" t="b">
        <v>1</v>
      </c>
      <c r="H132" s="500">
        <f>IFERROR(IF(G130=TRUE,STAVBE!G160,0),0)</f>
        <v>39.022500000000001</v>
      </c>
      <c r="I132" s="449">
        <f t="shared" si="9"/>
        <v>2146.2375000000002</v>
      </c>
    </row>
    <row r="133" spans="1:9" s="450" customFormat="1" ht="12.75" x14ac:dyDescent="0.2">
      <c r="A133" s="444"/>
      <c r="B133" s="445" t="s">
        <v>2</v>
      </c>
      <c r="C133" s="451"/>
      <c r="D133" s="451"/>
      <c r="E133" s="452"/>
      <c r="F133" s="453"/>
      <c r="G133" s="980" t="b">
        <v>1</v>
      </c>
      <c r="H133" s="500">
        <f>IFERROR(IF(G130=TRUE,'NOTRANJA OPREMA'!G206,0),0)</f>
        <v>0</v>
      </c>
      <c r="I133" s="454">
        <f t="shared" si="9"/>
        <v>0</v>
      </c>
    </row>
    <row r="134" spans="1:9" s="450" customFormat="1" ht="12.75" x14ac:dyDescent="0.2">
      <c r="A134" s="444"/>
      <c r="B134" s="445" t="s">
        <v>217</v>
      </c>
      <c r="C134" s="451"/>
      <c r="D134" s="451"/>
      <c r="E134" s="452"/>
      <c r="F134" s="453"/>
      <c r="G134" s="980" t="b">
        <v>1</v>
      </c>
      <c r="H134" s="500">
        <f>IFERROR(IF(G130=TRUE,'ODPRTI PROSTOR'!G160,0),0)</f>
        <v>12.1275</v>
      </c>
      <c r="I134" s="454">
        <f t="shared" si="9"/>
        <v>667.01249999999993</v>
      </c>
    </row>
    <row r="135" spans="1:9" s="462" customFormat="1" ht="12.75" x14ac:dyDescent="0.2">
      <c r="A135" s="458"/>
      <c r="B135" s="874" t="s">
        <v>959</v>
      </c>
      <c r="C135" s="875"/>
      <c r="D135" s="875"/>
      <c r="E135" s="876"/>
      <c r="F135" s="877"/>
      <c r="G135" s="981" t="b">
        <v>1</v>
      </c>
      <c r="H135" s="879">
        <f>IFERROR(IF(G130=TRUE,'TEHNIČNA OPREMA'!G156,0),0)</f>
        <v>6.5450000000000008</v>
      </c>
      <c r="I135" s="880">
        <f t="shared" si="9"/>
        <v>359.97500000000002</v>
      </c>
    </row>
    <row r="136" spans="1:9" s="462" customFormat="1" ht="12.75" x14ac:dyDescent="0.2">
      <c r="A136" s="458"/>
      <c r="B136" s="874" t="s">
        <v>960</v>
      </c>
      <c r="C136" s="875"/>
      <c r="D136" s="875"/>
      <c r="E136" s="876"/>
      <c r="F136" s="877"/>
      <c r="G136" s="981" t="b">
        <v>1</v>
      </c>
      <c r="H136" s="879">
        <f>IFERROR(IF(G130=TRUE,'TEHNIČNA OPREMA'!G207,0),0)</f>
        <v>13.335000000000001</v>
      </c>
      <c r="I136" s="880">
        <f t="shared" si="9"/>
        <v>733.42500000000007</v>
      </c>
    </row>
    <row r="137" spans="1:9" s="462" customFormat="1" ht="12.75" x14ac:dyDescent="0.2">
      <c r="A137" s="865"/>
      <c r="B137" s="917" t="s">
        <v>364</v>
      </c>
      <c r="C137" s="896"/>
      <c r="D137" s="896"/>
      <c r="E137" s="897"/>
      <c r="F137" s="898"/>
      <c r="G137" s="982" t="b">
        <v>1</v>
      </c>
      <c r="H137" s="899">
        <f>IFERROR(IF(G130=TRUE,'TEHNIČNA OPREMA'!G255,0),0)</f>
        <v>2.2400000000000002</v>
      </c>
      <c r="I137" s="886">
        <f t="shared" si="9"/>
        <v>123.20000000000002</v>
      </c>
    </row>
    <row r="138" spans="1:9" s="450" customFormat="1" ht="16.5" customHeight="1" x14ac:dyDescent="0.2">
      <c r="A138" s="444"/>
      <c r="B138" s="930" t="s">
        <v>1166</v>
      </c>
      <c r="C138" s="918"/>
      <c r="D138" s="918"/>
      <c r="E138" s="919"/>
      <c r="F138" s="920"/>
      <c r="G138" s="1000" t="b">
        <v>0</v>
      </c>
      <c r="H138" s="816"/>
      <c r="I138" s="817"/>
    </row>
    <row r="139" spans="1:9" s="799" customFormat="1" ht="12.75" x14ac:dyDescent="0.2">
      <c r="A139" s="798"/>
      <c r="B139" s="901" t="s">
        <v>958</v>
      </c>
      <c r="C139" s="866"/>
      <c r="D139" s="866"/>
      <c r="E139" s="921"/>
      <c r="F139" s="922"/>
      <c r="G139" s="1001" t="b">
        <v>1</v>
      </c>
      <c r="H139" s="933">
        <f>IFERROR(IF(G138=TRUE,(STAVBE!Q161+'NOTRANJA OPREMA'!Q207+'ODPRTI PROSTOR'!Q161),0),0)</f>
        <v>0</v>
      </c>
      <c r="I139" s="931">
        <f t="shared" ref="I139:I145" si="10">+H139*$I$16</f>
        <v>0</v>
      </c>
    </row>
    <row r="140" spans="1:9" s="799" customFormat="1" ht="12.75" x14ac:dyDescent="0.2">
      <c r="A140" s="800"/>
      <c r="B140" s="901" t="s">
        <v>367</v>
      </c>
      <c r="C140" s="866"/>
      <c r="D140" s="866"/>
      <c r="E140" s="921"/>
      <c r="F140" s="922"/>
      <c r="G140" s="1001" t="b">
        <v>1</v>
      </c>
      <c r="H140" s="933">
        <f>IFERROR(IF(G138=TRUE,STAVBE!G161,0),0)</f>
        <v>0</v>
      </c>
      <c r="I140" s="931">
        <f t="shared" si="10"/>
        <v>0</v>
      </c>
    </row>
    <row r="141" spans="1:9" s="799" customFormat="1" ht="12.75" x14ac:dyDescent="0.2">
      <c r="A141" s="800"/>
      <c r="B141" s="901" t="s">
        <v>2</v>
      </c>
      <c r="C141" s="812"/>
      <c r="D141" s="812"/>
      <c r="E141" s="923"/>
      <c r="F141" s="924"/>
      <c r="G141" s="1002" t="b">
        <v>1</v>
      </c>
      <c r="H141" s="933">
        <f>IFERROR(IF(G138=TRUE,'NOTRANJA OPREMA'!G207,0),0)</f>
        <v>0</v>
      </c>
      <c r="I141" s="932">
        <f t="shared" si="10"/>
        <v>0</v>
      </c>
    </row>
    <row r="142" spans="1:9" s="799" customFormat="1" ht="12.75" x14ac:dyDescent="0.2">
      <c r="A142" s="800"/>
      <c r="B142" s="901" t="s">
        <v>217</v>
      </c>
      <c r="C142" s="812"/>
      <c r="D142" s="812"/>
      <c r="E142" s="923"/>
      <c r="F142" s="924"/>
      <c r="G142" s="1002" t="b">
        <v>1</v>
      </c>
      <c r="H142" s="933">
        <f>IFERROR(IF(G138=TRUE,'ODPRTI PROSTOR'!G161,0),0)</f>
        <v>0</v>
      </c>
      <c r="I142" s="932">
        <f t="shared" si="10"/>
        <v>0</v>
      </c>
    </row>
    <row r="143" spans="1:9" s="802" customFormat="1" ht="12.75" x14ac:dyDescent="0.2">
      <c r="A143" s="801"/>
      <c r="B143" s="902" t="s">
        <v>959</v>
      </c>
      <c r="C143" s="655"/>
      <c r="D143" s="655"/>
      <c r="E143" s="925"/>
      <c r="F143" s="926"/>
      <c r="G143" s="1003" t="b">
        <v>1</v>
      </c>
      <c r="H143" s="934">
        <f>IFERROR(IF(G138=TRUE,'TEHNIČNA OPREMA'!G157,0),0)</f>
        <v>0</v>
      </c>
      <c r="I143" s="906">
        <f t="shared" si="10"/>
        <v>0</v>
      </c>
    </row>
    <row r="144" spans="1:9" s="802" customFormat="1" ht="12.75" x14ac:dyDescent="0.2">
      <c r="A144" s="801"/>
      <c r="B144" s="902" t="s">
        <v>960</v>
      </c>
      <c r="C144" s="655"/>
      <c r="D144" s="655"/>
      <c r="E144" s="925"/>
      <c r="F144" s="926"/>
      <c r="G144" s="1003" t="b">
        <v>1</v>
      </c>
      <c r="H144" s="934">
        <f>IFERROR(IF(G138=TRUE,'TEHNIČNA OPREMA'!G208,0),0)</f>
        <v>0</v>
      </c>
      <c r="I144" s="906">
        <f t="shared" si="10"/>
        <v>0</v>
      </c>
    </row>
    <row r="145" spans="1:9" s="802" customFormat="1" ht="12.75" x14ac:dyDescent="0.2">
      <c r="A145" s="803"/>
      <c r="B145" s="902" t="s">
        <v>364</v>
      </c>
      <c r="C145" s="927"/>
      <c r="D145" s="927"/>
      <c r="E145" s="928"/>
      <c r="F145" s="929"/>
      <c r="G145" s="1003" t="b">
        <v>1</v>
      </c>
      <c r="H145" s="934">
        <f>IFERROR(IF(G138=TRUE,'TEHNIČNA OPREMA'!G256,0),0)</f>
        <v>0</v>
      </c>
      <c r="I145" s="907">
        <f t="shared" si="10"/>
        <v>0</v>
      </c>
    </row>
    <row r="146" spans="1:9" s="217" customFormat="1" ht="16.5" customHeight="1" x14ac:dyDescent="0.2">
      <c r="A146" s="476" t="s">
        <v>44</v>
      </c>
      <c r="B146" s="474" t="s">
        <v>953</v>
      </c>
      <c r="C146" s="474"/>
      <c r="D146" s="474"/>
      <c r="E146" s="505"/>
      <c r="F146" s="506"/>
      <c r="G146" s="978" t="b">
        <v>0</v>
      </c>
      <c r="H146" s="507">
        <f>SUM(H147:H159)</f>
        <v>0</v>
      </c>
      <c r="I146" s="474">
        <f>SUM(I147:I159)</f>
        <v>0</v>
      </c>
    </row>
    <row r="147" spans="1:9" s="216" customFormat="1" x14ac:dyDescent="0.2">
      <c r="A147" s="650"/>
      <c r="B147" s="445" t="s">
        <v>958</v>
      </c>
      <c r="C147" s="446"/>
      <c r="D147" s="446"/>
      <c r="E147" s="447"/>
      <c r="F147" s="448"/>
      <c r="G147" s="999" t="b">
        <v>1</v>
      </c>
      <c r="H147" s="500">
        <f>IFERROR(IF(G146=TRUE,(STAVBE!Q162+'ODPRTI PROSTOR'!Q162),0),0)</f>
        <v>0</v>
      </c>
      <c r="I147" s="449">
        <f t="shared" ref="I147:I152" si="11">+H147*$I$16</f>
        <v>0</v>
      </c>
    </row>
    <row r="148" spans="1:9" s="450" customFormat="1" ht="12.75" x14ac:dyDescent="0.2">
      <c r="A148" s="444"/>
      <c r="B148" s="445" t="s">
        <v>367</v>
      </c>
      <c r="C148" s="446"/>
      <c r="D148" s="446"/>
      <c r="E148" s="447"/>
      <c r="F148" s="448"/>
      <c r="G148" s="979" t="b">
        <v>1</v>
      </c>
      <c r="H148" s="500">
        <f>IFERROR(IF(G146=TRUE,STAVBE!G162,0),0)</f>
        <v>0</v>
      </c>
      <c r="I148" s="449">
        <f t="shared" si="11"/>
        <v>0</v>
      </c>
    </row>
    <row r="149" spans="1:9" s="450" customFormat="1" ht="12.75" x14ac:dyDescent="0.2">
      <c r="A149" s="444"/>
      <c r="B149" s="445" t="s">
        <v>217</v>
      </c>
      <c r="C149" s="451"/>
      <c r="D149" s="451"/>
      <c r="E149" s="452"/>
      <c r="F149" s="453"/>
      <c r="G149" s="980" t="b">
        <v>1</v>
      </c>
      <c r="H149" s="500">
        <f>IFERROR(IF(G146=TRUE,'ODPRTI PROSTOR'!G162,0),0)</f>
        <v>0</v>
      </c>
      <c r="I149" s="454">
        <f t="shared" si="11"/>
        <v>0</v>
      </c>
    </row>
    <row r="150" spans="1:9" s="462" customFormat="1" ht="12.75" x14ac:dyDescent="0.2">
      <c r="A150" s="458"/>
      <c r="B150" s="874" t="s">
        <v>959</v>
      </c>
      <c r="C150" s="875"/>
      <c r="D150" s="875"/>
      <c r="E150" s="876"/>
      <c r="F150" s="877"/>
      <c r="G150" s="981" t="b">
        <v>1</v>
      </c>
      <c r="H150" s="879">
        <f>IFERROR(IF(G146=TRUE,'TEHNIČNA OPREMA'!G158,0),0)</f>
        <v>0</v>
      </c>
      <c r="I150" s="880">
        <f t="shared" si="11"/>
        <v>0</v>
      </c>
    </row>
    <row r="151" spans="1:9" s="462" customFormat="1" ht="12.75" x14ac:dyDescent="0.2">
      <c r="A151" s="458"/>
      <c r="B151" s="874" t="s">
        <v>960</v>
      </c>
      <c r="C151" s="875"/>
      <c r="D151" s="875"/>
      <c r="E151" s="876"/>
      <c r="F151" s="877"/>
      <c r="G151" s="981" t="b">
        <v>1</v>
      </c>
      <c r="H151" s="879">
        <f>IFERROR(IF(G146=TRUE,'TEHNIČNA OPREMA'!G209,0),0)</f>
        <v>0</v>
      </c>
      <c r="I151" s="880">
        <f t="shared" si="11"/>
        <v>0</v>
      </c>
    </row>
    <row r="152" spans="1:9" s="462" customFormat="1" ht="12.75" x14ac:dyDescent="0.2">
      <c r="A152" s="865"/>
      <c r="B152" s="917" t="s">
        <v>364</v>
      </c>
      <c r="C152" s="896"/>
      <c r="D152" s="896"/>
      <c r="E152" s="897"/>
      <c r="F152" s="898"/>
      <c r="G152" s="982" t="b">
        <v>1</v>
      </c>
      <c r="H152" s="899">
        <f>IFERROR(IF(G146=TRUE,'TEHNIČNA OPREMA'!G257,0),0)</f>
        <v>0</v>
      </c>
      <c r="I152" s="886">
        <f t="shared" si="11"/>
        <v>0</v>
      </c>
    </row>
    <row r="153" spans="1:9" s="450" customFormat="1" ht="16.5" customHeight="1" x14ac:dyDescent="0.2">
      <c r="A153" s="444"/>
      <c r="B153" s="930" t="s">
        <v>1167</v>
      </c>
      <c r="C153" s="813"/>
      <c r="D153" s="813"/>
      <c r="E153" s="814"/>
      <c r="F153" s="815"/>
      <c r="G153" s="1004" t="b">
        <v>0</v>
      </c>
      <c r="H153" s="816"/>
      <c r="I153" s="817"/>
    </row>
    <row r="154" spans="1:9" s="799" customFormat="1" ht="12.75" x14ac:dyDescent="0.2">
      <c r="A154" s="798"/>
      <c r="B154" s="901" t="s">
        <v>958</v>
      </c>
      <c r="C154" s="866"/>
      <c r="D154" s="866"/>
      <c r="E154" s="921"/>
      <c r="F154" s="922"/>
      <c r="G154" s="1001" t="b">
        <v>1</v>
      </c>
      <c r="H154" s="933">
        <f>IFERROR(IF(G153=TRUE,(STAVBE!Q163+'ODPRTI PROSTOR'!Q163),0),0)</f>
        <v>0</v>
      </c>
      <c r="I154" s="931">
        <f t="shared" ref="I154:I159" si="12">+H154*$I$16</f>
        <v>0</v>
      </c>
    </row>
    <row r="155" spans="1:9" s="799" customFormat="1" ht="12.75" x14ac:dyDescent="0.2">
      <c r="A155" s="800"/>
      <c r="B155" s="901" t="s">
        <v>367</v>
      </c>
      <c r="C155" s="866"/>
      <c r="D155" s="866"/>
      <c r="E155" s="921"/>
      <c r="F155" s="922"/>
      <c r="G155" s="1001" t="b">
        <v>1</v>
      </c>
      <c r="H155" s="933">
        <f>IFERROR(IF(G153=TRUE,STAVBE!G163,0),0)</f>
        <v>0</v>
      </c>
      <c r="I155" s="931">
        <f t="shared" si="12"/>
        <v>0</v>
      </c>
    </row>
    <row r="156" spans="1:9" s="799" customFormat="1" ht="12.75" x14ac:dyDescent="0.2">
      <c r="A156" s="800"/>
      <c r="B156" s="901" t="s">
        <v>217</v>
      </c>
      <c r="C156" s="812"/>
      <c r="D156" s="812"/>
      <c r="E156" s="923"/>
      <c r="F156" s="924"/>
      <c r="G156" s="1002" t="b">
        <v>1</v>
      </c>
      <c r="H156" s="933">
        <f>IFERROR(IF(G153=TRUE,'ODPRTI PROSTOR'!G163,0),0)</f>
        <v>0</v>
      </c>
      <c r="I156" s="932">
        <f t="shared" si="12"/>
        <v>0</v>
      </c>
    </row>
    <row r="157" spans="1:9" s="802" customFormat="1" ht="12.75" x14ac:dyDescent="0.2">
      <c r="A157" s="801"/>
      <c r="B157" s="902" t="s">
        <v>959</v>
      </c>
      <c r="C157" s="655"/>
      <c r="D157" s="655"/>
      <c r="E157" s="925"/>
      <c r="F157" s="926"/>
      <c r="G157" s="1003" t="b">
        <v>1</v>
      </c>
      <c r="H157" s="934">
        <f>IFERROR(IF(G153=TRUE,'TEHNIČNA OPREMA'!G159,0),0)</f>
        <v>0</v>
      </c>
      <c r="I157" s="906">
        <f t="shared" si="12"/>
        <v>0</v>
      </c>
    </row>
    <row r="158" spans="1:9" s="802" customFormat="1" ht="12.75" x14ac:dyDescent="0.2">
      <c r="A158" s="801"/>
      <c r="B158" s="902" t="s">
        <v>960</v>
      </c>
      <c r="C158" s="655"/>
      <c r="D158" s="655"/>
      <c r="E158" s="925"/>
      <c r="F158" s="926"/>
      <c r="G158" s="1003" t="b">
        <v>1</v>
      </c>
      <c r="H158" s="934">
        <f>IFERROR(IF(G153=TRUE,'TEHNIČNA OPREMA'!G210,0),0)</f>
        <v>0</v>
      </c>
      <c r="I158" s="906">
        <f t="shared" si="12"/>
        <v>0</v>
      </c>
    </row>
    <row r="159" spans="1:9" s="802" customFormat="1" ht="12.75" x14ac:dyDescent="0.2">
      <c r="A159" s="803"/>
      <c r="B159" s="902" t="s">
        <v>364</v>
      </c>
      <c r="C159" s="927"/>
      <c r="D159" s="927"/>
      <c r="E159" s="928"/>
      <c r="F159" s="929"/>
      <c r="G159" s="1003" t="b">
        <v>1</v>
      </c>
      <c r="H159" s="934">
        <f>IFERROR(IF(G153=TRUE,'TEHNIČNA OPREMA'!G258,0),0)</f>
        <v>0</v>
      </c>
      <c r="I159" s="907">
        <f t="shared" si="12"/>
        <v>0</v>
      </c>
    </row>
    <row r="160" spans="1:9" s="217" customFormat="1" ht="16.5" customHeight="1" x14ac:dyDescent="0.2">
      <c r="A160" s="476" t="s">
        <v>45</v>
      </c>
      <c r="B160" s="474" t="s">
        <v>859</v>
      </c>
      <c r="C160" s="474"/>
      <c r="D160" s="474"/>
      <c r="E160" s="505"/>
      <c r="F160" s="506"/>
      <c r="G160" s="978" t="b">
        <v>1</v>
      </c>
      <c r="H160" s="507">
        <f>SUM(H161:H175)</f>
        <v>8.4420000000000002</v>
      </c>
      <c r="I160" s="474">
        <f>SUM(I161:I175)</f>
        <v>464.31000000000006</v>
      </c>
    </row>
    <row r="161" spans="1:9" s="216" customFormat="1" x14ac:dyDescent="0.2">
      <c r="A161" s="650"/>
      <c r="B161" s="445" t="s">
        <v>958</v>
      </c>
      <c r="C161" s="446"/>
      <c r="D161" s="446"/>
      <c r="E161" s="447"/>
      <c r="F161" s="448"/>
      <c r="G161" s="999" t="b">
        <v>1</v>
      </c>
      <c r="H161" s="500">
        <f>IFERROR(IF(G160=TRUE,(STAVBE!Q164+'NOTRANJA OPREMA'!Q210+'ODPRTI PROSTOR'!Q164),0),0)</f>
        <v>0.93</v>
      </c>
      <c r="I161" s="449">
        <f t="shared" ref="I161:I167" si="13">+H161*$I$16</f>
        <v>51.150000000000006</v>
      </c>
    </row>
    <row r="162" spans="1:9" s="450" customFormat="1" ht="12.75" x14ac:dyDescent="0.2">
      <c r="A162" s="444"/>
      <c r="B162" s="445" t="s">
        <v>367</v>
      </c>
      <c r="C162" s="446"/>
      <c r="D162" s="446"/>
      <c r="E162" s="447"/>
      <c r="F162" s="448"/>
      <c r="G162" s="979" t="b">
        <v>1</v>
      </c>
      <c r="H162" s="500">
        <f>IFERROR(IF(G160=TRUE,STAVBE!G164,0),0)</f>
        <v>2.8380000000000001</v>
      </c>
      <c r="I162" s="449">
        <f t="shared" si="13"/>
        <v>156.09</v>
      </c>
    </row>
    <row r="163" spans="1:9" s="450" customFormat="1" ht="12.75" x14ac:dyDescent="0.2">
      <c r="A163" s="444"/>
      <c r="B163" s="445" t="s">
        <v>2</v>
      </c>
      <c r="C163" s="451"/>
      <c r="D163" s="451"/>
      <c r="E163" s="452"/>
      <c r="F163" s="453"/>
      <c r="G163" s="980" t="b">
        <v>1</v>
      </c>
      <c r="H163" s="500">
        <f>IFERROR(IF(G160=TRUE,'NOTRANJA OPREMA'!G210,0),0)</f>
        <v>0</v>
      </c>
      <c r="I163" s="454">
        <f t="shared" si="13"/>
        <v>0</v>
      </c>
    </row>
    <row r="164" spans="1:9" s="450" customFormat="1" ht="12.75" x14ac:dyDescent="0.2">
      <c r="A164" s="444"/>
      <c r="B164" s="445" t="s">
        <v>217</v>
      </c>
      <c r="C164" s="451"/>
      <c r="D164" s="451"/>
      <c r="E164" s="452"/>
      <c r="F164" s="453"/>
      <c r="G164" s="980" t="b">
        <v>1</v>
      </c>
      <c r="H164" s="500">
        <f>IFERROR(IF(G160=TRUE,'ODPRTI PROSTOR'!G164,0),0)</f>
        <v>0.88200000000000001</v>
      </c>
      <c r="I164" s="454">
        <f t="shared" si="13"/>
        <v>48.51</v>
      </c>
    </row>
    <row r="165" spans="1:9" s="462" customFormat="1" ht="12.75" x14ac:dyDescent="0.2">
      <c r="A165" s="458"/>
      <c r="B165" s="874" t="s">
        <v>959</v>
      </c>
      <c r="C165" s="875"/>
      <c r="D165" s="875"/>
      <c r="E165" s="876"/>
      <c r="F165" s="877"/>
      <c r="G165" s="981" t="b">
        <v>1</v>
      </c>
      <c r="H165" s="879">
        <f>IFERROR(IF(G160=TRUE,'TEHNIČNA OPREMA'!G160,0),0)</f>
        <v>1.1220000000000001</v>
      </c>
      <c r="I165" s="880">
        <f t="shared" si="13"/>
        <v>61.710000000000008</v>
      </c>
    </row>
    <row r="166" spans="1:9" s="462" customFormat="1" ht="12.75" x14ac:dyDescent="0.2">
      <c r="A166" s="458"/>
      <c r="B166" s="874" t="s">
        <v>960</v>
      </c>
      <c r="C166" s="875"/>
      <c r="D166" s="875"/>
      <c r="E166" s="876"/>
      <c r="F166" s="877"/>
      <c r="G166" s="981" t="b">
        <v>1</v>
      </c>
      <c r="H166" s="879">
        <f>IFERROR(IF(G160=TRUE,'TEHNIČNA OPREMA'!G211,0),0)</f>
        <v>2.286</v>
      </c>
      <c r="I166" s="880">
        <f t="shared" si="13"/>
        <v>125.73</v>
      </c>
    </row>
    <row r="167" spans="1:9" s="462" customFormat="1" ht="12.75" x14ac:dyDescent="0.2">
      <c r="A167" s="865"/>
      <c r="B167" s="917" t="s">
        <v>364</v>
      </c>
      <c r="C167" s="896"/>
      <c r="D167" s="896"/>
      <c r="E167" s="897"/>
      <c r="F167" s="898"/>
      <c r="G167" s="982" t="b">
        <v>1</v>
      </c>
      <c r="H167" s="899">
        <f>IFERROR(IF(G160=TRUE,'TEHNIČNA OPREMA'!G259,0),0)</f>
        <v>0.38400000000000001</v>
      </c>
      <c r="I167" s="886">
        <f t="shared" si="13"/>
        <v>21.12</v>
      </c>
    </row>
    <row r="168" spans="1:9" s="450" customFormat="1" ht="16.5" customHeight="1" x14ac:dyDescent="0.2">
      <c r="A168" s="444"/>
      <c r="B168" s="930" t="s">
        <v>1168</v>
      </c>
      <c r="C168" s="918"/>
      <c r="D168" s="918"/>
      <c r="E168" s="919"/>
      <c r="F168" s="920"/>
      <c r="G168" s="1000" t="b">
        <v>0</v>
      </c>
      <c r="H168" s="816"/>
      <c r="I168" s="817"/>
    </row>
    <row r="169" spans="1:9" s="799" customFormat="1" ht="12.75" x14ac:dyDescent="0.2">
      <c r="A169" s="798"/>
      <c r="B169" s="901" t="s">
        <v>958</v>
      </c>
      <c r="C169" s="866"/>
      <c r="D169" s="866"/>
      <c r="E169" s="921"/>
      <c r="F169" s="922"/>
      <c r="G169" s="1001" t="b">
        <v>1</v>
      </c>
      <c r="H169" s="933">
        <f>IFERROR(IF(G168=TRUE,(STAVBE!Q165+'NOTRANJA OPREMA'!Q211+'ODPRTI PROSTOR'!Q165),0),0)</f>
        <v>0</v>
      </c>
      <c r="I169" s="931">
        <f t="shared" ref="I169:I175" si="14">+H169*$I$16</f>
        <v>0</v>
      </c>
    </row>
    <row r="170" spans="1:9" s="799" customFormat="1" ht="12.75" x14ac:dyDescent="0.2">
      <c r="A170" s="800"/>
      <c r="B170" s="901" t="s">
        <v>367</v>
      </c>
      <c r="C170" s="866"/>
      <c r="D170" s="866"/>
      <c r="E170" s="921"/>
      <c r="F170" s="922"/>
      <c r="G170" s="1001" t="b">
        <v>1</v>
      </c>
      <c r="H170" s="933">
        <f>IFERROR(IF(G168=TRUE,STAVBE!G165,0),0)</f>
        <v>0</v>
      </c>
      <c r="I170" s="931">
        <f t="shared" si="14"/>
        <v>0</v>
      </c>
    </row>
    <row r="171" spans="1:9" s="799" customFormat="1" ht="12.75" x14ac:dyDescent="0.2">
      <c r="A171" s="800"/>
      <c r="B171" s="901" t="s">
        <v>2</v>
      </c>
      <c r="C171" s="812"/>
      <c r="D171" s="812"/>
      <c r="E171" s="923"/>
      <c r="F171" s="924"/>
      <c r="G171" s="1002" t="b">
        <v>1</v>
      </c>
      <c r="H171" s="933">
        <f>IFERROR(IF(G168=TRUE,'NOTRANJA OPREMA'!G211,0),0)</f>
        <v>0</v>
      </c>
      <c r="I171" s="932">
        <f t="shared" si="14"/>
        <v>0</v>
      </c>
    </row>
    <row r="172" spans="1:9" s="799" customFormat="1" ht="12.75" x14ac:dyDescent="0.2">
      <c r="A172" s="800"/>
      <c r="B172" s="901" t="s">
        <v>217</v>
      </c>
      <c r="C172" s="812"/>
      <c r="D172" s="812"/>
      <c r="E172" s="923"/>
      <c r="F172" s="924"/>
      <c r="G172" s="1002" t="b">
        <v>1</v>
      </c>
      <c r="H172" s="933">
        <f>IFERROR(IF(G168=TRUE,'ODPRTI PROSTOR'!G165,0),0)</f>
        <v>0</v>
      </c>
      <c r="I172" s="932">
        <f t="shared" si="14"/>
        <v>0</v>
      </c>
    </row>
    <row r="173" spans="1:9" s="802" customFormat="1" ht="12.75" x14ac:dyDescent="0.2">
      <c r="A173" s="801"/>
      <c r="B173" s="902" t="s">
        <v>959</v>
      </c>
      <c r="C173" s="655"/>
      <c r="D173" s="655"/>
      <c r="E173" s="925"/>
      <c r="F173" s="926"/>
      <c r="G173" s="1003" t="b">
        <v>1</v>
      </c>
      <c r="H173" s="934">
        <f>IFERROR(IF(G168=TRUE,'TEHNIČNA OPREMA'!G161,0),0)</f>
        <v>0</v>
      </c>
      <c r="I173" s="906">
        <f t="shared" si="14"/>
        <v>0</v>
      </c>
    </row>
    <row r="174" spans="1:9" s="802" customFormat="1" ht="12.75" x14ac:dyDescent="0.2">
      <c r="A174" s="801"/>
      <c r="B174" s="902" t="s">
        <v>960</v>
      </c>
      <c r="C174" s="655"/>
      <c r="D174" s="655"/>
      <c r="E174" s="925"/>
      <c r="F174" s="926"/>
      <c r="G174" s="1003" t="b">
        <v>1</v>
      </c>
      <c r="H174" s="934">
        <f>IFERROR(IF(G168=TRUE,'TEHNIČNA OPREMA'!G212,0),0)</f>
        <v>0</v>
      </c>
      <c r="I174" s="906">
        <f t="shared" si="14"/>
        <v>0</v>
      </c>
    </row>
    <row r="175" spans="1:9" s="802" customFormat="1" ht="12.75" x14ac:dyDescent="0.2">
      <c r="A175" s="803"/>
      <c r="B175" s="902" t="s">
        <v>364</v>
      </c>
      <c r="C175" s="927"/>
      <c r="D175" s="927"/>
      <c r="E175" s="928"/>
      <c r="F175" s="929"/>
      <c r="G175" s="1003" t="b">
        <v>1</v>
      </c>
      <c r="H175" s="934">
        <f>IFERROR(IF(G168=TRUE,'TEHNIČNA OPREMA'!G260,0),0)</f>
        <v>0</v>
      </c>
      <c r="I175" s="907">
        <f t="shared" si="14"/>
        <v>0</v>
      </c>
    </row>
    <row r="176" spans="1:9" s="217" customFormat="1" ht="16.5" customHeight="1" x14ac:dyDescent="0.2">
      <c r="A176" s="476" t="s">
        <v>46</v>
      </c>
      <c r="B176" s="474" t="s">
        <v>840</v>
      </c>
      <c r="C176" s="474"/>
      <c r="D176" s="474"/>
      <c r="E176" s="505"/>
      <c r="F176" s="506"/>
      <c r="G176" s="998" t="b">
        <v>1</v>
      </c>
      <c r="H176" s="507">
        <f>SUM(H177:H186)</f>
        <v>37.945000000000007</v>
      </c>
      <c r="I176" s="474">
        <f>SUM(I177:I186)</f>
        <v>2086.9749999999999</v>
      </c>
    </row>
    <row r="177" spans="1:9" s="216" customFormat="1" x14ac:dyDescent="0.2">
      <c r="A177" s="1311" t="s">
        <v>876</v>
      </c>
      <c r="B177" s="445" t="s">
        <v>958</v>
      </c>
      <c r="C177" s="446"/>
      <c r="D177" s="446"/>
      <c r="E177" s="447"/>
      <c r="F177" s="448"/>
      <c r="G177" s="999" t="b">
        <v>1</v>
      </c>
      <c r="H177" s="500">
        <f>IFERROR(IF(G176=TRUE,(STAVBE!Q166+'NOTRANJA OPREMA'!Q212+'ODPRTI PROSTOR'!Q166),0),0)</f>
        <v>4.6500000000000004</v>
      </c>
      <c r="I177" s="449">
        <f>+H177*$I$16</f>
        <v>255.75000000000003</v>
      </c>
    </row>
    <row r="178" spans="1:9" s="450" customFormat="1" ht="12.75" x14ac:dyDescent="0.2">
      <c r="A178" s="1312"/>
      <c r="B178" s="445" t="s">
        <v>367</v>
      </c>
      <c r="C178" s="451"/>
      <c r="D178" s="451"/>
      <c r="E178" s="452"/>
      <c r="F178" s="453"/>
      <c r="G178" s="980" t="b">
        <v>1</v>
      </c>
      <c r="H178" s="500">
        <f>IFERROR(IF(G176=TRUE,STAVBE!G166,0),0)</f>
        <v>17.737500000000001</v>
      </c>
      <c r="I178" s="454">
        <f>+H178*$I$16</f>
        <v>975.5625</v>
      </c>
    </row>
    <row r="179" spans="1:9" s="450" customFormat="1" ht="12.6" customHeight="1" x14ac:dyDescent="0.2">
      <c r="A179" s="1312"/>
      <c r="B179" s="445" t="s">
        <v>2</v>
      </c>
      <c r="C179" s="446"/>
      <c r="D179" s="446"/>
      <c r="E179" s="447"/>
      <c r="F179" s="448"/>
      <c r="G179" s="979" t="b">
        <v>1</v>
      </c>
      <c r="H179" s="500">
        <f>IFERROR(IF(G176=TRUE,'NOTRANJA OPREMA'!G212,0),0)</f>
        <v>0</v>
      </c>
      <c r="I179" s="449">
        <f t="shared" ref="I179:I185" si="15">+H179*$I$16</f>
        <v>0</v>
      </c>
    </row>
    <row r="180" spans="1:9" s="450" customFormat="1" ht="12.75" x14ac:dyDescent="0.2">
      <c r="A180" s="1312"/>
      <c r="B180" s="445" t="s">
        <v>217</v>
      </c>
      <c r="C180" s="451"/>
      <c r="D180" s="451"/>
      <c r="E180" s="452"/>
      <c r="F180" s="453"/>
      <c r="G180" s="980" t="b">
        <v>1</v>
      </c>
      <c r="H180" s="500">
        <f>IFERROR(IF(G176=TRUE,'ODPRTI PROSTOR'!G166,0),0)</f>
        <v>5.5125000000000002</v>
      </c>
      <c r="I180" s="454">
        <f>+H180*$I$16</f>
        <v>303.1875</v>
      </c>
    </row>
    <row r="181" spans="1:9" s="462" customFormat="1" ht="12.75" x14ac:dyDescent="0.2">
      <c r="A181" s="1312"/>
      <c r="B181" s="874" t="s">
        <v>959</v>
      </c>
      <c r="C181" s="875"/>
      <c r="D181" s="875"/>
      <c r="E181" s="876"/>
      <c r="F181" s="877"/>
      <c r="G181" s="981" t="b">
        <v>1</v>
      </c>
      <c r="H181" s="879">
        <f>IFERROR(IF(G176=TRUE,'TEHNIČNA OPREMA'!G162,0),0)</f>
        <v>1.87</v>
      </c>
      <c r="I181" s="880">
        <f t="shared" si="15"/>
        <v>102.85000000000001</v>
      </c>
    </row>
    <row r="182" spans="1:9" s="462" customFormat="1" ht="12.75" x14ac:dyDescent="0.2">
      <c r="A182" s="1312"/>
      <c r="B182" s="874" t="s">
        <v>960</v>
      </c>
      <c r="C182" s="875"/>
      <c r="D182" s="875"/>
      <c r="E182" s="876"/>
      <c r="F182" s="877"/>
      <c r="G182" s="981" t="b">
        <v>1</v>
      </c>
      <c r="H182" s="879">
        <f>IFERROR(IF(G176=TRUE,'TEHNIČNA OPREMA'!G213,0),0)</f>
        <v>3.81</v>
      </c>
      <c r="I182" s="880">
        <f t="shared" si="15"/>
        <v>209.55</v>
      </c>
    </row>
    <row r="183" spans="1:9" s="462" customFormat="1" ht="12.75" x14ac:dyDescent="0.2">
      <c r="A183" s="1312"/>
      <c r="B183" s="874" t="s">
        <v>364</v>
      </c>
      <c r="C183" s="875"/>
      <c r="D183" s="875"/>
      <c r="E183" s="876"/>
      <c r="F183" s="877"/>
      <c r="G183" s="981" t="b">
        <v>1</v>
      </c>
      <c r="H183" s="879">
        <f>IFERROR(IF(G176=TRUE,'TEHNIČNA OPREMA'!G261,0),0)</f>
        <v>0.64</v>
      </c>
      <c r="I183" s="880">
        <f t="shared" si="15"/>
        <v>35.200000000000003</v>
      </c>
    </row>
    <row r="184" spans="1:9" s="462" customFormat="1" ht="12.75" x14ac:dyDescent="0.2">
      <c r="A184" s="1312"/>
      <c r="B184" s="874" t="s">
        <v>374</v>
      </c>
      <c r="C184" s="875"/>
      <c r="D184" s="875"/>
      <c r="E184" s="876"/>
      <c r="F184" s="877"/>
      <c r="G184" s="981" t="b">
        <v>1</v>
      </c>
      <c r="H184" s="879">
        <f>IFERROR(IF(G176=TRUE,'POŽARNA VARNOST'!G172,0),0)</f>
        <v>0.70000000000000007</v>
      </c>
      <c r="I184" s="880">
        <f t="shared" si="15"/>
        <v>38.500000000000007</v>
      </c>
    </row>
    <row r="185" spans="1:9" s="462" customFormat="1" ht="12.75" x14ac:dyDescent="0.2">
      <c r="A185" s="1312"/>
      <c r="B185" s="875" t="s">
        <v>372</v>
      </c>
      <c r="C185" s="935"/>
      <c r="D185" s="935"/>
      <c r="E185" s="936"/>
      <c r="F185" s="937"/>
      <c r="G185" s="1005" t="b">
        <v>1</v>
      </c>
      <c r="H185" s="879">
        <f>IFERROR(IF(G176=TRUE,'GRADBENA FIZIKA'!G162,0),0)</f>
        <v>1.675</v>
      </c>
      <c r="I185" s="938">
        <f t="shared" si="15"/>
        <v>92.125</v>
      </c>
    </row>
    <row r="186" spans="1:9" s="462" customFormat="1" ht="12.75" x14ac:dyDescent="0.2">
      <c r="A186" s="1312"/>
      <c r="B186" s="875" t="s">
        <v>69</v>
      </c>
      <c r="C186" s="935"/>
      <c r="D186" s="935"/>
      <c r="E186" s="936"/>
      <c r="F186" s="937"/>
      <c r="G186" s="1005" t="b">
        <v>1</v>
      </c>
      <c r="H186" s="879">
        <f>IFERROR(IF(G176=TRUE,'GRADBENA FIZIKA'!G207,0),0)</f>
        <v>1.35</v>
      </c>
      <c r="I186" s="938">
        <f>+H186*$I$16</f>
        <v>74.25</v>
      </c>
    </row>
    <row r="187" spans="1:9" s="462" customFormat="1" ht="12.75" x14ac:dyDescent="0.2">
      <c r="A187" s="1313"/>
      <c r="B187" s="1287" t="s">
        <v>373</v>
      </c>
      <c r="C187" s="1288"/>
      <c r="D187" s="1288"/>
      <c r="E187" s="1289"/>
      <c r="F187" s="1290"/>
      <c r="G187" s="1291"/>
      <c r="H187" s="1292">
        <f>IFERROR(IF(G176=TRUE,'GRADBENA FIZIKA'!G252,0),0)</f>
        <v>2.0500000000000003</v>
      </c>
      <c r="I187" s="938">
        <f>+H187*$I$16</f>
        <v>112.75000000000001</v>
      </c>
    </row>
    <row r="188" spans="1:9" s="682" customFormat="1" ht="16.5" x14ac:dyDescent="0.2">
      <c r="A188" s="681">
        <v>5</v>
      </c>
      <c r="B188" s="684" t="s">
        <v>47</v>
      </c>
      <c r="C188" s="684"/>
      <c r="D188" s="684"/>
      <c r="E188" s="685"/>
      <c r="F188" s="686"/>
      <c r="G188" s="977"/>
      <c r="H188" s="687">
        <f>+H189+H197</f>
        <v>0</v>
      </c>
      <c r="I188" s="688">
        <f>+I189+I197</f>
        <v>0</v>
      </c>
    </row>
    <row r="189" spans="1:9" s="217" customFormat="1" ht="16.5" customHeight="1" x14ac:dyDescent="0.2">
      <c r="A189" s="476" t="s">
        <v>48</v>
      </c>
      <c r="B189" s="512" t="s">
        <v>204</v>
      </c>
      <c r="C189" s="512"/>
      <c r="D189" s="512"/>
      <c r="E189" s="505"/>
      <c r="F189" s="506"/>
      <c r="G189" s="998" t="b">
        <v>0</v>
      </c>
      <c r="H189" s="507">
        <f>SUM(H190:H196)</f>
        <v>0</v>
      </c>
      <c r="I189" s="474">
        <f>SUM(I190:I196)</f>
        <v>0</v>
      </c>
    </row>
    <row r="190" spans="1:9" s="216" customFormat="1" x14ac:dyDescent="0.2">
      <c r="A190" s="654"/>
      <c r="B190" s="445" t="s">
        <v>958</v>
      </c>
      <c r="C190" s="446"/>
      <c r="D190" s="446"/>
      <c r="E190" s="447"/>
      <c r="F190" s="448"/>
      <c r="G190" s="999" t="b">
        <v>1</v>
      </c>
      <c r="H190" s="500">
        <f>IFERROR(IF(G189=TRUE,(STAVBE!Q168+'NOTRANJA OPREMA'!Q214+'ODPRTI PROSTOR'!Q168),0),0)</f>
        <v>0</v>
      </c>
      <c r="I190" s="449">
        <f t="shared" ref="I190:I196" si="16">+H190*$I$16</f>
        <v>0</v>
      </c>
    </row>
    <row r="191" spans="1:9" s="450" customFormat="1" ht="12.75" x14ac:dyDescent="0.2">
      <c r="A191" s="654"/>
      <c r="B191" s="445" t="s">
        <v>367</v>
      </c>
      <c r="C191" s="451"/>
      <c r="D191" s="451"/>
      <c r="E191" s="452"/>
      <c r="F191" s="453"/>
      <c r="G191" s="980" t="b">
        <v>1</v>
      </c>
      <c r="H191" s="500">
        <f>IFERROR(IF(G189=TRUE,STAVBE!G168,0),0)</f>
        <v>0</v>
      </c>
      <c r="I191" s="454">
        <f t="shared" si="16"/>
        <v>0</v>
      </c>
    </row>
    <row r="192" spans="1:9" s="450" customFormat="1" ht="12.6" customHeight="1" x14ac:dyDescent="0.2">
      <c r="A192" s="654"/>
      <c r="B192" s="445" t="s">
        <v>2</v>
      </c>
      <c r="C192" s="446"/>
      <c r="D192" s="446"/>
      <c r="E192" s="447"/>
      <c r="F192" s="448"/>
      <c r="G192" s="979" t="b">
        <v>1</v>
      </c>
      <c r="H192" s="500">
        <f>IFERROR(IF(G189=TRUE,'NOTRANJA OPREMA'!G214,0),0)</f>
        <v>0</v>
      </c>
      <c r="I192" s="449">
        <f t="shared" si="16"/>
        <v>0</v>
      </c>
    </row>
    <row r="193" spans="1:9" s="450" customFormat="1" ht="12.75" x14ac:dyDescent="0.2">
      <c r="A193" s="654"/>
      <c r="B193" s="445" t="s">
        <v>217</v>
      </c>
      <c r="C193" s="451"/>
      <c r="D193" s="451"/>
      <c r="E193" s="452"/>
      <c r="F193" s="453"/>
      <c r="G193" s="979" t="b">
        <v>1</v>
      </c>
      <c r="H193" s="500">
        <f>IFERROR(IF(G189=TRUE,'ODPRTI PROSTOR'!G168,0),0)</f>
        <v>0</v>
      </c>
      <c r="I193" s="454">
        <f t="shared" si="16"/>
        <v>0</v>
      </c>
    </row>
    <row r="194" spans="1:9" s="462" customFormat="1" ht="12.75" x14ac:dyDescent="0.2">
      <c r="A194" s="654"/>
      <c r="B194" s="874" t="s">
        <v>959</v>
      </c>
      <c r="C194" s="875"/>
      <c r="D194" s="875"/>
      <c r="E194" s="876"/>
      <c r="F194" s="877"/>
      <c r="G194" s="981" t="b">
        <v>1</v>
      </c>
      <c r="H194" s="879">
        <f>IFERROR(IF(G189=TRUE,'TEHNIČNA OPREMA'!G164,0),0)</f>
        <v>0</v>
      </c>
      <c r="I194" s="880">
        <f t="shared" si="16"/>
        <v>0</v>
      </c>
    </row>
    <row r="195" spans="1:9" s="462" customFormat="1" ht="12.75" x14ac:dyDescent="0.2">
      <c r="A195" s="654"/>
      <c r="B195" s="874" t="s">
        <v>960</v>
      </c>
      <c r="C195" s="875"/>
      <c r="D195" s="875"/>
      <c r="E195" s="876"/>
      <c r="F195" s="877"/>
      <c r="G195" s="981" t="b">
        <v>1</v>
      </c>
      <c r="H195" s="879">
        <f>IFERROR(IF(G189=TRUE,'TEHNIČNA OPREMA'!G215,0),0)</f>
        <v>0</v>
      </c>
      <c r="I195" s="880">
        <f t="shared" si="16"/>
        <v>0</v>
      </c>
    </row>
    <row r="196" spans="1:9" s="462" customFormat="1" ht="12.75" x14ac:dyDescent="0.2">
      <c r="A196" s="697"/>
      <c r="B196" s="895" t="s">
        <v>364</v>
      </c>
      <c r="C196" s="896"/>
      <c r="D196" s="896"/>
      <c r="E196" s="897"/>
      <c r="F196" s="898"/>
      <c r="G196" s="982" t="b">
        <v>1</v>
      </c>
      <c r="H196" s="879">
        <f>IFERROR(IF(G189=TRUE,'TEHNIČNA OPREMA'!G263,0),0)</f>
        <v>0</v>
      </c>
      <c r="I196" s="886">
        <f t="shared" si="16"/>
        <v>0</v>
      </c>
    </row>
    <row r="197" spans="1:9" s="217" customFormat="1" ht="16.5" customHeight="1" x14ac:dyDescent="0.2">
      <c r="A197" s="476" t="s">
        <v>49</v>
      </c>
      <c r="B197" s="512" t="s">
        <v>205</v>
      </c>
      <c r="C197" s="512"/>
      <c r="D197" s="512"/>
      <c r="E197" s="505"/>
      <c r="F197" s="506"/>
      <c r="G197" s="985" t="b">
        <v>0</v>
      </c>
      <c r="H197" s="507">
        <f>SUM(H198:H204)</f>
        <v>0</v>
      </c>
      <c r="I197" s="474">
        <f>SUM(I198:I204)</f>
        <v>0</v>
      </c>
    </row>
    <row r="198" spans="1:9" s="216" customFormat="1" x14ac:dyDescent="0.2">
      <c r="A198" s="654"/>
      <c r="B198" s="445" t="s">
        <v>958</v>
      </c>
      <c r="C198" s="446"/>
      <c r="D198" s="446"/>
      <c r="E198" s="447"/>
      <c r="F198" s="448"/>
      <c r="G198" s="679" t="b">
        <v>1</v>
      </c>
      <c r="H198" s="500">
        <f>IFERROR(IF(G197=TRUE,(STAVBE!Q169+'NOTRANJA OPREMA'!Q215+'ODPRTI PROSTOR'!Q169),0),0)</f>
        <v>0</v>
      </c>
      <c r="I198" s="449">
        <f t="shared" ref="I198:I204" si="17">+H198*$I$16</f>
        <v>0</v>
      </c>
    </row>
    <row r="199" spans="1:9" s="450" customFormat="1" ht="12.75" x14ac:dyDescent="0.2">
      <c r="A199" s="654"/>
      <c r="B199" s="445" t="s">
        <v>367</v>
      </c>
      <c r="C199" s="451"/>
      <c r="D199" s="451"/>
      <c r="E199" s="452"/>
      <c r="F199" s="453"/>
      <c r="G199" s="680" t="b">
        <v>1</v>
      </c>
      <c r="H199" s="500">
        <f>IFERROR(IF(G197=TRUE,STAVBE!G169,0),0)</f>
        <v>0</v>
      </c>
      <c r="I199" s="454">
        <f t="shared" si="17"/>
        <v>0</v>
      </c>
    </row>
    <row r="200" spans="1:9" s="450" customFormat="1" ht="12.6" customHeight="1" x14ac:dyDescent="0.2">
      <c r="A200" s="654"/>
      <c r="B200" s="445" t="s">
        <v>2</v>
      </c>
      <c r="C200" s="446"/>
      <c r="D200" s="446"/>
      <c r="E200" s="447"/>
      <c r="F200" s="448"/>
      <c r="G200" s="679" t="b">
        <v>1</v>
      </c>
      <c r="H200" s="500">
        <f>IFERROR(IF(G197=TRUE,'NOTRANJA OPREMA'!G215,0),0)</f>
        <v>0</v>
      </c>
      <c r="I200" s="449">
        <f t="shared" si="17"/>
        <v>0</v>
      </c>
    </row>
    <row r="201" spans="1:9" s="450" customFormat="1" ht="12.75" x14ac:dyDescent="0.2">
      <c r="A201" s="654"/>
      <c r="B201" s="445" t="s">
        <v>217</v>
      </c>
      <c r="C201" s="451"/>
      <c r="D201" s="451"/>
      <c r="E201" s="452"/>
      <c r="F201" s="453"/>
      <c r="G201" s="679" t="b">
        <v>1</v>
      </c>
      <c r="H201" s="500">
        <f>IFERROR(IF(G197=TRUE,'ODPRTI PROSTOR'!G169,0),0)</f>
        <v>0</v>
      </c>
      <c r="I201" s="454">
        <f t="shared" si="17"/>
        <v>0</v>
      </c>
    </row>
    <row r="202" spans="1:9" s="462" customFormat="1" ht="12.75" x14ac:dyDescent="0.2">
      <c r="A202" s="654"/>
      <c r="B202" s="874" t="s">
        <v>959</v>
      </c>
      <c r="C202" s="875"/>
      <c r="D202" s="875"/>
      <c r="E202" s="876"/>
      <c r="F202" s="877"/>
      <c r="G202" s="878" t="b">
        <v>1</v>
      </c>
      <c r="H202" s="879">
        <f>IFERROR(IF(G197=TRUE,'TEHNIČNA OPREMA'!G165,0),0)</f>
        <v>0</v>
      </c>
      <c r="I202" s="880">
        <f t="shared" si="17"/>
        <v>0</v>
      </c>
    </row>
    <row r="203" spans="1:9" s="462" customFormat="1" ht="12.75" x14ac:dyDescent="0.2">
      <c r="A203" s="654"/>
      <c r="B203" s="874" t="s">
        <v>960</v>
      </c>
      <c r="C203" s="875"/>
      <c r="D203" s="875"/>
      <c r="E203" s="876"/>
      <c r="F203" s="877"/>
      <c r="G203" s="878" t="b">
        <v>1</v>
      </c>
      <c r="H203" s="879">
        <f>IFERROR(IF(G197=TRUE,'TEHNIČNA OPREMA'!G216,0),0)</f>
        <v>0</v>
      </c>
      <c r="I203" s="880">
        <f t="shared" si="17"/>
        <v>0</v>
      </c>
    </row>
    <row r="204" spans="1:9" s="462" customFormat="1" ht="12.75" x14ac:dyDescent="0.2">
      <c r="A204" s="654"/>
      <c r="B204" s="874" t="s">
        <v>364</v>
      </c>
      <c r="C204" s="875"/>
      <c r="D204" s="875"/>
      <c r="E204" s="876"/>
      <c r="F204" s="877"/>
      <c r="G204" s="878" t="b">
        <v>1</v>
      </c>
      <c r="H204" s="879">
        <f>IFERROR(IF(G197=TRUE,'TEHNIČNA OPREMA'!G264,0),0)</f>
        <v>0</v>
      </c>
      <c r="I204" s="880">
        <f t="shared" si="17"/>
        <v>0</v>
      </c>
    </row>
    <row r="205" spans="1:9" s="13" customFormat="1" x14ac:dyDescent="0.2">
      <c r="A205" s="404"/>
      <c r="B205" s="405"/>
      <c r="C205" s="405"/>
      <c r="D205" s="405"/>
      <c r="E205" s="413"/>
      <c r="F205" s="414"/>
      <c r="G205" s="414"/>
      <c r="H205" s="436"/>
      <c r="I205" s="406"/>
    </row>
    <row r="206" spans="1:9" s="13" customFormat="1" x14ac:dyDescent="0.2">
      <c r="A206" s="407"/>
      <c r="B206" s="408" t="s">
        <v>200</v>
      </c>
      <c r="C206" s="408"/>
      <c r="D206" s="408"/>
      <c r="E206" s="415"/>
      <c r="F206" s="416"/>
      <c r="G206" s="417"/>
      <c r="H206" s="437">
        <f>+H20+H48+H109+H128+H188</f>
        <v>1099.8469999999998</v>
      </c>
      <c r="I206" s="409">
        <f>I20+I48+I109+I128+I188</f>
        <v>60491.585000000006</v>
      </c>
    </row>
    <row r="207" spans="1:9" s="13" customFormat="1" x14ac:dyDescent="0.2">
      <c r="A207" s="404"/>
      <c r="B207" s="405" t="s">
        <v>739</v>
      </c>
      <c r="C207" s="418"/>
      <c r="D207" s="418"/>
      <c r="E207" s="419"/>
      <c r="F207" s="420"/>
      <c r="G207" s="420"/>
      <c r="H207" s="420"/>
      <c r="I207" s="410">
        <f>IFERROR(I206/'OSNOVNI PODATKI'!$E$357,0)</f>
        <v>0</v>
      </c>
    </row>
    <row r="208" spans="1:9" s="13" customFormat="1" x14ac:dyDescent="0.2">
      <c r="A208" s="29"/>
      <c r="B208" s="124"/>
      <c r="E208" s="130"/>
      <c r="F208" s="30"/>
      <c r="G208" s="30"/>
      <c r="H208" s="30"/>
      <c r="I208" s="131"/>
    </row>
    <row r="209" spans="1:9" s="13" customFormat="1" x14ac:dyDescent="0.2">
      <c r="A209" s="29"/>
      <c r="B209" s="124"/>
      <c r="E209" s="130"/>
      <c r="F209" s="30"/>
      <c r="G209" s="30"/>
      <c r="H209" s="30"/>
      <c r="I209" s="124"/>
    </row>
    <row r="210" spans="1:9" s="13" customFormat="1" ht="15.75" x14ac:dyDescent="0.2">
      <c r="A210" s="212" t="s">
        <v>860</v>
      </c>
      <c r="B210" s="213"/>
      <c r="C210" s="213"/>
      <c r="D210" s="214"/>
      <c r="E210" s="214"/>
      <c r="F210" s="214"/>
      <c r="G210" s="215"/>
      <c r="H210" s="215"/>
      <c r="I210" s="215"/>
    </row>
    <row r="211" spans="1:9" ht="15.75" x14ac:dyDescent="0.25">
      <c r="A211" s="313" t="s">
        <v>906</v>
      </c>
      <c r="B211" s="314"/>
      <c r="C211" s="314"/>
      <c r="D211" s="27"/>
      <c r="E211" s="27"/>
      <c r="F211" s="27"/>
      <c r="G211" s="28"/>
      <c r="H211" s="28"/>
      <c r="I211" s="28"/>
    </row>
    <row r="213" spans="1:9" x14ac:dyDescent="0.25">
      <c r="A213" s="864" t="s">
        <v>1096</v>
      </c>
      <c r="B213" s="862"/>
      <c r="C213" s="863"/>
      <c r="D213" s="862"/>
      <c r="E213" s="862"/>
      <c r="F213" s="862"/>
      <c r="G213" s="862"/>
      <c r="H213" s="859"/>
    </row>
    <row r="214" spans="1:9" x14ac:dyDescent="0.25">
      <c r="A214" s="861" t="s">
        <v>1178</v>
      </c>
      <c r="B214" s="862"/>
      <c r="C214" s="863"/>
      <c r="D214" s="862"/>
      <c r="E214" s="862"/>
      <c r="F214" s="862"/>
      <c r="G214" s="862"/>
      <c r="H214" s="859"/>
    </row>
    <row r="215" spans="1:9" x14ac:dyDescent="0.25">
      <c r="A215" s="861" t="s">
        <v>1179</v>
      </c>
      <c r="B215" s="862"/>
      <c r="C215" s="863"/>
      <c r="D215" s="862"/>
      <c r="E215" s="862"/>
      <c r="F215" s="862"/>
      <c r="G215" s="862"/>
      <c r="H215" s="859"/>
    </row>
    <row r="216" spans="1:9" x14ac:dyDescent="0.25">
      <c r="A216" s="861"/>
      <c r="B216" s="862"/>
      <c r="C216" s="863"/>
      <c r="D216" s="862"/>
      <c r="E216" s="862"/>
      <c r="F216" s="862"/>
      <c r="G216" s="862"/>
      <c r="H216" s="859"/>
    </row>
    <row r="217" spans="1:9" x14ac:dyDescent="0.25">
      <c r="A217" s="864" t="s">
        <v>1149</v>
      </c>
      <c r="B217" s="862"/>
      <c r="C217" s="863"/>
      <c r="D217" s="862"/>
      <c r="E217" s="862"/>
      <c r="F217" s="862"/>
      <c r="G217" s="862"/>
      <c r="H217" s="859"/>
    </row>
    <row r="218" spans="1:9" x14ac:dyDescent="0.25">
      <c r="A218" s="861" t="s">
        <v>1143</v>
      </c>
      <c r="B218" s="862"/>
      <c r="C218" s="863"/>
      <c r="D218" s="862"/>
      <c r="E218" s="862"/>
      <c r="F218" s="862"/>
      <c r="G218" s="862"/>
      <c r="H218" s="859"/>
    </row>
    <row r="219" spans="1:9" x14ac:dyDescent="0.25">
      <c r="A219" s="861" t="s">
        <v>1147</v>
      </c>
      <c r="B219" s="862"/>
      <c r="C219" s="863"/>
      <c r="D219" s="862"/>
      <c r="E219" s="862"/>
      <c r="F219" s="862"/>
      <c r="G219" s="862"/>
      <c r="H219" s="859"/>
    </row>
    <row r="220" spans="1:9" x14ac:dyDescent="0.25">
      <c r="A220" s="861" t="s">
        <v>1144</v>
      </c>
      <c r="B220" s="862"/>
      <c r="C220" s="863"/>
      <c r="D220" s="862"/>
      <c r="E220" s="862"/>
      <c r="F220" s="862"/>
      <c r="G220" s="862"/>
      <c r="H220" s="859"/>
    </row>
    <row r="221" spans="1:9" x14ac:dyDescent="0.25">
      <c r="A221" s="861" t="s">
        <v>1145</v>
      </c>
      <c r="B221" s="862"/>
      <c r="C221" s="863"/>
      <c r="D221" s="862"/>
      <c r="E221" s="862"/>
      <c r="F221" s="862"/>
      <c r="G221" s="862"/>
      <c r="H221" s="859"/>
    </row>
    <row r="222" spans="1:9" x14ac:dyDescent="0.25">
      <c r="A222" s="861" t="s">
        <v>1146</v>
      </c>
      <c r="B222" s="862"/>
      <c r="C222" s="863"/>
      <c r="D222" s="862"/>
      <c r="E222" s="862"/>
      <c r="F222" s="862"/>
      <c r="G222" s="862"/>
      <c r="H222" s="859"/>
    </row>
    <row r="223" spans="1:9" x14ac:dyDescent="0.25">
      <c r="A223" s="861" t="s">
        <v>1148</v>
      </c>
      <c r="B223" s="859"/>
      <c r="C223" s="860"/>
      <c r="D223" s="859"/>
      <c r="E223" s="859"/>
      <c r="F223" s="859"/>
      <c r="G223" s="859"/>
      <c r="H223" s="859"/>
    </row>
    <row r="224" spans="1:9" x14ac:dyDescent="0.25">
      <c r="A224" s="861" t="s">
        <v>1150</v>
      </c>
      <c r="B224" s="859"/>
      <c r="C224" s="860"/>
      <c r="D224" s="859"/>
      <c r="E224" s="859"/>
      <c r="F224" s="859"/>
      <c r="G224" s="859"/>
      <c r="H224" s="859"/>
    </row>
    <row r="225" spans="1:18" x14ac:dyDescent="0.25">
      <c r="A225" s="864" t="s">
        <v>1184</v>
      </c>
      <c r="B225" s="862"/>
      <c r="C225" s="863"/>
      <c r="D225" s="862"/>
      <c r="E225" s="862"/>
      <c r="F225" s="862"/>
      <c r="G225" s="862"/>
      <c r="H225" s="859"/>
    </row>
    <row r="226" spans="1:18" ht="45" customHeight="1" x14ac:dyDescent="0.25">
      <c r="A226" s="1310" t="s">
        <v>1185</v>
      </c>
      <c r="B226" s="1310"/>
      <c r="C226" s="1310"/>
      <c r="D226" s="1310"/>
      <c r="E226" s="1310"/>
      <c r="F226" s="1310"/>
      <c r="G226" s="1310"/>
      <c r="H226" s="1310"/>
      <c r="I226" s="1310"/>
      <c r="J226" s="1310"/>
      <c r="K226" s="1310"/>
      <c r="L226" s="1310"/>
      <c r="M226" s="1310"/>
      <c r="N226" s="1310"/>
      <c r="O226" s="1310"/>
    </row>
    <row r="227" spans="1:18" x14ac:dyDescent="0.25">
      <c r="A227" s="858"/>
      <c r="B227" s="859"/>
      <c r="C227" s="860"/>
      <c r="D227" s="859"/>
      <c r="E227" s="859"/>
      <c r="F227" s="859"/>
      <c r="G227" s="859"/>
      <c r="H227" s="859"/>
    </row>
    <row r="228" spans="1:18" s="18" customFormat="1" ht="15.75" x14ac:dyDescent="0.25"/>
    <row r="229" spans="1:18" s="64" customFormat="1" ht="18.75" x14ac:dyDescent="0.2">
      <c r="A229" s="64" t="s">
        <v>962</v>
      </c>
    </row>
    <row r="230" spans="1:18" s="378" customFormat="1" ht="93" customHeight="1" x14ac:dyDescent="0.2">
      <c r="A230" s="468"/>
      <c r="B230" s="469"/>
      <c r="C230" s="470" t="str">
        <f>B50</f>
        <v>VODENJE IN KOORDINACIJA</v>
      </c>
      <c r="D230" s="470" t="str">
        <f>B51</f>
        <v>STAVBE</v>
      </c>
      <c r="E230" s="470" t="str">
        <f>B52</f>
        <v>NOTRANJA OPREMA</v>
      </c>
      <c r="F230" s="470" t="str">
        <f>B53</f>
        <v>ODPRTI PROSTOR</v>
      </c>
      <c r="G230" s="939" t="str">
        <f>B54</f>
        <v>GRADBENE KONSTRUKCIJE</v>
      </c>
      <c r="H230" s="939" t="str">
        <f>B55</f>
        <v>ELEKTRIČNE INŠTALACIJE</v>
      </c>
      <c r="I230" s="939" t="str">
        <f>B56</f>
        <v>STROJNE INŠTALACIJE</v>
      </c>
      <c r="J230" s="939" t="str">
        <f>B57</f>
        <v>TEHNOLOGIJA</v>
      </c>
      <c r="K230" s="939" t="str">
        <f>B58</f>
        <v>POŽARNA VARNOST</v>
      </c>
      <c r="L230" s="940" t="str">
        <f>B72</f>
        <v>UČINKOVITA RABA ENERGIJE</v>
      </c>
      <c r="M230" s="941" t="str">
        <f>B73</f>
        <v>ZAŠČITA PRED HRUPOM</v>
      </c>
      <c r="N230" s="941" t="str">
        <f>B61</f>
        <v>PROSTORSKA AKUSTIKA</v>
      </c>
      <c r="O230" s="872" t="s">
        <v>500</v>
      </c>
      <c r="Q230" s="472"/>
      <c r="R230" s="472"/>
    </row>
    <row r="231" spans="1:18" s="378" customFormat="1" ht="12.75" x14ac:dyDescent="0.2">
      <c r="A231" s="423" t="s">
        <v>35</v>
      </c>
      <c r="B231" s="424" t="s">
        <v>67</v>
      </c>
      <c r="C231" s="698">
        <f>+H22</f>
        <v>0</v>
      </c>
      <c r="D231" s="698">
        <f>+H23</f>
        <v>0</v>
      </c>
      <c r="E231" s="698">
        <f>H24</f>
        <v>0</v>
      </c>
      <c r="F231" s="698">
        <f>+H25</f>
        <v>0</v>
      </c>
      <c r="G231" s="948">
        <f>+H26</f>
        <v>0</v>
      </c>
      <c r="H231" s="948">
        <f>+H27</f>
        <v>0</v>
      </c>
      <c r="I231" s="948">
        <f>+H28</f>
        <v>0</v>
      </c>
      <c r="J231" s="948">
        <f>+H29</f>
        <v>0</v>
      </c>
      <c r="K231" s="948">
        <f>+H30</f>
        <v>0</v>
      </c>
      <c r="L231" s="948">
        <f>+H31</f>
        <v>0</v>
      </c>
      <c r="M231" s="948">
        <f>+H32</f>
        <v>0</v>
      </c>
      <c r="N231" s="948">
        <f>+H33</f>
        <v>0</v>
      </c>
      <c r="O231" s="699">
        <f t="shared" ref="O231:O247" si="18">SUM(C231:N231)</f>
        <v>0</v>
      </c>
      <c r="Q231" s="425"/>
      <c r="R231" s="425"/>
    </row>
    <row r="232" spans="1:18" s="378" customFormat="1" ht="12.75" x14ac:dyDescent="0.2">
      <c r="A232" s="423" t="s">
        <v>36</v>
      </c>
      <c r="B232" s="424" t="s">
        <v>68</v>
      </c>
      <c r="C232" s="698">
        <f>+H35</f>
        <v>0</v>
      </c>
      <c r="D232" s="698">
        <f>+H36</f>
        <v>0</v>
      </c>
      <c r="E232" s="698">
        <f>H37</f>
        <v>0</v>
      </c>
      <c r="F232" s="698">
        <f>+H38</f>
        <v>0</v>
      </c>
      <c r="G232" s="948">
        <f>+H39</f>
        <v>0</v>
      </c>
      <c r="H232" s="948">
        <f>+H40</f>
        <v>0</v>
      </c>
      <c r="I232" s="948">
        <f>+H41</f>
        <v>0</v>
      </c>
      <c r="J232" s="948">
        <f>+H42</f>
        <v>0</v>
      </c>
      <c r="K232" s="948">
        <f>+H43</f>
        <v>0</v>
      </c>
      <c r="L232" s="948">
        <f>+H44</f>
        <v>0</v>
      </c>
      <c r="M232" s="948">
        <f>+H45</f>
        <v>0</v>
      </c>
      <c r="N232" s="948">
        <f>+H46</f>
        <v>0</v>
      </c>
      <c r="O232" s="699">
        <f t="shared" si="18"/>
        <v>0</v>
      </c>
      <c r="Q232" s="425"/>
      <c r="R232" s="425"/>
    </row>
    <row r="233" spans="1:18" s="378" customFormat="1" ht="12.75" x14ac:dyDescent="0.2">
      <c r="A233" s="423" t="s">
        <v>37</v>
      </c>
      <c r="B233" s="424" t="s">
        <v>837</v>
      </c>
      <c r="C233" s="698">
        <f>+H47</f>
        <v>0</v>
      </c>
      <c r="D233" s="700"/>
      <c r="E233" s="700"/>
      <c r="F233" s="700"/>
      <c r="G233" s="949"/>
      <c r="H233" s="949"/>
      <c r="I233" s="949"/>
      <c r="J233" s="949"/>
      <c r="K233" s="949"/>
      <c r="L233" s="949"/>
      <c r="M233" s="949"/>
      <c r="N233" s="949"/>
      <c r="O233" s="699">
        <f t="shared" si="18"/>
        <v>0</v>
      </c>
      <c r="Q233" s="425"/>
      <c r="R233" s="425"/>
    </row>
    <row r="234" spans="1:18" s="217" customFormat="1" ht="12.75" x14ac:dyDescent="0.2">
      <c r="A234" s="423" t="s">
        <v>51</v>
      </c>
      <c r="B234" s="424" t="s">
        <v>94</v>
      </c>
      <c r="C234" s="698">
        <f>+H50</f>
        <v>2.8762499999999998</v>
      </c>
      <c r="D234" s="698">
        <f>+H51</f>
        <v>33.701250000000002</v>
      </c>
      <c r="E234" s="698">
        <f>H52</f>
        <v>0</v>
      </c>
      <c r="F234" s="698">
        <f>+H53</f>
        <v>20.947500000000002</v>
      </c>
      <c r="G234" s="948">
        <f>+H54</f>
        <v>33.75</v>
      </c>
      <c r="H234" s="948">
        <f>H55</f>
        <v>8.4149999999999991</v>
      </c>
      <c r="I234" s="948">
        <f>+H56</f>
        <v>17.145</v>
      </c>
      <c r="J234" s="948">
        <f>+H57</f>
        <v>2.88</v>
      </c>
      <c r="K234" s="948">
        <f>+H58</f>
        <v>2.1</v>
      </c>
      <c r="L234" s="948">
        <f>H59</f>
        <v>6.7</v>
      </c>
      <c r="M234" s="948">
        <f>H60</f>
        <v>5.4</v>
      </c>
      <c r="N234" s="948">
        <f>H61</f>
        <v>8.2000000000000011</v>
      </c>
      <c r="O234" s="699">
        <f t="shared" si="18"/>
        <v>142.11499999999998</v>
      </c>
      <c r="Q234" s="425"/>
      <c r="R234" s="425"/>
    </row>
    <row r="235" spans="1:18" s="217" customFormat="1" ht="12.75" x14ac:dyDescent="0.2">
      <c r="A235" s="426" t="s">
        <v>52</v>
      </c>
      <c r="B235" s="427" t="s">
        <v>737</v>
      </c>
      <c r="C235" s="698">
        <f>+H63</f>
        <v>6.9749999999999996</v>
      </c>
      <c r="D235" s="698">
        <f>+H64</f>
        <v>101.10374999999999</v>
      </c>
      <c r="E235" s="698">
        <f>H65</f>
        <v>0</v>
      </c>
      <c r="F235" s="698">
        <f>+H66</f>
        <v>31.421249999999997</v>
      </c>
      <c r="G235" s="948">
        <f>+H67</f>
        <v>67.5</v>
      </c>
      <c r="H235" s="948">
        <f>H68</f>
        <v>17.765000000000001</v>
      </c>
      <c r="I235" s="948">
        <f>+H69</f>
        <v>36.195</v>
      </c>
      <c r="J235" s="948">
        <f>+H70</f>
        <v>6.08</v>
      </c>
      <c r="K235" s="948">
        <f>H71</f>
        <v>5.6000000000000005</v>
      </c>
      <c r="L235" s="948">
        <f>H72</f>
        <v>13.4</v>
      </c>
      <c r="M235" s="948">
        <f>H73</f>
        <v>10.8</v>
      </c>
      <c r="N235" s="948">
        <f>H74</f>
        <v>16.400000000000002</v>
      </c>
      <c r="O235" s="699">
        <f t="shared" si="18"/>
        <v>313.23999999999995</v>
      </c>
      <c r="Q235" s="425"/>
      <c r="R235" s="425"/>
    </row>
    <row r="236" spans="1:18" s="217" customFormat="1" ht="12.75" x14ac:dyDescent="0.2">
      <c r="A236" s="426" t="s">
        <v>53</v>
      </c>
      <c r="B236" s="427" t="s">
        <v>841</v>
      </c>
      <c r="C236" s="698">
        <f>+H75</f>
        <v>46.5</v>
      </c>
      <c r="D236" s="700"/>
      <c r="E236" s="700"/>
      <c r="F236" s="700"/>
      <c r="G236" s="949"/>
      <c r="H236" s="949"/>
      <c r="I236" s="949"/>
      <c r="J236" s="949"/>
      <c r="K236" s="949"/>
      <c r="L236" s="949"/>
      <c r="M236" s="949"/>
      <c r="N236" s="949"/>
      <c r="O236" s="699">
        <f t="shared" si="18"/>
        <v>46.5</v>
      </c>
      <c r="Q236" s="425"/>
      <c r="R236" s="425"/>
    </row>
    <row r="237" spans="1:18" s="217" customFormat="1" ht="12.75" x14ac:dyDescent="0.2">
      <c r="A237" s="426" t="s">
        <v>95</v>
      </c>
      <c r="B237" s="427" t="s">
        <v>738</v>
      </c>
      <c r="C237" s="698">
        <f>+H80</f>
        <v>13.95</v>
      </c>
      <c r="D237" s="698">
        <f>+H81</f>
        <v>166.73249999999999</v>
      </c>
      <c r="E237" s="698">
        <f>H82</f>
        <v>0</v>
      </c>
      <c r="F237" s="698">
        <f>+H83</f>
        <v>51.817499999999995</v>
      </c>
      <c r="G237" s="948">
        <f>+H84</f>
        <v>49.500000000000007</v>
      </c>
      <c r="H237" s="948">
        <f>H85</f>
        <v>13.089999999999998</v>
      </c>
      <c r="I237" s="948">
        <f>+H86</f>
        <v>26.669999999999998</v>
      </c>
      <c r="J237" s="948">
        <f>+H87</f>
        <v>5.76</v>
      </c>
      <c r="K237" s="948">
        <f>H88</f>
        <v>5.18</v>
      </c>
      <c r="L237" s="948">
        <f>H89</f>
        <v>10.72</v>
      </c>
      <c r="M237" s="948">
        <f>H90</f>
        <v>8.64</v>
      </c>
      <c r="N237" s="948">
        <f>H91</f>
        <v>13.120000000000001</v>
      </c>
      <c r="O237" s="699">
        <f t="shared" si="18"/>
        <v>365.18</v>
      </c>
      <c r="Q237" s="425"/>
      <c r="R237" s="425"/>
    </row>
    <row r="238" spans="1:18" s="217" customFormat="1" ht="12.75" x14ac:dyDescent="0.2">
      <c r="A238" s="428" t="s">
        <v>96</v>
      </c>
      <c r="B238" s="429" t="s">
        <v>97</v>
      </c>
      <c r="C238" s="698">
        <f>H94+H108</f>
        <v>21.596249999999998</v>
      </c>
      <c r="D238" s="698">
        <f>H95+H102</f>
        <v>53.212499999999999</v>
      </c>
      <c r="E238" s="698">
        <f>H96+H103</f>
        <v>0</v>
      </c>
      <c r="F238" s="698">
        <f>H97+H104</f>
        <v>11.576249999999998</v>
      </c>
      <c r="G238" s="949"/>
      <c r="H238" s="948">
        <f>H98+H105</f>
        <v>6.5449999999999999</v>
      </c>
      <c r="I238" s="948">
        <f>H99+H106</f>
        <v>13.335000000000001</v>
      </c>
      <c r="J238" s="948">
        <f>H100+H107</f>
        <v>2.2400000000000002</v>
      </c>
      <c r="K238" s="949"/>
      <c r="L238" s="949"/>
      <c r="M238" s="949"/>
      <c r="N238" s="949"/>
      <c r="O238" s="699">
        <f t="shared" si="18"/>
        <v>108.50500000000001</v>
      </c>
      <c r="Q238" s="425"/>
      <c r="R238" s="425"/>
    </row>
    <row r="239" spans="1:18" s="217" customFormat="1" ht="12.75" x14ac:dyDescent="0.2">
      <c r="A239" s="703" t="s">
        <v>40</v>
      </c>
      <c r="B239" s="704" t="s">
        <v>839</v>
      </c>
      <c r="C239" s="698">
        <f>+H111+H118</f>
        <v>0</v>
      </c>
      <c r="D239" s="698">
        <f>+H112</f>
        <v>0</v>
      </c>
      <c r="E239" s="698">
        <f>H113</f>
        <v>0</v>
      </c>
      <c r="F239" s="698">
        <f>+H114</f>
        <v>0</v>
      </c>
      <c r="G239" s="949"/>
      <c r="H239" s="948">
        <f>+H115</f>
        <v>0</v>
      </c>
      <c r="I239" s="948">
        <f>+H116</f>
        <v>0</v>
      </c>
      <c r="J239" s="948">
        <f>+H117</f>
        <v>0</v>
      </c>
      <c r="K239" s="949"/>
      <c r="L239" s="949"/>
      <c r="M239" s="949"/>
      <c r="N239" s="949"/>
      <c r="O239" s="699">
        <f t="shared" si="18"/>
        <v>0</v>
      </c>
      <c r="Q239" s="425"/>
      <c r="R239" s="425"/>
    </row>
    <row r="240" spans="1:18" s="217" customFormat="1" ht="12.75" x14ac:dyDescent="0.2">
      <c r="A240" s="703" t="s">
        <v>41</v>
      </c>
      <c r="B240" s="704" t="s">
        <v>201</v>
      </c>
      <c r="C240" s="698">
        <f>+H120+H127</f>
        <v>0</v>
      </c>
      <c r="D240" s="698">
        <f>+H121</f>
        <v>0</v>
      </c>
      <c r="E240" s="698">
        <f>H122</f>
        <v>0</v>
      </c>
      <c r="F240" s="698">
        <f>+H123</f>
        <v>0</v>
      </c>
      <c r="G240" s="949"/>
      <c r="H240" s="948">
        <f>+H124</f>
        <v>0</v>
      </c>
      <c r="I240" s="948">
        <f>+H125</f>
        <v>0</v>
      </c>
      <c r="J240" s="948">
        <f>+H126</f>
        <v>0</v>
      </c>
      <c r="K240" s="949"/>
      <c r="L240" s="949"/>
      <c r="M240" s="949"/>
      <c r="N240" s="949"/>
      <c r="O240" s="699">
        <f t="shared" si="18"/>
        <v>0</v>
      </c>
      <c r="Q240" s="425"/>
      <c r="R240" s="425"/>
    </row>
    <row r="241" spans="1:18" s="217" customFormat="1" ht="12.75" x14ac:dyDescent="0.2">
      <c r="A241" s="703" t="s">
        <v>42</v>
      </c>
      <c r="B241" s="704" t="s">
        <v>202</v>
      </c>
      <c r="C241" s="698">
        <f>+H129</f>
        <v>0</v>
      </c>
      <c r="D241" s="700"/>
      <c r="E241" s="700"/>
      <c r="F241" s="700"/>
      <c r="G241" s="949"/>
      <c r="H241" s="949"/>
      <c r="I241" s="949"/>
      <c r="J241" s="949"/>
      <c r="K241" s="949"/>
      <c r="L241" s="949"/>
      <c r="M241" s="949"/>
      <c r="N241" s="949"/>
      <c r="O241" s="699">
        <f t="shared" si="18"/>
        <v>0</v>
      </c>
      <c r="Q241" s="425"/>
      <c r="R241" s="425"/>
    </row>
    <row r="242" spans="1:18" s="217" customFormat="1" ht="12.75" x14ac:dyDescent="0.2">
      <c r="A242" s="703" t="s">
        <v>43</v>
      </c>
      <c r="B242" s="704" t="s">
        <v>858</v>
      </c>
      <c r="C242" s="698">
        <f>+H131+H139</f>
        <v>4.6500000000000004</v>
      </c>
      <c r="D242" s="698">
        <f>+H132+H140</f>
        <v>39.022500000000001</v>
      </c>
      <c r="E242" s="698">
        <f>H133+H141</f>
        <v>0</v>
      </c>
      <c r="F242" s="698">
        <f>+H134+H142</f>
        <v>12.1275</v>
      </c>
      <c r="G242" s="949"/>
      <c r="H242" s="948">
        <f>+H135+H143</f>
        <v>6.5450000000000008</v>
      </c>
      <c r="I242" s="948">
        <f>+H136+H144</f>
        <v>13.335000000000001</v>
      </c>
      <c r="J242" s="948">
        <f>+H137+H145</f>
        <v>2.2400000000000002</v>
      </c>
      <c r="K242" s="949"/>
      <c r="L242" s="949"/>
      <c r="M242" s="949"/>
      <c r="N242" s="949"/>
      <c r="O242" s="699">
        <f t="shared" si="18"/>
        <v>77.92</v>
      </c>
      <c r="Q242" s="425"/>
      <c r="R242" s="425"/>
    </row>
    <row r="243" spans="1:18" s="217" customFormat="1" ht="12.75" x14ac:dyDescent="0.2">
      <c r="A243" s="703" t="s">
        <v>44</v>
      </c>
      <c r="B243" s="704" t="s">
        <v>203</v>
      </c>
      <c r="C243" s="698">
        <f>+H147+H154</f>
        <v>0</v>
      </c>
      <c r="D243" s="698">
        <f>+H148+H155</f>
        <v>0</v>
      </c>
      <c r="E243" s="700"/>
      <c r="F243" s="698">
        <f>+H149+H156</f>
        <v>0</v>
      </c>
      <c r="G243" s="949"/>
      <c r="H243" s="948">
        <f>+H150+H157</f>
        <v>0</v>
      </c>
      <c r="I243" s="948">
        <f>+H151+H158</f>
        <v>0</v>
      </c>
      <c r="J243" s="948">
        <f>+H152+H159</f>
        <v>0</v>
      </c>
      <c r="K243" s="949"/>
      <c r="L243" s="949"/>
      <c r="M243" s="949"/>
      <c r="N243" s="949"/>
      <c r="O243" s="699">
        <f t="shared" si="18"/>
        <v>0</v>
      </c>
      <c r="Q243" s="425"/>
      <c r="R243" s="425"/>
    </row>
    <row r="244" spans="1:18" s="217" customFormat="1" ht="12.75" x14ac:dyDescent="0.2">
      <c r="A244" s="703" t="s">
        <v>45</v>
      </c>
      <c r="B244" s="704" t="s">
        <v>859</v>
      </c>
      <c r="C244" s="698">
        <f>+H161+H169</f>
        <v>0.93</v>
      </c>
      <c r="D244" s="698">
        <f>+H162+H170</f>
        <v>2.8380000000000001</v>
      </c>
      <c r="E244" s="698">
        <f>H163+H171</f>
        <v>0</v>
      </c>
      <c r="F244" s="698">
        <f>+H164+H172</f>
        <v>0.88200000000000001</v>
      </c>
      <c r="G244" s="949"/>
      <c r="H244" s="948">
        <f>+H165+H173</f>
        <v>1.1220000000000001</v>
      </c>
      <c r="I244" s="948">
        <f>+H182</f>
        <v>3.81</v>
      </c>
      <c r="J244" s="948">
        <f>+H167</f>
        <v>0.38400000000000001</v>
      </c>
      <c r="K244" s="949"/>
      <c r="L244" s="949"/>
      <c r="M244" s="949"/>
      <c r="N244" s="949"/>
      <c r="O244" s="699">
        <f t="shared" si="18"/>
        <v>9.9660000000000011</v>
      </c>
      <c r="Q244" s="425"/>
      <c r="R244" s="425"/>
    </row>
    <row r="245" spans="1:18" s="217" customFormat="1" ht="12.75" x14ac:dyDescent="0.2">
      <c r="A245" s="426" t="s">
        <v>46</v>
      </c>
      <c r="B245" s="430" t="s">
        <v>840</v>
      </c>
      <c r="C245" s="698">
        <f>+H177</f>
        <v>4.6500000000000004</v>
      </c>
      <c r="D245" s="698">
        <f>+H178</f>
        <v>17.737500000000001</v>
      </c>
      <c r="E245" s="698">
        <f>+H179</f>
        <v>0</v>
      </c>
      <c r="F245" s="698">
        <f>+H180</f>
        <v>5.5125000000000002</v>
      </c>
      <c r="G245" s="949"/>
      <c r="H245" s="948">
        <f>+H181</f>
        <v>1.87</v>
      </c>
      <c r="I245" s="948">
        <f>H166+H174</f>
        <v>2.286</v>
      </c>
      <c r="J245" s="948">
        <f>+H167+H175</f>
        <v>0.38400000000000001</v>
      </c>
      <c r="K245" s="948">
        <f>H184</f>
        <v>0.70000000000000007</v>
      </c>
      <c r="L245" s="948">
        <f>H185</f>
        <v>1.675</v>
      </c>
      <c r="M245" s="948">
        <f>H186</f>
        <v>1.35</v>
      </c>
      <c r="N245" s="949"/>
      <c r="O245" s="699">
        <f t="shared" si="18"/>
        <v>36.165000000000006</v>
      </c>
      <c r="Q245" s="425"/>
      <c r="R245" s="425"/>
    </row>
    <row r="246" spans="1:18" s="217" customFormat="1" ht="12.75" x14ac:dyDescent="0.2">
      <c r="A246" s="426" t="s">
        <v>48</v>
      </c>
      <c r="B246" s="430" t="s">
        <v>204</v>
      </c>
      <c r="C246" s="698">
        <f>+H190</f>
        <v>0</v>
      </c>
      <c r="D246" s="698">
        <f>+H191</f>
        <v>0</v>
      </c>
      <c r="E246" s="698">
        <f>H192</f>
        <v>0</v>
      </c>
      <c r="F246" s="698">
        <f>+H193</f>
        <v>0</v>
      </c>
      <c r="G246" s="949"/>
      <c r="H246" s="948">
        <f>+H194</f>
        <v>0</v>
      </c>
      <c r="I246" s="948">
        <f>+H195</f>
        <v>0</v>
      </c>
      <c r="J246" s="948">
        <f>+H196</f>
        <v>0</v>
      </c>
      <c r="K246" s="949"/>
      <c r="L246" s="949"/>
      <c r="M246" s="949"/>
      <c r="N246" s="949"/>
      <c r="O246" s="699">
        <f t="shared" si="18"/>
        <v>0</v>
      </c>
      <c r="Q246" s="425"/>
      <c r="R246" s="425"/>
    </row>
    <row r="247" spans="1:18" s="217" customFormat="1" ht="12.75" x14ac:dyDescent="0.2">
      <c r="A247" s="426" t="s">
        <v>49</v>
      </c>
      <c r="B247" s="430" t="s">
        <v>205</v>
      </c>
      <c r="C247" s="698">
        <f>+H198</f>
        <v>0</v>
      </c>
      <c r="D247" s="698">
        <f>+H199</f>
        <v>0</v>
      </c>
      <c r="E247" s="698">
        <f>+H200</f>
        <v>0</v>
      </c>
      <c r="F247" s="698">
        <f>+H201</f>
        <v>0</v>
      </c>
      <c r="G247" s="949"/>
      <c r="H247" s="948">
        <f>+H202</f>
        <v>0</v>
      </c>
      <c r="I247" s="948">
        <f>+H203</f>
        <v>0</v>
      </c>
      <c r="J247" s="948">
        <f>+H204</f>
        <v>0</v>
      </c>
      <c r="K247" s="949"/>
      <c r="L247" s="949"/>
      <c r="M247" s="949"/>
      <c r="N247" s="949"/>
      <c r="O247" s="699">
        <f t="shared" si="18"/>
        <v>0</v>
      </c>
      <c r="Q247" s="425"/>
      <c r="R247" s="425"/>
    </row>
    <row r="248" spans="1:18" s="217" customFormat="1" ht="12.75" x14ac:dyDescent="0.2">
      <c r="A248" s="431"/>
      <c r="B248" s="871" t="s">
        <v>1097</v>
      </c>
      <c r="C248" s="701">
        <f>SUM(C231:C247)</f>
        <v>102.12750000000001</v>
      </c>
      <c r="D248" s="701">
        <f>SUM(D231:D247)</f>
        <v>414.34800000000001</v>
      </c>
      <c r="E248" s="701">
        <f>SUM(E234:E245)</f>
        <v>0</v>
      </c>
      <c r="F248" s="701">
        <f>SUM(F234:F245)</f>
        <v>134.28449999999998</v>
      </c>
      <c r="G248" s="947">
        <f t="shared" ref="G248:O248" si="19">SUM(G231:G247)</f>
        <v>150.75</v>
      </c>
      <c r="H248" s="947">
        <f t="shared" si="19"/>
        <v>55.351999999999997</v>
      </c>
      <c r="I248" s="947">
        <f t="shared" si="19"/>
        <v>112.77600000000001</v>
      </c>
      <c r="J248" s="947">
        <f t="shared" si="19"/>
        <v>19.968000000000004</v>
      </c>
      <c r="K248" s="947">
        <f t="shared" si="19"/>
        <v>13.58</v>
      </c>
      <c r="L248" s="947">
        <f t="shared" si="19"/>
        <v>32.494999999999997</v>
      </c>
      <c r="M248" s="947">
        <f t="shared" si="19"/>
        <v>26.190000000000005</v>
      </c>
      <c r="N248" s="947">
        <f t="shared" si="19"/>
        <v>37.72</v>
      </c>
      <c r="O248" s="702">
        <f t="shared" si="19"/>
        <v>1099.5909999999997</v>
      </c>
      <c r="Q248" s="425"/>
      <c r="R248" s="425"/>
    </row>
    <row r="249" spans="1:18" s="13" customFormat="1" x14ac:dyDescent="0.2">
      <c r="A249" s="29"/>
      <c r="B249" s="124"/>
      <c r="E249" s="130"/>
      <c r="F249" s="30"/>
      <c r="G249" s="30"/>
      <c r="H249" s="30"/>
      <c r="I249" s="124"/>
      <c r="J249" s="30"/>
    </row>
    <row r="251" spans="1:18" ht="18.75" x14ac:dyDescent="0.25">
      <c r="A251" s="64" t="s">
        <v>963</v>
      </c>
      <c r="B251" s="64"/>
      <c r="C251" s="64"/>
      <c r="D251" s="64"/>
      <c r="E251" s="64"/>
      <c r="F251" s="64"/>
      <c r="G251" s="64"/>
      <c r="H251" s="64"/>
      <c r="I251" s="64"/>
      <c r="J251" s="64"/>
      <c r="K251" s="64"/>
      <c r="L251" s="64"/>
      <c r="M251" s="64"/>
      <c r="N251" s="64"/>
      <c r="O251" s="64"/>
      <c r="P251" s="64"/>
    </row>
    <row r="252" spans="1:18" ht="93" customHeight="1" x14ac:dyDescent="0.25">
      <c r="A252" s="468"/>
      <c r="B252" s="469"/>
      <c r="C252" s="470" t="s">
        <v>958</v>
      </c>
      <c r="D252" s="470" t="str">
        <f>D230</f>
        <v>STAVBE</v>
      </c>
      <c r="E252" s="470" t="str">
        <f>E230</f>
        <v>NOTRANJA OPREMA</v>
      </c>
      <c r="F252" s="470" t="str">
        <f>F230</f>
        <v>ODPRTI PROSTOR</v>
      </c>
      <c r="G252" s="939" t="s">
        <v>369</v>
      </c>
      <c r="H252" s="939" t="s">
        <v>959</v>
      </c>
      <c r="I252" s="939" t="s">
        <v>960</v>
      </c>
      <c r="J252" s="939" t="s">
        <v>364</v>
      </c>
      <c r="K252" s="939" t="s">
        <v>374</v>
      </c>
      <c r="L252" s="940" t="s">
        <v>372</v>
      </c>
      <c r="M252" s="941" t="s">
        <v>69</v>
      </c>
      <c r="N252" s="941" t="s">
        <v>373</v>
      </c>
      <c r="O252" s="471" t="s">
        <v>501</v>
      </c>
      <c r="P252" s="708" t="s">
        <v>965</v>
      </c>
      <c r="Q252" s="708" t="s">
        <v>1099</v>
      </c>
      <c r="R252" s="708" t="s">
        <v>1098</v>
      </c>
    </row>
    <row r="253" spans="1:18" x14ac:dyDescent="0.25">
      <c r="A253" s="423" t="s">
        <v>35</v>
      </c>
      <c r="B253" s="424" t="s">
        <v>67</v>
      </c>
      <c r="C253" s="706">
        <f>+I22</f>
        <v>0</v>
      </c>
      <c r="D253" s="706">
        <f>+I23</f>
        <v>0</v>
      </c>
      <c r="E253" s="706">
        <f>I24</f>
        <v>0</v>
      </c>
      <c r="F253" s="706">
        <f>+I25</f>
        <v>0</v>
      </c>
      <c r="G253" s="942">
        <f>+I26</f>
        <v>0</v>
      </c>
      <c r="H253" s="942">
        <f>+I27</f>
        <v>0</v>
      </c>
      <c r="I253" s="942">
        <f>+I28</f>
        <v>0</v>
      </c>
      <c r="J253" s="942">
        <f>+I29</f>
        <v>0</v>
      </c>
      <c r="K253" s="942">
        <f>+I30</f>
        <v>0</v>
      </c>
      <c r="L253" s="942">
        <f>+I31</f>
        <v>0</v>
      </c>
      <c r="M253" s="942">
        <f>+I32</f>
        <v>0</v>
      </c>
      <c r="N253" s="942">
        <f>+I33</f>
        <v>0</v>
      </c>
      <c r="O253" s="706">
        <f t="shared" ref="O253:O269" si="20">SUM(C253:N253)</f>
        <v>0</v>
      </c>
      <c r="P253" s="873">
        <f t="shared" ref="P253:P269" si="21">IFERROR(O253/$O$270,"")</f>
        <v>0</v>
      </c>
      <c r="Q253" s="873" t="str">
        <f>IFERROR(O253/'OSNOVNI PODATKI'!$E$332,"")</f>
        <v/>
      </c>
      <c r="R253" s="873" t="str">
        <f>IFERROR(O253/'OSNOVNI PODATKI'!$E$357,"")</f>
        <v/>
      </c>
    </row>
    <row r="254" spans="1:18" x14ac:dyDescent="0.25">
      <c r="A254" s="423" t="s">
        <v>36</v>
      </c>
      <c r="B254" s="424" t="s">
        <v>68</v>
      </c>
      <c r="C254" s="706">
        <f>+I35</f>
        <v>0</v>
      </c>
      <c r="D254" s="706">
        <f>+I36</f>
        <v>0</v>
      </c>
      <c r="E254" s="706">
        <f>I37</f>
        <v>0</v>
      </c>
      <c r="F254" s="706">
        <f>+I38</f>
        <v>0</v>
      </c>
      <c r="G254" s="942">
        <f>+I39</f>
        <v>0</v>
      </c>
      <c r="H254" s="942">
        <f>+I40</f>
        <v>0</v>
      </c>
      <c r="I254" s="942">
        <f>+I41</f>
        <v>0</v>
      </c>
      <c r="J254" s="942">
        <f>+I42</f>
        <v>0</v>
      </c>
      <c r="K254" s="942">
        <f>+I43</f>
        <v>0</v>
      </c>
      <c r="L254" s="942">
        <f>+I44</f>
        <v>0</v>
      </c>
      <c r="M254" s="942">
        <f>+I45</f>
        <v>0</v>
      </c>
      <c r="N254" s="942">
        <f>+I46</f>
        <v>0</v>
      </c>
      <c r="O254" s="706">
        <f t="shared" si="20"/>
        <v>0</v>
      </c>
      <c r="P254" s="873">
        <f t="shared" si="21"/>
        <v>0</v>
      </c>
      <c r="Q254" s="873" t="str">
        <f>IFERROR(O254/'OSNOVNI PODATKI'!$E$332,"")</f>
        <v/>
      </c>
      <c r="R254" s="873" t="str">
        <f>IFERROR(O254/'OSNOVNI PODATKI'!$E$357,"")</f>
        <v/>
      </c>
    </row>
    <row r="255" spans="1:18" x14ac:dyDescent="0.25">
      <c r="A255" s="423" t="s">
        <v>37</v>
      </c>
      <c r="B255" s="424" t="s">
        <v>837</v>
      </c>
      <c r="C255" s="706">
        <f>+I47</f>
        <v>0</v>
      </c>
      <c r="D255" s="945"/>
      <c r="E255" s="945"/>
      <c r="F255" s="945"/>
      <c r="G255" s="943"/>
      <c r="H255" s="943"/>
      <c r="I255" s="943"/>
      <c r="J255" s="943"/>
      <c r="K255" s="943"/>
      <c r="L255" s="943"/>
      <c r="M255" s="943"/>
      <c r="N255" s="943"/>
      <c r="O255" s="706">
        <f t="shared" si="20"/>
        <v>0</v>
      </c>
      <c r="P255" s="873">
        <f t="shared" si="21"/>
        <v>0</v>
      </c>
      <c r="Q255" s="873" t="str">
        <f>IFERROR(O255/'OSNOVNI PODATKI'!$E$332,"")</f>
        <v/>
      </c>
      <c r="R255" s="873" t="str">
        <f>IFERROR(O255/'OSNOVNI PODATKI'!$E$357,"")</f>
        <v/>
      </c>
    </row>
    <row r="256" spans="1:18" x14ac:dyDescent="0.25">
      <c r="A256" s="423" t="s">
        <v>51</v>
      </c>
      <c r="B256" s="424" t="s">
        <v>94</v>
      </c>
      <c r="C256" s="706">
        <f>+I50</f>
        <v>158.19374999999999</v>
      </c>
      <c r="D256" s="706">
        <f>+I51</f>
        <v>1853.5687500000001</v>
      </c>
      <c r="E256" s="706">
        <f>I52</f>
        <v>0</v>
      </c>
      <c r="F256" s="706">
        <f>+I53</f>
        <v>1152.1125000000002</v>
      </c>
      <c r="G256" s="942">
        <f>+I54</f>
        <v>1856.25</v>
      </c>
      <c r="H256" s="942">
        <f>I55</f>
        <v>462.82499999999993</v>
      </c>
      <c r="I256" s="942">
        <f>+I56</f>
        <v>942.97500000000002</v>
      </c>
      <c r="J256" s="942">
        <f>+I57</f>
        <v>158.4</v>
      </c>
      <c r="K256" s="942">
        <f>+I58</f>
        <v>115.5</v>
      </c>
      <c r="L256" s="942">
        <f>I59</f>
        <v>368.5</v>
      </c>
      <c r="M256" s="942">
        <f>I60</f>
        <v>297</v>
      </c>
      <c r="N256" s="942">
        <f>I61</f>
        <v>451.00000000000006</v>
      </c>
      <c r="O256" s="706">
        <f t="shared" si="20"/>
        <v>7816.3249999999998</v>
      </c>
      <c r="P256" s="873">
        <f t="shared" si="21"/>
        <v>0.12921342695847696</v>
      </c>
      <c r="Q256" s="873" t="str">
        <f>IFERROR(O256/'OSNOVNI PODATKI'!$E$332,"")</f>
        <v/>
      </c>
      <c r="R256" s="873" t="str">
        <f>IFERROR(O256/'OSNOVNI PODATKI'!$E$357,"")</f>
        <v/>
      </c>
    </row>
    <row r="257" spans="1:18" x14ac:dyDescent="0.25">
      <c r="A257" s="426" t="s">
        <v>52</v>
      </c>
      <c r="B257" s="427" t="s">
        <v>737</v>
      </c>
      <c r="C257" s="706">
        <f>+I63</f>
        <v>383.625</v>
      </c>
      <c r="D257" s="706">
        <f>+I64</f>
        <v>5560.7062499999993</v>
      </c>
      <c r="E257" s="706">
        <f>I65</f>
        <v>0</v>
      </c>
      <c r="F257" s="706">
        <f>+I66</f>
        <v>1728.1687499999998</v>
      </c>
      <c r="G257" s="942">
        <f>+I67</f>
        <v>3712.5</v>
      </c>
      <c r="H257" s="942">
        <f>I68</f>
        <v>977.07500000000005</v>
      </c>
      <c r="I257" s="942">
        <f>+I69</f>
        <v>1990.7249999999999</v>
      </c>
      <c r="J257" s="942">
        <f>+I70</f>
        <v>334.4</v>
      </c>
      <c r="K257" s="942">
        <f>I71</f>
        <v>308.00000000000006</v>
      </c>
      <c r="L257" s="942">
        <f>I72</f>
        <v>737</v>
      </c>
      <c r="M257" s="942">
        <f>I73</f>
        <v>594</v>
      </c>
      <c r="N257" s="942">
        <f>I74</f>
        <v>902.00000000000011</v>
      </c>
      <c r="O257" s="706">
        <f t="shared" si="20"/>
        <v>17228.2</v>
      </c>
      <c r="P257" s="873">
        <f t="shared" si="21"/>
        <v>0.2848032499065779</v>
      </c>
      <c r="Q257" s="873" t="str">
        <f>IFERROR(O257/'OSNOVNI PODATKI'!$E$332,"")</f>
        <v/>
      </c>
      <c r="R257" s="873" t="str">
        <f>IFERROR(O257/'OSNOVNI PODATKI'!$E$357,"")</f>
        <v/>
      </c>
    </row>
    <row r="258" spans="1:18" x14ac:dyDescent="0.25">
      <c r="A258" s="426" t="s">
        <v>53</v>
      </c>
      <c r="B258" s="427" t="s">
        <v>841</v>
      </c>
      <c r="C258" s="706">
        <f>+I75</f>
        <v>2557.5</v>
      </c>
      <c r="D258" s="945"/>
      <c r="E258" s="945"/>
      <c r="F258" s="945"/>
      <c r="G258" s="943"/>
      <c r="H258" s="943"/>
      <c r="I258" s="943"/>
      <c r="J258" s="943"/>
      <c r="K258" s="943"/>
      <c r="L258" s="943"/>
      <c r="M258" s="943"/>
      <c r="N258" s="943"/>
      <c r="O258" s="706">
        <f t="shared" si="20"/>
        <v>2557.5</v>
      </c>
      <c r="P258" s="873">
        <f t="shared" si="21"/>
        <v>4.2278607842727217E-2</v>
      </c>
      <c r="Q258" s="873" t="str">
        <f>IFERROR(O258/'OSNOVNI PODATKI'!$E$332,"")</f>
        <v/>
      </c>
      <c r="R258" s="873" t="str">
        <f>IFERROR(O258/'OSNOVNI PODATKI'!$E$357,"")</f>
        <v/>
      </c>
    </row>
    <row r="259" spans="1:18" x14ac:dyDescent="0.25">
      <c r="A259" s="426" t="s">
        <v>95</v>
      </c>
      <c r="B259" s="427" t="s">
        <v>738</v>
      </c>
      <c r="C259" s="706">
        <f>+I80</f>
        <v>767.25</v>
      </c>
      <c r="D259" s="706">
        <f>+I81</f>
        <v>9170.2874999999985</v>
      </c>
      <c r="E259" s="706">
        <f>I82</f>
        <v>0</v>
      </c>
      <c r="F259" s="706">
        <f>+I83</f>
        <v>2849.9624999999996</v>
      </c>
      <c r="G259" s="942">
        <f>+I84</f>
        <v>2722.5000000000005</v>
      </c>
      <c r="H259" s="942">
        <f>I85</f>
        <v>719.94999999999993</v>
      </c>
      <c r="I259" s="942">
        <f>+I86</f>
        <v>1466.85</v>
      </c>
      <c r="J259" s="942">
        <f>+I87</f>
        <v>316.8</v>
      </c>
      <c r="K259" s="942">
        <f>I88</f>
        <v>284.89999999999998</v>
      </c>
      <c r="L259" s="942">
        <f>I89</f>
        <v>589.6</v>
      </c>
      <c r="M259" s="942">
        <f>I90</f>
        <v>475.20000000000005</v>
      </c>
      <c r="N259" s="942">
        <f>I91</f>
        <v>721.6</v>
      </c>
      <c r="O259" s="706">
        <f t="shared" si="20"/>
        <v>20084.899999999998</v>
      </c>
      <c r="P259" s="873">
        <f t="shared" si="21"/>
        <v>0.33202800025821771</v>
      </c>
      <c r="Q259" s="873" t="str">
        <f>IFERROR(O259/'OSNOVNI PODATKI'!$E$332,"")</f>
        <v/>
      </c>
      <c r="R259" s="873" t="str">
        <f>IFERROR(O259/'OSNOVNI PODATKI'!$E$357,"")</f>
        <v/>
      </c>
    </row>
    <row r="260" spans="1:18" x14ac:dyDescent="0.25">
      <c r="A260" s="428" t="s">
        <v>96</v>
      </c>
      <c r="B260" s="429" t="s">
        <v>97</v>
      </c>
      <c r="C260" s="706">
        <f>+I94+I108</f>
        <v>1187.79375</v>
      </c>
      <c r="D260" s="706">
        <f>+I95+I102</f>
        <v>2926.6875</v>
      </c>
      <c r="E260" s="706">
        <f>+I96+I103</f>
        <v>0</v>
      </c>
      <c r="F260" s="706">
        <f>+I97+I104</f>
        <v>636.69374999999991</v>
      </c>
      <c r="G260" s="942"/>
      <c r="H260" s="942">
        <f>+I98+I105</f>
        <v>359.97500000000002</v>
      </c>
      <c r="I260" s="942">
        <f>+I99+I106</f>
        <v>733.42499999999995</v>
      </c>
      <c r="J260" s="942">
        <f>+I100+I107</f>
        <v>123.2</v>
      </c>
      <c r="K260" s="943"/>
      <c r="L260" s="943"/>
      <c r="M260" s="943"/>
      <c r="N260" s="943"/>
      <c r="O260" s="706">
        <f t="shared" si="20"/>
        <v>5967.7749999999996</v>
      </c>
      <c r="P260" s="873">
        <f t="shared" si="21"/>
        <v>9.8654631053228303E-2</v>
      </c>
      <c r="Q260" s="873" t="str">
        <f>IFERROR(O260/'OSNOVNI PODATKI'!$E$332,"")</f>
        <v/>
      </c>
      <c r="R260" s="873" t="str">
        <f>IFERROR(O260/'OSNOVNI PODATKI'!$E$357,"")</f>
        <v/>
      </c>
    </row>
    <row r="261" spans="1:18" x14ac:dyDescent="0.25">
      <c r="A261" s="703" t="s">
        <v>40</v>
      </c>
      <c r="B261" s="704" t="s">
        <v>839</v>
      </c>
      <c r="C261" s="706">
        <f>+I111+I118</f>
        <v>0</v>
      </c>
      <c r="D261" s="706">
        <f>+I112</f>
        <v>0</v>
      </c>
      <c r="E261" s="706">
        <f>+I113</f>
        <v>0</v>
      </c>
      <c r="F261" s="706">
        <f>+I114</f>
        <v>0</v>
      </c>
      <c r="G261" s="943"/>
      <c r="H261" s="942">
        <f>+I115</f>
        <v>0</v>
      </c>
      <c r="I261" s="942">
        <f>+I116</f>
        <v>0</v>
      </c>
      <c r="J261" s="942">
        <f>+I117</f>
        <v>0</v>
      </c>
      <c r="K261" s="943"/>
      <c r="L261" s="943"/>
      <c r="M261" s="943"/>
      <c r="N261" s="943"/>
      <c r="O261" s="706">
        <f t="shared" si="20"/>
        <v>0</v>
      </c>
      <c r="P261" s="873">
        <f t="shared" si="21"/>
        <v>0</v>
      </c>
      <c r="Q261" s="873" t="str">
        <f>IFERROR(O261/'OSNOVNI PODATKI'!$E$332,"")</f>
        <v/>
      </c>
      <c r="R261" s="873" t="str">
        <f>IFERROR(O261/'OSNOVNI PODATKI'!$E$357,"")</f>
        <v/>
      </c>
    </row>
    <row r="262" spans="1:18" x14ac:dyDescent="0.25">
      <c r="A262" s="703" t="s">
        <v>41</v>
      </c>
      <c r="B262" s="704" t="s">
        <v>201</v>
      </c>
      <c r="C262" s="706">
        <f>+I120+I127</f>
        <v>0</v>
      </c>
      <c r="D262" s="706">
        <f>+I121</f>
        <v>0</v>
      </c>
      <c r="E262" s="706">
        <f>+I122</f>
        <v>0</v>
      </c>
      <c r="F262" s="706">
        <f>+I123</f>
        <v>0</v>
      </c>
      <c r="G262" s="943"/>
      <c r="H262" s="942">
        <f>+I124</f>
        <v>0</v>
      </c>
      <c r="I262" s="942">
        <f>+I125</f>
        <v>0</v>
      </c>
      <c r="J262" s="942">
        <f>+I126</f>
        <v>0</v>
      </c>
      <c r="K262" s="943"/>
      <c r="L262" s="943"/>
      <c r="M262" s="943"/>
      <c r="N262" s="943"/>
      <c r="O262" s="706">
        <f t="shared" si="20"/>
        <v>0</v>
      </c>
      <c r="P262" s="873">
        <f t="shared" si="21"/>
        <v>0</v>
      </c>
      <c r="Q262" s="873" t="str">
        <f>IFERROR(O262/'OSNOVNI PODATKI'!$E$332,"")</f>
        <v/>
      </c>
      <c r="R262" s="873" t="str">
        <f>IFERROR(O262/'OSNOVNI PODATKI'!$E$357,"")</f>
        <v/>
      </c>
    </row>
    <row r="263" spans="1:18" x14ac:dyDescent="0.25">
      <c r="A263" s="703" t="s">
        <v>42</v>
      </c>
      <c r="B263" s="704" t="s">
        <v>202</v>
      </c>
      <c r="C263" s="706">
        <f>+I129</f>
        <v>0</v>
      </c>
      <c r="D263" s="945"/>
      <c r="E263" s="945"/>
      <c r="F263" s="945"/>
      <c r="G263" s="943"/>
      <c r="H263" s="943"/>
      <c r="I263" s="943"/>
      <c r="J263" s="943"/>
      <c r="K263" s="943"/>
      <c r="L263" s="943"/>
      <c r="M263" s="943"/>
      <c r="N263" s="943"/>
      <c r="O263" s="706">
        <f t="shared" si="20"/>
        <v>0</v>
      </c>
      <c r="P263" s="873">
        <f t="shared" si="21"/>
        <v>0</v>
      </c>
      <c r="Q263" s="873" t="str">
        <f>IFERROR(O263/'OSNOVNI PODATKI'!$E$332,"")</f>
        <v/>
      </c>
      <c r="R263" s="873" t="str">
        <f>IFERROR(O263/'OSNOVNI PODATKI'!$E$357,"")</f>
        <v/>
      </c>
    </row>
    <row r="264" spans="1:18" x14ac:dyDescent="0.25">
      <c r="A264" s="703" t="s">
        <v>43</v>
      </c>
      <c r="B264" s="704" t="s">
        <v>858</v>
      </c>
      <c r="C264" s="706">
        <f>+I131+I139</f>
        <v>255.75000000000003</v>
      </c>
      <c r="D264" s="706">
        <f>+I132+I140</f>
        <v>2146.2375000000002</v>
      </c>
      <c r="E264" s="706">
        <f>+I133+I141</f>
        <v>0</v>
      </c>
      <c r="F264" s="706">
        <f>+I134+I142</f>
        <v>667.01249999999993</v>
      </c>
      <c r="G264" s="943"/>
      <c r="H264" s="942">
        <f>+I135+I143</f>
        <v>359.97500000000002</v>
      </c>
      <c r="I264" s="942">
        <f>+I136+I144</f>
        <v>733.42500000000007</v>
      </c>
      <c r="J264" s="942">
        <f>+I137+I145</f>
        <v>123.20000000000002</v>
      </c>
      <c r="K264" s="943"/>
      <c r="L264" s="943"/>
      <c r="M264" s="943"/>
      <c r="N264" s="943"/>
      <c r="O264" s="706">
        <f t="shared" si="20"/>
        <v>4285.5999999999995</v>
      </c>
      <c r="P264" s="873">
        <f t="shared" si="21"/>
        <v>7.0846217701189346E-2</v>
      </c>
      <c r="Q264" s="873" t="str">
        <f>IFERROR(O264/'OSNOVNI PODATKI'!$E$332,"")</f>
        <v/>
      </c>
      <c r="R264" s="873" t="str">
        <f>IFERROR(O264/'OSNOVNI PODATKI'!$E$357,"")</f>
        <v/>
      </c>
    </row>
    <row r="265" spans="1:18" x14ac:dyDescent="0.25">
      <c r="A265" s="703" t="s">
        <v>44</v>
      </c>
      <c r="B265" s="704" t="s">
        <v>203</v>
      </c>
      <c r="C265" s="706">
        <f>+I147+I154</f>
        <v>0</v>
      </c>
      <c r="D265" s="706">
        <f>+I148+I155</f>
        <v>0</v>
      </c>
      <c r="E265" s="945"/>
      <c r="F265" s="706">
        <f>+I149+I156</f>
        <v>0</v>
      </c>
      <c r="G265" s="943"/>
      <c r="H265" s="942">
        <f>+I150+I157</f>
        <v>0</v>
      </c>
      <c r="I265" s="942">
        <f>+I151+I158</f>
        <v>0</v>
      </c>
      <c r="J265" s="942">
        <f>+I152+I159</f>
        <v>0</v>
      </c>
      <c r="K265" s="943"/>
      <c r="L265" s="943"/>
      <c r="M265" s="943"/>
      <c r="N265" s="943"/>
      <c r="O265" s="706">
        <f t="shared" si="20"/>
        <v>0</v>
      </c>
      <c r="P265" s="873">
        <f t="shared" si="21"/>
        <v>0</v>
      </c>
      <c r="Q265" s="873" t="str">
        <f>IFERROR(O265/'OSNOVNI PODATKI'!$E$332,"")</f>
        <v/>
      </c>
      <c r="R265" s="873" t="str">
        <f>IFERROR(O265/'OSNOVNI PODATKI'!$E$357,"")</f>
        <v/>
      </c>
    </row>
    <row r="266" spans="1:18" x14ac:dyDescent="0.25">
      <c r="A266" s="703" t="s">
        <v>45</v>
      </c>
      <c r="B266" s="704" t="s">
        <v>859</v>
      </c>
      <c r="C266" s="706">
        <f>+I161+I169</f>
        <v>51.150000000000006</v>
      </c>
      <c r="D266" s="706">
        <f>+I162+I170</f>
        <v>156.09</v>
      </c>
      <c r="E266" s="706">
        <f>+I163+I171</f>
        <v>0</v>
      </c>
      <c r="F266" s="706">
        <f>+I164+I172</f>
        <v>48.51</v>
      </c>
      <c r="G266" s="943"/>
      <c r="H266" s="942">
        <f>+I165+I173</f>
        <v>61.710000000000008</v>
      </c>
      <c r="I266" s="942">
        <f>+I166+I174</f>
        <v>125.73</v>
      </c>
      <c r="J266" s="942">
        <f>+I167+I175</f>
        <v>21.12</v>
      </c>
      <c r="K266" s="943"/>
      <c r="L266" s="943"/>
      <c r="M266" s="943"/>
      <c r="N266" s="943"/>
      <c r="O266" s="706">
        <f t="shared" si="20"/>
        <v>464.31000000000006</v>
      </c>
      <c r="P266" s="873">
        <f t="shared" si="21"/>
        <v>7.6756130625441552E-3</v>
      </c>
      <c r="Q266" s="873" t="str">
        <f>IFERROR(O266/'OSNOVNI PODATKI'!$E$332,"")</f>
        <v/>
      </c>
      <c r="R266" s="873" t="str">
        <f>IFERROR(O266/'OSNOVNI PODATKI'!$E$357,"")</f>
        <v/>
      </c>
    </row>
    <row r="267" spans="1:18" x14ac:dyDescent="0.25">
      <c r="A267" s="426" t="s">
        <v>46</v>
      </c>
      <c r="B267" s="430" t="s">
        <v>840</v>
      </c>
      <c r="C267" s="706">
        <f>+I177</f>
        <v>255.75000000000003</v>
      </c>
      <c r="D267" s="706">
        <f>+I178</f>
        <v>975.5625</v>
      </c>
      <c r="E267" s="706">
        <f>+I179</f>
        <v>0</v>
      </c>
      <c r="F267" s="706">
        <f>+I180</f>
        <v>303.1875</v>
      </c>
      <c r="G267" s="943"/>
      <c r="H267" s="942">
        <f>+I181</f>
        <v>102.85000000000001</v>
      </c>
      <c r="I267" s="942">
        <f>+I182</f>
        <v>209.55</v>
      </c>
      <c r="J267" s="942">
        <f>+I183</f>
        <v>35.200000000000003</v>
      </c>
      <c r="K267" s="942">
        <f>+I184</f>
        <v>38.500000000000007</v>
      </c>
      <c r="L267" s="942">
        <f>+I185</f>
        <v>92.125</v>
      </c>
      <c r="M267" s="942">
        <f>+I186</f>
        <v>74.25</v>
      </c>
      <c r="N267" s="943"/>
      <c r="O267" s="706">
        <f t="shared" si="20"/>
        <v>2086.9749999999999</v>
      </c>
      <c r="P267" s="873">
        <f t="shared" si="21"/>
        <v>3.4500253217038368E-2</v>
      </c>
      <c r="Q267" s="873" t="str">
        <f>IFERROR(O267/'OSNOVNI PODATKI'!$E$332,"")</f>
        <v/>
      </c>
      <c r="R267" s="873" t="str">
        <f>IFERROR(O267/'OSNOVNI PODATKI'!$E$357,"")</f>
        <v/>
      </c>
    </row>
    <row r="268" spans="1:18" x14ac:dyDescent="0.25">
      <c r="A268" s="426" t="s">
        <v>48</v>
      </c>
      <c r="B268" s="430" t="s">
        <v>204</v>
      </c>
      <c r="C268" s="706">
        <f>+I190</f>
        <v>0</v>
      </c>
      <c r="D268" s="706">
        <f>+I191</f>
        <v>0</v>
      </c>
      <c r="E268" s="706">
        <f>+I192</f>
        <v>0</v>
      </c>
      <c r="F268" s="706">
        <f>+I193</f>
        <v>0</v>
      </c>
      <c r="G268" s="943"/>
      <c r="H268" s="942">
        <f>+I194</f>
        <v>0</v>
      </c>
      <c r="I268" s="942">
        <f>+I195</f>
        <v>0</v>
      </c>
      <c r="J268" s="942">
        <f>+I196</f>
        <v>0</v>
      </c>
      <c r="K268" s="943"/>
      <c r="L268" s="943"/>
      <c r="M268" s="943"/>
      <c r="N268" s="943"/>
      <c r="O268" s="706">
        <f t="shared" si="20"/>
        <v>0</v>
      </c>
      <c r="P268" s="873">
        <f t="shared" si="21"/>
        <v>0</v>
      </c>
      <c r="Q268" s="873" t="str">
        <f>IFERROR(O268/'OSNOVNI PODATKI'!$E$332,"")</f>
        <v/>
      </c>
      <c r="R268" s="873" t="str">
        <f>IFERROR(O268/'OSNOVNI PODATKI'!$E$357,"")</f>
        <v/>
      </c>
    </row>
    <row r="269" spans="1:18" x14ac:dyDescent="0.25">
      <c r="A269" s="428" t="s">
        <v>49</v>
      </c>
      <c r="B269" s="430" t="s">
        <v>205</v>
      </c>
      <c r="C269" s="706">
        <f>+I198</f>
        <v>0</v>
      </c>
      <c r="D269" s="706">
        <f>+I199</f>
        <v>0</v>
      </c>
      <c r="E269" s="706">
        <f>+I200</f>
        <v>0</v>
      </c>
      <c r="F269" s="706">
        <f>+I201</f>
        <v>0</v>
      </c>
      <c r="G269" s="943"/>
      <c r="H269" s="942">
        <f>+I202</f>
        <v>0</v>
      </c>
      <c r="I269" s="942">
        <f>+I203</f>
        <v>0</v>
      </c>
      <c r="J269" s="942">
        <f>+I204</f>
        <v>0</v>
      </c>
      <c r="K269" s="943"/>
      <c r="L269" s="943"/>
      <c r="M269" s="943"/>
      <c r="N269" s="943"/>
      <c r="O269" s="706">
        <f t="shared" si="20"/>
        <v>0</v>
      </c>
      <c r="P269" s="873">
        <f t="shared" si="21"/>
        <v>0</v>
      </c>
      <c r="Q269" s="873" t="str">
        <f>IFERROR(O269/'OSNOVNI PODATKI'!$E$332,"")</f>
        <v/>
      </c>
      <c r="R269" s="873" t="str">
        <f>IFERROR(O269/'OSNOVNI PODATKI'!$E$357,"")</f>
        <v/>
      </c>
    </row>
    <row r="270" spans="1:18" s="217" customFormat="1" ht="12.75" x14ac:dyDescent="0.2">
      <c r="A270" s="431"/>
      <c r="B270" s="870" t="s">
        <v>964</v>
      </c>
      <c r="C270" s="868">
        <f>SUM(C253:C269)</f>
        <v>5617.0124999999998</v>
      </c>
      <c r="D270" s="868">
        <f>SUM(D253:D269)</f>
        <v>22789.14</v>
      </c>
      <c r="E270" s="868">
        <f>SUM(E253:E269)</f>
        <v>0</v>
      </c>
      <c r="F270" s="868">
        <f>SUM(F253:F269)</f>
        <v>7385.6475</v>
      </c>
      <c r="G270" s="946">
        <f t="shared" ref="G270:O270" si="22">SUM(G253:G269)</f>
        <v>8291.25</v>
      </c>
      <c r="H270" s="946">
        <f t="shared" si="22"/>
        <v>3044.3599999999997</v>
      </c>
      <c r="I270" s="946">
        <f t="shared" si="22"/>
        <v>6202.6799999999994</v>
      </c>
      <c r="J270" s="946">
        <f t="shared" si="22"/>
        <v>1112.32</v>
      </c>
      <c r="K270" s="946">
        <f t="shared" si="22"/>
        <v>746.90000000000009</v>
      </c>
      <c r="L270" s="946">
        <f t="shared" si="22"/>
        <v>1787.2249999999999</v>
      </c>
      <c r="M270" s="946">
        <f t="shared" si="22"/>
        <v>1440.45</v>
      </c>
      <c r="N270" s="946">
        <f t="shared" si="22"/>
        <v>2074.6000000000004</v>
      </c>
      <c r="O270" s="869">
        <f t="shared" si="22"/>
        <v>60491.584999999999</v>
      </c>
      <c r="P270" s="425">
        <f>SUM(P253:P269)</f>
        <v>1</v>
      </c>
      <c r="Q270" s="425">
        <f>SUM(Q253:Q269)</f>
        <v>0</v>
      </c>
      <c r="R270" s="425">
        <f>SUM(R253:R269)</f>
        <v>0</v>
      </c>
    </row>
    <row r="271" spans="1:18" s="18" customFormat="1" ht="15.75" x14ac:dyDescent="0.25">
      <c r="A271" s="400"/>
      <c r="B271" s="707" t="s">
        <v>965</v>
      </c>
      <c r="C271" s="433">
        <f t="shared" ref="C271:O271" si="23">IFERROR(C270/$O$270,"")</f>
        <v>9.2856097257163955E-2</v>
      </c>
      <c r="D271" s="433">
        <f t="shared" si="23"/>
        <v>0.37673240005200725</v>
      </c>
      <c r="E271" s="433">
        <f t="shared" si="23"/>
        <v>0</v>
      </c>
      <c r="F271" s="433">
        <f t="shared" si="23"/>
        <v>0.12209380031949899</v>
      </c>
      <c r="G271" s="433">
        <f t="shared" si="23"/>
        <v>0.13706451897400274</v>
      </c>
      <c r="H271" s="433">
        <f t="shared" si="23"/>
        <v>5.0327000028185735E-2</v>
      </c>
      <c r="I271" s="433">
        <f t="shared" si="23"/>
        <v>0.10253789845314848</v>
      </c>
      <c r="J271" s="433">
        <f t="shared" si="23"/>
        <v>1.838801215078097E-2</v>
      </c>
      <c r="K271" s="433">
        <f t="shared" si="23"/>
        <v>1.2347171924822273E-2</v>
      </c>
      <c r="L271" s="433">
        <f t="shared" si="23"/>
        <v>2.9545018534396148E-2</v>
      </c>
      <c r="M271" s="433">
        <f t="shared" si="23"/>
        <v>2.3812402997871525E-2</v>
      </c>
      <c r="N271" s="433">
        <f t="shared" si="23"/>
        <v>3.4295679308121954E-2</v>
      </c>
      <c r="O271" s="433">
        <f t="shared" si="23"/>
        <v>1</v>
      </c>
      <c r="P271" s="435"/>
      <c r="Q271" s="432"/>
    </row>
    <row r="272" spans="1:18" x14ac:dyDescent="0.25">
      <c r="A272" s="651"/>
      <c r="B272" s="709" t="s">
        <v>1099</v>
      </c>
      <c r="C272" s="873" t="str">
        <f>IFERROR(+C270/'OSNOVNI PODATKI'!$E$332,"")</f>
        <v/>
      </c>
      <c r="D272" s="873" t="str">
        <f>IFERROR(D270/'OSNOVNI PODATKI'!$E$332,"")</f>
        <v/>
      </c>
      <c r="E272" s="873"/>
      <c r="F272" s="873"/>
      <c r="G272" s="944" t="str">
        <f>IFERROR(G270/'OSNOVNI PODATKI'!$E$332,"")</f>
        <v/>
      </c>
      <c r="H272" s="944" t="str">
        <f>IFERROR(H270/'OSNOVNI PODATKI'!$E$332,"")</f>
        <v/>
      </c>
      <c r="I272" s="944" t="str">
        <f>IFERROR(I270/'OSNOVNI PODATKI'!$E$332,"")</f>
        <v/>
      </c>
      <c r="J272" s="944" t="str">
        <f>IFERROR(J270/'OSNOVNI PODATKI'!$E$332,"")</f>
        <v/>
      </c>
      <c r="K272" s="944" t="str">
        <f>IFERROR(K270/'OSNOVNI PODATKI'!$E$332,"")</f>
        <v/>
      </c>
      <c r="L272" s="944" t="str">
        <f>IFERROR(L270/'OSNOVNI PODATKI'!$E$332,"")</f>
        <v/>
      </c>
      <c r="M272" s="944" t="str">
        <f>IFERROR(M270/'OSNOVNI PODATKI'!$E$332,"")</f>
        <v/>
      </c>
      <c r="N272" s="944" t="str">
        <f>IFERROR(N270/'OSNOVNI PODATKI'!$E$332,"")</f>
        <v/>
      </c>
      <c r="O272" s="434">
        <f>SUM(C272:N272)</f>
        <v>0</v>
      </c>
    </row>
    <row r="273" spans="1:18" x14ac:dyDescent="0.25">
      <c r="A273" s="651"/>
      <c r="B273" s="709" t="s">
        <v>1098</v>
      </c>
      <c r="C273" s="873" t="str">
        <f>IFERROR(C270/'OSNOVNI PODATKI'!$E$357,"")</f>
        <v/>
      </c>
      <c r="D273" s="873" t="str">
        <f>IFERROR(D270/'OSNOVNI PODATKI'!$E$357,"")</f>
        <v/>
      </c>
      <c r="E273" s="873" t="str">
        <f>IFERROR(E270/'OSNOVNI PODATKI'!$E$357,"")</f>
        <v/>
      </c>
      <c r="F273" s="873" t="str">
        <f>IFERROR(F270/'OSNOVNI PODATKI'!$E$357,"")</f>
        <v/>
      </c>
      <c r="G273" s="873" t="str">
        <f>IFERROR(G270/'OSNOVNI PODATKI'!$E$357,"")</f>
        <v/>
      </c>
      <c r="H273" s="873" t="str">
        <f>IFERROR(H270/'OSNOVNI PODATKI'!$E$357,"")</f>
        <v/>
      </c>
      <c r="I273" s="873" t="str">
        <f>IFERROR(I270/'OSNOVNI PODATKI'!$E$357,"")</f>
        <v/>
      </c>
      <c r="J273" s="873" t="str">
        <f>IFERROR(J270/'OSNOVNI PODATKI'!$E$357,"")</f>
        <v/>
      </c>
      <c r="K273" s="873" t="str">
        <f>IFERROR(K270/'OSNOVNI PODATKI'!$E$357,"")</f>
        <v/>
      </c>
      <c r="L273" s="873" t="str">
        <f>IFERROR(L270/'OSNOVNI PODATKI'!$E$357,"")</f>
        <v/>
      </c>
      <c r="M273" s="873" t="str">
        <f>IFERROR(M270/'OSNOVNI PODATKI'!$E$357,"")</f>
        <v/>
      </c>
      <c r="N273" s="873" t="str">
        <f>IFERROR(N270/'OSNOVNI PODATKI'!$E$357,"")</f>
        <v/>
      </c>
      <c r="O273" s="434">
        <f>SUM(C273:N273)</f>
        <v>0</v>
      </c>
      <c r="P273" s="652"/>
      <c r="Q273" s="652"/>
    </row>
    <row r="274" spans="1:18" x14ac:dyDescent="0.25">
      <c r="A274" s="651"/>
      <c r="B274" s="652"/>
      <c r="C274" s="653"/>
      <c r="D274" s="652"/>
      <c r="E274" s="652"/>
      <c r="F274" s="652"/>
      <c r="G274" s="652"/>
      <c r="H274" s="652"/>
      <c r="I274" s="652"/>
      <c r="J274" s="652"/>
      <c r="K274" s="652"/>
      <c r="L274" s="652"/>
      <c r="M274" s="652"/>
      <c r="N274" s="652"/>
      <c r="O274" s="652"/>
      <c r="P274" s="652"/>
      <c r="Q274" s="652"/>
      <c r="R274" s="652"/>
    </row>
    <row r="275" spans="1:18" x14ac:dyDescent="0.25">
      <c r="A275" s="651"/>
      <c r="B275" s="652"/>
      <c r="C275" s="653"/>
      <c r="D275" s="652"/>
      <c r="E275" s="652"/>
      <c r="F275" s="652"/>
      <c r="G275" s="652"/>
      <c r="H275" s="652"/>
      <c r="I275" s="652"/>
      <c r="J275" s="652"/>
      <c r="K275" s="652"/>
      <c r="L275" s="652"/>
      <c r="M275" s="652"/>
      <c r="N275" s="652"/>
      <c r="O275" s="652"/>
      <c r="P275" s="652"/>
      <c r="Q275" s="652"/>
      <c r="R275" s="652"/>
    </row>
    <row r="276" spans="1:18" x14ac:dyDescent="0.25">
      <c r="A276" s="651"/>
      <c r="B276" s="652"/>
      <c r="C276" s="653"/>
      <c r="D276" s="652"/>
      <c r="E276" s="652"/>
      <c r="F276" s="652"/>
      <c r="G276" s="652"/>
      <c r="H276" s="652"/>
      <c r="I276" s="652"/>
      <c r="J276" s="652"/>
      <c r="K276" s="652"/>
      <c r="L276" s="652"/>
      <c r="M276" s="652"/>
      <c r="N276" s="652"/>
      <c r="O276" s="652"/>
      <c r="P276" s="652"/>
      <c r="Q276" s="652"/>
      <c r="R276" s="652"/>
    </row>
    <row r="1496" spans="7:7" x14ac:dyDescent="0.25">
      <c r="G1496" s="12" t="b">
        <v>1</v>
      </c>
    </row>
  </sheetData>
  <sheetProtection algorithmName="SHA-512" hashValue="M0reV9iC8d3+eTOyOMAmU63rXdWkgm2ujNy8KeXWzaNkY5IApjpWNj5/y/zsWHoveglVViq1QOBfjgQLO344/A==" saltValue="HsM+xy+4VxLPnWBbXUmF+w==" spinCount="100000" sheet="1" objects="1" scenarios="1"/>
  <mergeCells count="11">
    <mergeCell ref="A226:O226"/>
    <mergeCell ref="A177:A187"/>
    <mergeCell ref="A22:A33"/>
    <mergeCell ref="A35:A46"/>
    <mergeCell ref="B4:C4"/>
    <mergeCell ref="A112:A117"/>
    <mergeCell ref="A121:A126"/>
    <mergeCell ref="A50:A61"/>
    <mergeCell ref="A63:A74"/>
    <mergeCell ref="A80:A91"/>
    <mergeCell ref="A93:A100"/>
  </mergeCells>
  <pageMargins left="0.59055118110236227" right="0.59055118110236227" top="0.39370078740157483" bottom="0.39370078740157483" header="0.31496062992125984" footer="0.31496062992125984"/>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7" r:id="rId4" name="Check Box 5">
              <controlPr defaultSize="0" autoFill="0" autoLine="0" autoPict="0">
                <anchor moveWithCells="1">
                  <from>
                    <xdr:col>6</xdr:col>
                    <xdr:colOff>76200</xdr:colOff>
                    <xdr:row>20</xdr:row>
                    <xdr:rowOff>19050</xdr:rowOff>
                  </from>
                  <to>
                    <xdr:col>6</xdr:col>
                    <xdr:colOff>323850</xdr:colOff>
                    <xdr:row>21</xdr:row>
                    <xdr:rowOff>0</xdr:rowOff>
                  </to>
                </anchor>
              </controlPr>
            </control>
          </mc:Choice>
        </mc:AlternateContent>
        <mc:AlternateContent xmlns:mc="http://schemas.openxmlformats.org/markup-compatibility/2006">
          <mc:Choice Requires="x14">
            <control shapeId="18441" r:id="rId5" name="Check Box 9">
              <controlPr defaultSize="0" autoFill="0" autoLine="0" autoPict="0">
                <anchor moveWithCells="1">
                  <from>
                    <xdr:col>6</xdr:col>
                    <xdr:colOff>76200</xdr:colOff>
                    <xdr:row>46</xdr:row>
                    <xdr:rowOff>19050</xdr:rowOff>
                  </from>
                  <to>
                    <xdr:col>6</xdr:col>
                    <xdr:colOff>323850</xdr:colOff>
                    <xdr:row>46</xdr:row>
                    <xdr:rowOff>180975</xdr:rowOff>
                  </to>
                </anchor>
              </controlPr>
            </control>
          </mc:Choice>
        </mc:AlternateContent>
        <mc:AlternateContent xmlns:mc="http://schemas.openxmlformats.org/markup-compatibility/2006">
          <mc:Choice Requires="x14">
            <control shapeId="18442" r:id="rId6" name="Check Box 10">
              <controlPr defaultSize="0" autoFill="0" autoLine="0" autoPict="0">
                <anchor moveWithCells="1">
                  <from>
                    <xdr:col>6</xdr:col>
                    <xdr:colOff>76200</xdr:colOff>
                    <xdr:row>75</xdr:row>
                    <xdr:rowOff>19050</xdr:rowOff>
                  </from>
                  <to>
                    <xdr:col>6</xdr:col>
                    <xdr:colOff>323850</xdr:colOff>
                    <xdr:row>75</xdr:row>
                    <xdr:rowOff>180975</xdr:rowOff>
                  </to>
                </anchor>
              </controlPr>
            </control>
          </mc:Choice>
        </mc:AlternateContent>
        <mc:AlternateContent xmlns:mc="http://schemas.openxmlformats.org/markup-compatibility/2006">
          <mc:Choice Requires="x14">
            <control shapeId="18566" r:id="rId7" name="Check Box 134">
              <controlPr defaultSize="0" autoFill="0" autoLine="0" autoPict="0">
                <anchor moveWithCells="1">
                  <from>
                    <xdr:col>6</xdr:col>
                    <xdr:colOff>76200</xdr:colOff>
                    <xdr:row>76</xdr:row>
                    <xdr:rowOff>19050</xdr:rowOff>
                  </from>
                  <to>
                    <xdr:col>6</xdr:col>
                    <xdr:colOff>323850</xdr:colOff>
                    <xdr:row>76</xdr:row>
                    <xdr:rowOff>180975</xdr:rowOff>
                  </to>
                </anchor>
              </controlPr>
            </control>
          </mc:Choice>
        </mc:AlternateContent>
        <mc:AlternateContent xmlns:mc="http://schemas.openxmlformats.org/markup-compatibility/2006">
          <mc:Choice Requires="x14">
            <control shapeId="18608" r:id="rId8" name="Check Box 176">
              <controlPr defaultSize="0" autoFill="0" autoLine="0" autoPict="0">
                <anchor moveWithCells="1">
                  <from>
                    <xdr:col>6</xdr:col>
                    <xdr:colOff>76200</xdr:colOff>
                    <xdr:row>128</xdr:row>
                    <xdr:rowOff>38100</xdr:rowOff>
                  </from>
                  <to>
                    <xdr:col>6</xdr:col>
                    <xdr:colOff>323850</xdr:colOff>
                    <xdr:row>128</xdr:row>
                    <xdr:rowOff>200025</xdr:rowOff>
                  </to>
                </anchor>
              </controlPr>
            </control>
          </mc:Choice>
        </mc:AlternateContent>
        <mc:AlternateContent xmlns:mc="http://schemas.openxmlformats.org/markup-compatibility/2006">
          <mc:Choice Requires="x14">
            <control shapeId="18609" r:id="rId9" name="Check Box 177">
              <controlPr defaultSize="0" autoFill="0" autoLine="0" autoPict="0">
                <anchor moveWithCells="1">
                  <from>
                    <xdr:col>6</xdr:col>
                    <xdr:colOff>76200</xdr:colOff>
                    <xdr:row>145</xdr:row>
                    <xdr:rowOff>19050</xdr:rowOff>
                  </from>
                  <to>
                    <xdr:col>6</xdr:col>
                    <xdr:colOff>323850</xdr:colOff>
                    <xdr:row>145</xdr:row>
                    <xdr:rowOff>180975</xdr:rowOff>
                  </to>
                </anchor>
              </controlPr>
            </control>
          </mc:Choice>
        </mc:AlternateContent>
        <mc:AlternateContent xmlns:mc="http://schemas.openxmlformats.org/markup-compatibility/2006">
          <mc:Choice Requires="x14">
            <control shapeId="18655" r:id="rId10" name="Check Box 223">
              <controlPr defaultSize="0" autoFill="0" autoLine="0" autoPict="0">
                <anchor moveWithCells="1">
                  <from>
                    <xdr:col>6</xdr:col>
                    <xdr:colOff>76200</xdr:colOff>
                    <xdr:row>159</xdr:row>
                    <xdr:rowOff>19050</xdr:rowOff>
                  </from>
                  <to>
                    <xdr:col>6</xdr:col>
                    <xdr:colOff>323850</xdr:colOff>
                    <xdr:row>159</xdr:row>
                    <xdr:rowOff>180975</xdr:rowOff>
                  </to>
                </anchor>
              </controlPr>
            </control>
          </mc:Choice>
        </mc:AlternateContent>
        <mc:AlternateContent xmlns:mc="http://schemas.openxmlformats.org/markup-compatibility/2006">
          <mc:Choice Requires="x14">
            <control shapeId="18760" r:id="rId11" name="Check Box 328">
              <controlPr defaultSize="0" autoFill="0" autoLine="0" autoPict="0">
                <anchor moveWithCells="1">
                  <from>
                    <xdr:col>6</xdr:col>
                    <xdr:colOff>66675</xdr:colOff>
                    <xdr:row>91</xdr:row>
                    <xdr:rowOff>19050</xdr:rowOff>
                  </from>
                  <to>
                    <xdr:col>6</xdr:col>
                    <xdr:colOff>314325</xdr:colOff>
                    <xdr:row>91</xdr:row>
                    <xdr:rowOff>180975</xdr:rowOff>
                  </to>
                </anchor>
              </controlPr>
            </control>
          </mc:Choice>
        </mc:AlternateContent>
        <mc:AlternateContent xmlns:mc="http://schemas.openxmlformats.org/markup-compatibility/2006">
          <mc:Choice Requires="x14">
            <control shapeId="18935" r:id="rId12" name="Check Box 503">
              <controlPr defaultSize="0" autoFill="0" autoLine="0" autoPict="0">
                <anchor moveWithCells="1">
                  <from>
                    <xdr:col>6</xdr:col>
                    <xdr:colOff>76200</xdr:colOff>
                    <xdr:row>33</xdr:row>
                    <xdr:rowOff>9525</xdr:rowOff>
                  </from>
                  <to>
                    <xdr:col>6</xdr:col>
                    <xdr:colOff>323850</xdr:colOff>
                    <xdr:row>33</xdr:row>
                    <xdr:rowOff>190500</xdr:rowOff>
                  </to>
                </anchor>
              </controlPr>
            </control>
          </mc:Choice>
        </mc:AlternateContent>
        <mc:AlternateContent xmlns:mc="http://schemas.openxmlformats.org/markup-compatibility/2006">
          <mc:Choice Requires="x14">
            <control shapeId="18961" r:id="rId13" name="Check Box 529">
              <controlPr defaultSize="0" autoFill="0" autoLine="0" autoPict="0">
                <anchor moveWithCells="1">
                  <from>
                    <xdr:col>6</xdr:col>
                    <xdr:colOff>76200</xdr:colOff>
                    <xdr:row>48</xdr:row>
                    <xdr:rowOff>19050</xdr:rowOff>
                  </from>
                  <to>
                    <xdr:col>6</xdr:col>
                    <xdr:colOff>323850</xdr:colOff>
                    <xdr:row>48</xdr:row>
                    <xdr:rowOff>180975</xdr:rowOff>
                  </to>
                </anchor>
              </controlPr>
            </control>
          </mc:Choice>
        </mc:AlternateContent>
        <mc:AlternateContent xmlns:mc="http://schemas.openxmlformats.org/markup-compatibility/2006">
          <mc:Choice Requires="x14">
            <control shapeId="18962" r:id="rId14" name="Check Box 530">
              <controlPr defaultSize="0" autoFill="0" autoLine="0" autoPict="0">
                <anchor moveWithCells="1">
                  <from>
                    <xdr:col>6</xdr:col>
                    <xdr:colOff>76200</xdr:colOff>
                    <xdr:row>61</xdr:row>
                    <xdr:rowOff>28575</xdr:rowOff>
                  </from>
                  <to>
                    <xdr:col>6</xdr:col>
                    <xdr:colOff>323850</xdr:colOff>
                    <xdr:row>61</xdr:row>
                    <xdr:rowOff>171450</xdr:rowOff>
                  </to>
                </anchor>
              </controlPr>
            </control>
          </mc:Choice>
        </mc:AlternateContent>
        <mc:AlternateContent xmlns:mc="http://schemas.openxmlformats.org/markup-compatibility/2006">
          <mc:Choice Requires="x14">
            <control shapeId="18965" r:id="rId15" name="Check Box 533">
              <controlPr defaultSize="0" autoFill="0" autoLine="0" autoPict="0">
                <anchor moveWithCells="1">
                  <from>
                    <xdr:col>6</xdr:col>
                    <xdr:colOff>76200</xdr:colOff>
                    <xdr:row>109</xdr:row>
                    <xdr:rowOff>19050</xdr:rowOff>
                  </from>
                  <to>
                    <xdr:col>6</xdr:col>
                    <xdr:colOff>323850</xdr:colOff>
                    <xdr:row>109</xdr:row>
                    <xdr:rowOff>200025</xdr:rowOff>
                  </to>
                </anchor>
              </controlPr>
            </control>
          </mc:Choice>
        </mc:AlternateContent>
        <mc:AlternateContent xmlns:mc="http://schemas.openxmlformats.org/markup-compatibility/2006">
          <mc:Choice Requires="x14">
            <control shapeId="18967" r:id="rId16" name="Check Box 535">
              <controlPr defaultSize="0" autoFill="0" autoLine="0" autoPict="0">
                <anchor moveWithCells="1">
                  <from>
                    <xdr:col>6</xdr:col>
                    <xdr:colOff>76200</xdr:colOff>
                    <xdr:row>118</xdr:row>
                    <xdr:rowOff>19050</xdr:rowOff>
                  </from>
                  <to>
                    <xdr:col>6</xdr:col>
                    <xdr:colOff>323850</xdr:colOff>
                    <xdr:row>118</xdr:row>
                    <xdr:rowOff>200025</xdr:rowOff>
                  </to>
                </anchor>
              </controlPr>
            </control>
          </mc:Choice>
        </mc:AlternateContent>
        <mc:AlternateContent xmlns:mc="http://schemas.openxmlformats.org/markup-compatibility/2006">
          <mc:Choice Requires="x14">
            <control shapeId="18969" r:id="rId17" name="Check Box 537">
              <controlPr defaultSize="0" autoFill="0" autoLine="0" autoPict="0">
                <anchor moveWithCells="1">
                  <from>
                    <xdr:col>6</xdr:col>
                    <xdr:colOff>76200</xdr:colOff>
                    <xdr:row>129</xdr:row>
                    <xdr:rowOff>28575</xdr:rowOff>
                  </from>
                  <to>
                    <xdr:col>6</xdr:col>
                    <xdr:colOff>323850</xdr:colOff>
                    <xdr:row>129</xdr:row>
                    <xdr:rowOff>190500</xdr:rowOff>
                  </to>
                </anchor>
              </controlPr>
            </control>
          </mc:Choice>
        </mc:AlternateContent>
        <mc:AlternateContent xmlns:mc="http://schemas.openxmlformats.org/markup-compatibility/2006">
          <mc:Choice Requires="x14">
            <control shapeId="18971" r:id="rId18" name="Check Box 539">
              <controlPr defaultSize="0" autoFill="0" autoLine="0" autoPict="0">
                <anchor moveWithCells="1">
                  <from>
                    <xdr:col>6</xdr:col>
                    <xdr:colOff>76200</xdr:colOff>
                    <xdr:row>175</xdr:row>
                    <xdr:rowOff>28575</xdr:rowOff>
                  </from>
                  <to>
                    <xdr:col>6</xdr:col>
                    <xdr:colOff>323850</xdr:colOff>
                    <xdr:row>175</xdr:row>
                    <xdr:rowOff>171450</xdr:rowOff>
                  </to>
                </anchor>
              </controlPr>
            </control>
          </mc:Choice>
        </mc:AlternateContent>
        <mc:AlternateContent xmlns:mc="http://schemas.openxmlformats.org/markup-compatibility/2006">
          <mc:Choice Requires="x14">
            <control shapeId="18972" r:id="rId19" name="Check Box 540">
              <controlPr defaultSize="0" autoFill="0" autoLine="0" autoPict="0">
                <anchor moveWithCells="1">
                  <from>
                    <xdr:col>6</xdr:col>
                    <xdr:colOff>76200</xdr:colOff>
                    <xdr:row>188</xdr:row>
                    <xdr:rowOff>38100</xdr:rowOff>
                  </from>
                  <to>
                    <xdr:col>6</xdr:col>
                    <xdr:colOff>323850</xdr:colOff>
                    <xdr:row>188</xdr:row>
                    <xdr:rowOff>180975</xdr:rowOff>
                  </to>
                </anchor>
              </controlPr>
            </control>
          </mc:Choice>
        </mc:AlternateContent>
        <mc:AlternateContent xmlns:mc="http://schemas.openxmlformats.org/markup-compatibility/2006">
          <mc:Choice Requires="x14">
            <control shapeId="18973" r:id="rId20" name="Check Box 541">
              <controlPr defaultSize="0" autoFill="0" autoLine="0" autoPict="0">
                <anchor moveWithCells="1">
                  <from>
                    <xdr:col>6</xdr:col>
                    <xdr:colOff>76200</xdr:colOff>
                    <xdr:row>196</xdr:row>
                    <xdr:rowOff>28575</xdr:rowOff>
                  </from>
                  <to>
                    <xdr:col>6</xdr:col>
                    <xdr:colOff>323850</xdr:colOff>
                    <xdr:row>196</xdr:row>
                    <xdr:rowOff>171450</xdr:rowOff>
                  </to>
                </anchor>
              </controlPr>
            </control>
          </mc:Choice>
        </mc:AlternateContent>
        <mc:AlternateContent xmlns:mc="http://schemas.openxmlformats.org/markup-compatibility/2006">
          <mc:Choice Requires="x14">
            <control shapeId="18974" r:id="rId21" name="Check Box 542">
              <controlPr defaultSize="0" autoFill="0" autoLine="0" autoPict="0">
                <anchor moveWithCells="1">
                  <from>
                    <xdr:col>6</xdr:col>
                    <xdr:colOff>76200</xdr:colOff>
                    <xdr:row>76</xdr:row>
                    <xdr:rowOff>19050</xdr:rowOff>
                  </from>
                  <to>
                    <xdr:col>6</xdr:col>
                    <xdr:colOff>323850</xdr:colOff>
                    <xdr:row>76</xdr:row>
                    <xdr:rowOff>180975</xdr:rowOff>
                  </to>
                </anchor>
              </controlPr>
            </control>
          </mc:Choice>
        </mc:AlternateContent>
        <mc:AlternateContent xmlns:mc="http://schemas.openxmlformats.org/markup-compatibility/2006">
          <mc:Choice Requires="x14">
            <control shapeId="45246" r:id="rId22" name="Check Box 1214">
              <controlPr defaultSize="0" autoFill="0" autoLine="0" autoPict="0">
                <anchor moveWithCells="1">
                  <from>
                    <xdr:col>6</xdr:col>
                    <xdr:colOff>76200</xdr:colOff>
                    <xdr:row>78</xdr:row>
                    <xdr:rowOff>19050</xdr:rowOff>
                  </from>
                  <to>
                    <xdr:col>6</xdr:col>
                    <xdr:colOff>323850</xdr:colOff>
                    <xdr:row>78</xdr:row>
                    <xdr:rowOff>180975</xdr:rowOff>
                  </to>
                </anchor>
              </controlPr>
            </control>
          </mc:Choice>
        </mc:AlternateContent>
        <mc:AlternateContent xmlns:mc="http://schemas.openxmlformats.org/markup-compatibility/2006">
          <mc:Choice Requires="x14">
            <control shapeId="45247" r:id="rId23" name="Check Box 1215">
              <controlPr defaultSize="0" autoFill="0" autoLine="0" autoPict="0">
                <anchor moveWithCells="1">
                  <from>
                    <xdr:col>6</xdr:col>
                    <xdr:colOff>76200</xdr:colOff>
                    <xdr:row>78</xdr:row>
                    <xdr:rowOff>19050</xdr:rowOff>
                  </from>
                  <to>
                    <xdr:col>6</xdr:col>
                    <xdr:colOff>323850</xdr:colOff>
                    <xdr:row>78</xdr:row>
                    <xdr:rowOff>180975</xdr:rowOff>
                  </to>
                </anchor>
              </controlPr>
            </control>
          </mc:Choice>
        </mc:AlternateContent>
        <mc:AlternateContent xmlns:mc="http://schemas.openxmlformats.org/markup-compatibility/2006">
          <mc:Choice Requires="x14">
            <control shapeId="45248" r:id="rId24" name="Check Box 1216">
              <controlPr defaultSize="0" autoFill="0" autoLine="0" autoPict="0">
                <anchor moveWithCells="1">
                  <from>
                    <xdr:col>6</xdr:col>
                    <xdr:colOff>76200</xdr:colOff>
                    <xdr:row>77</xdr:row>
                    <xdr:rowOff>19050</xdr:rowOff>
                  </from>
                  <to>
                    <xdr:col>6</xdr:col>
                    <xdr:colOff>323850</xdr:colOff>
                    <xdr:row>77</xdr:row>
                    <xdr:rowOff>180975</xdr:rowOff>
                  </to>
                </anchor>
              </controlPr>
            </control>
          </mc:Choice>
        </mc:AlternateContent>
        <mc:AlternateContent xmlns:mc="http://schemas.openxmlformats.org/markup-compatibility/2006">
          <mc:Choice Requires="x14">
            <control shapeId="45249" r:id="rId25" name="Check Box 1217">
              <controlPr defaultSize="0" autoFill="0" autoLine="0" autoPict="0">
                <anchor moveWithCells="1">
                  <from>
                    <xdr:col>6</xdr:col>
                    <xdr:colOff>76200</xdr:colOff>
                    <xdr:row>77</xdr:row>
                    <xdr:rowOff>19050</xdr:rowOff>
                  </from>
                  <to>
                    <xdr:col>6</xdr:col>
                    <xdr:colOff>323850</xdr:colOff>
                    <xdr:row>77</xdr:row>
                    <xdr:rowOff>180975</xdr:rowOff>
                  </to>
                </anchor>
              </controlPr>
            </control>
          </mc:Choice>
        </mc:AlternateContent>
        <mc:AlternateContent xmlns:mc="http://schemas.openxmlformats.org/markup-compatibility/2006">
          <mc:Choice Requires="x14">
            <control shapeId="45250" r:id="rId26" name="Check Box 1218">
              <controlPr defaultSize="0" autoFill="0" autoLine="0" autoPict="0">
                <anchor moveWithCells="1">
                  <from>
                    <xdr:col>6</xdr:col>
                    <xdr:colOff>76200</xdr:colOff>
                    <xdr:row>107</xdr:row>
                    <xdr:rowOff>19050</xdr:rowOff>
                  </from>
                  <to>
                    <xdr:col>6</xdr:col>
                    <xdr:colOff>323850</xdr:colOff>
                    <xdr:row>107</xdr:row>
                    <xdr:rowOff>180975</xdr:rowOff>
                  </to>
                </anchor>
              </controlPr>
            </control>
          </mc:Choice>
        </mc:AlternateContent>
        <mc:AlternateContent xmlns:mc="http://schemas.openxmlformats.org/markup-compatibility/2006">
          <mc:Choice Requires="x14">
            <control shapeId="45251" r:id="rId27" name="Check Box 1219">
              <controlPr defaultSize="0" autoFill="0" autoLine="0" autoPict="0">
                <anchor moveWithCells="1">
                  <from>
                    <xdr:col>6</xdr:col>
                    <xdr:colOff>76200</xdr:colOff>
                    <xdr:row>107</xdr:row>
                    <xdr:rowOff>19050</xdr:rowOff>
                  </from>
                  <to>
                    <xdr:col>6</xdr:col>
                    <xdr:colOff>323850</xdr:colOff>
                    <xdr:row>107</xdr:row>
                    <xdr:rowOff>180975</xdr:rowOff>
                  </to>
                </anchor>
              </controlPr>
            </control>
          </mc:Choice>
        </mc:AlternateContent>
        <mc:AlternateContent xmlns:mc="http://schemas.openxmlformats.org/markup-compatibility/2006">
          <mc:Choice Requires="x14">
            <control shapeId="45252" r:id="rId28" name="Check Box 1220">
              <controlPr defaultSize="0" autoFill="0" autoLine="0" autoPict="0">
                <anchor moveWithCells="1">
                  <from>
                    <xdr:col>6</xdr:col>
                    <xdr:colOff>76200</xdr:colOff>
                    <xdr:row>100</xdr:row>
                    <xdr:rowOff>19050</xdr:rowOff>
                  </from>
                  <to>
                    <xdr:col>6</xdr:col>
                    <xdr:colOff>323850</xdr:colOff>
                    <xdr:row>100</xdr:row>
                    <xdr:rowOff>180975</xdr:rowOff>
                  </to>
                </anchor>
              </controlPr>
            </control>
          </mc:Choice>
        </mc:AlternateContent>
        <mc:AlternateContent xmlns:mc="http://schemas.openxmlformats.org/markup-compatibility/2006">
          <mc:Choice Requires="x14">
            <control shapeId="45253" r:id="rId29" name="Check Box 1221">
              <controlPr defaultSize="0" autoFill="0" autoLine="0" autoPict="0">
                <anchor moveWithCells="1">
                  <from>
                    <xdr:col>6</xdr:col>
                    <xdr:colOff>76200</xdr:colOff>
                    <xdr:row>100</xdr:row>
                    <xdr:rowOff>19050</xdr:rowOff>
                  </from>
                  <to>
                    <xdr:col>6</xdr:col>
                    <xdr:colOff>323850</xdr:colOff>
                    <xdr:row>100</xdr:row>
                    <xdr:rowOff>180975</xdr:rowOff>
                  </to>
                </anchor>
              </controlPr>
            </control>
          </mc:Choice>
        </mc:AlternateContent>
        <mc:AlternateContent xmlns:mc="http://schemas.openxmlformats.org/markup-compatibility/2006">
          <mc:Choice Requires="x14">
            <control shapeId="45254" r:id="rId30" name="Check Box 1222">
              <controlPr defaultSize="0" autoFill="0" autoLine="0" autoPict="0">
                <anchor moveWithCells="1">
                  <from>
                    <xdr:col>6</xdr:col>
                    <xdr:colOff>76200</xdr:colOff>
                    <xdr:row>117</xdr:row>
                    <xdr:rowOff>19050</xdr:rowOff>
                  </from>
                  <to>
                    <xdr:col>6</xdr:col>
                    <xdr:colOff>323850</xdr:colOff>
                    <xdr:row>117</xdr:row>
                    <xdr:rowOff>180975</xdr:rowOff>
                  </to>
                </anchor>
              </controlPr>
            </control>
          </mc:Choice>
        </mc:AlternateContent>
        <mc:AlternateContent xmlns:mc="http://schemas.openxmlformats.org/markup-compatibility/2006">
          <mc:Choice Requires="x14">
            <control shapeId="45255" r:id="rId31" name="Check Box 1223">
              <controlPr defaultSize="0" autoFill="0" autoLine="0" autoPict="0">
                <anchor moveWithCells="1">
                  <from>
                    <xdr:col>6</xdr:col>
                    <xdr:colOff>76200</xdr:colOff>
                    <xdr:row>117</xdr:row>
                    <xdr:rowOff>19050</xdr:rowOff>
                  </from>
                  <to>
                    <xdr:col>6</xdr:col>
                    <xdr:colOff>323850</xdr:colOff>
                    <xdr:row>117</xdr:row>
                    <xdr:rowOff>180975</xdr:rowOff>
                  </to>
                </anchor>
              </controlPr>
            </control>
          </mc:Choice>
        </mc:AlternateContent>
        <mc:AlternateContent xmlns:mc="http://schemas.openxmlformats.org/markup-compatibility/2006">
          <mc:Choice Requires="x14">
            <control shapeId="45256" r:id="rId32" name="Check Box 1224">
              <controlPr defaultSize="0" autoFill="0" autoLine="0" autoPict="0">
                <anchor moveWithCells="1">
                  <from>
                    <xdr:col>6</xdr:col>
                    <xdr:colOff>76200</xdr:colOff>
                    <xdr:row>126</xdr:row>
                    <xdr:rowOff>19050</xdr:rowOff>
                  </from>
                  <to>
                    <xdr:col>6</xdr:col>
                    <xdr:colOff>323850</xdr:colOff>
                    <xdr:row>126</xdr:row>
                    <xdr:rowOff>180975</xdr:rowOff>
                  </to>
                </anchor>
              </controlPr>
            </control>
          </mc:Choice>
        </mc:AlternateContent>
        <mc:AlternateContent xmlns:mc="http://schemas.openxmlformats.org/markup-compatibility/2006">
          <mc:Choice Requires="x14">
            <control shapeId="45257" r:id="rId33" name="Check Box 1225">
              <controlPr defaultSize="0" autoFill="0" autoLine="0" autoPict="0">
                <anchor moveWithCells="1">
                  <from>
                    <xdr:col>6</xdr:col>
                    <xdr:colOff>76200</xdr:colOff>
                    <xdr:row>126</xdr:row>
                    <xdr:rowOff>19050</xdr:rowOff>
                  </from>
                  <to>
                    <xdr:col>6</xdr:col>
                    <xdr:colOff>323850</xdr:colOff>
                    <xdr:row>126</xdr:row>
                    <xdr:rowOff>180975</xdr:rowOff>
                  </to>
                </anchor>
              </controlPr>
            </control>
          </mc:Choice>
        </mc:AlternateContent>
        <mc:AlternateContent xmlns:mc="http://schemas.openxmlformats.org/markup-compatibility/2006">
          <mc:Choice Requires="x14">
            <control shapeId="45258" r:id="rId34" name="Check Box 1226">
              <controlPr defaultSize="0" autoFill="0" autoLine="0" autoPict="0">
                <anchor moveWithCells="1">
                  <from>
                    <xdr:col>6</xdr:col>
                    <xdr:colOff>76200</xdr:colOff>
                    <xdr:row>137</xdr:row>
                    <xdr:rowOff>19050</xdr:rowOff>
                  </from>
                  <to>
                    <xdr:col>6</xdr:col>
                    <xdr:colOff>323850</xdr:colOff>
                    <xdr:row>137</xdr:row>
                    <xdr:rowOff>180975</xdr:rowOff>
                  </to>
                </anchor>
              </controlPr>
            </control>
          </mc:Choice>
        </mc:AlternateContent>
        <mc:AlternateContent xmlns:mc="http://schemas.openxmlformats.org/markup-compatibility/2006">
          <mc:Choice Requires="x14">
            <control shapeId="45259" r:id="rId35" name="Check Box 1227">
              <controlPr defaultSize="0" autoFill="0" autoLine="0" autoPict="0">
                <anchor moveWithCells="1">
                  <from>
                    <xdr:col>6</xdr:col>
                    <xdr:colOff>76200</xdr:colOff>
                    <xdr:row>137</xdr:row>
                    <xdr:rowOff>19050</xdr:rowOff>
                  </from>
                  <to>
                    <xdr:col>6</xdr:col>
                    <xdr:colOff>323850</xdr:colOff>
                    <xdr:row>137</xdr:row>
                    <xdr:rowOff>180975</xdr:rowOff>
                  </to>
                </anchor>
              </controlPr>
            </control>
          </mc:Choice>
        </mc:AlternateContent>
        <mc:AlternateContent xmlns:mc="http://schemas.openxmlformats.org/markup-compatibility/2006">
          <mc:Choice Requires="x14">
            <control shapeId="45260" r:id="rId36" name="Check Box 1228">
              <controlPr defaultSize="0" autoFill="0" autoLine="0" autoPict="0">
                <anchor moveWithCells="1">
                  <from>
                    <xdr:col>6</xdr:col>
                    <xdr:colOff>76200</xdr:colOff>
                    <xdr:row>152</xdr:row>
                    <xdr:rowOff>19050</xdr:rowOff>
                  </from>
                  <to>
                    <xdr:col>6</xdr:col>
                    <xdr:colOff>323850</xdr:colOff>
                    <xdr:row>152</xdr:row>
                    <xdr:rowOff>180975</xdr:rowOff>
                  </to>
                </anchor>
              </controlPr>
            </control>
          </mc:Choice>
        </mc:AlternateContent>
        <mc:AlternateContent xmlns:mc="http://schemas.openxmlformats.org/markup-compatibility/2006">
          <mc:Choice Requires="x14">
            <control shapeId="45261" r:id="rId37" name="Check Box 1229">
              <controlPr defaultSize="0" autoFill="0" autoLine="0" autoPict="0">
                <anchor moveWithCells="1">
                  <from>
                    <xdr:col>6</xdr:col>
                    <xdr:colOff>76200</xdr:colOff>
                    <xdr:row>152</xdr:row>
                    <xdr:rowOff>19050</xdr:rowOff>
                  </from>
                  <to>
                    <xdr:col>6</xdr:col>
                    <xdr:colOff>323850</xdr:colOff>
                    <xdr:row>152</xdr:row>
                    <xdr:rowOff>180975</xdr:rowOff>
                  </to>
                </anchor>
              </controlPr>
            </control>
          </mc:Choice>
        </mc:AlternateContent>
        <mc:AlternateContent xmlns:mc="http://schemas.openxmlformats.org/markup-compatibility/2006">
          <mc:Choice Requires="x14">
            <control shapeId="45262" r:id="rId38" name="Check Box 1230">
              <controlPr defaultSize="0" autoFill="0" autoLine="0" autoPict="0">
                <anchor moveWithCells="1">
                  <from>
                    <xdr:col>6</xdr:col>
                    <xdr:colOff>76200</xdr:colOff>
                    <xdr:row>167</xdr:row>
                    <xdr:rowOff>19050</xdr:rowOff>
                  </from>
                  <to>
                    <xdr:col>6</xdr:col>
                    <xdr:colOff>323850</xdr:colOff>
                    <xdr:row>167</xdr:row>
                    <xdr:rowOff>180975</xdr:rowOff>
                  </to>
                </anchor>
              </controlPr>
            </control>
          </mc:Choice>
        </mc:AlternateContent>
        <mc:AlternateContent xmlns:mc="http://schemas.openxmlformats.org/markup-compatibility/2006">
          <mc:Choice Requires="x14">
            <control shapeId="45263" r:id="rId39" name="Check Box 1231">
              <controlPr defaultSize="0" autoFill="0" autoLine="0" autoPict="0">
                <anchor moveWithCells="1">
                  <from>
                    <xdr:col>6</xdr:col>
                    <xdr:colOff>76200</xdr:colOff>
                    <xdr:row>167</xdr:row>
                    <xdr:rowOff>19050</xdr:rowOff>
                  </from>
                  <to>
                    <xdr:col>6</xdr:col>
                    <xdr:colOff>323850</xdr:colOff>
                    <xdr:row>167</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4434-8A04-4732-AF6E-3231093BDD73}">
  <sheetPr codeName="Sheet3">
    <tabColor rgb="FF00B0F0"/>
    <outlinePr summaryBelow="0"/>
  </sheetPr>
  <dimension ref="A1:N65"/>
  <sheetViews>
    <sheetView showGridLines="0" topLeftCell="A10" workbookViewId="0">
      <selection activeCell="N27" sqref="N27"/>
    </sheetView>
  </sheetViews>
  <sheetFormatPr defaultColWidth="9.140625" defaultRowHeight="14.25" outlineLevelRow="2" x14ac:dyDescent="0.25"/>
  <cols>
    <col min="1" max="1" width="10.7109375" style="1145" customWidth="1"/>
    <col min="2" max="2" width="20.28515625" style="1146" customWidth="1"/>
    <col min="3" max="3" width="3.85546875" style="1036" customWidth="1"/>
    <col min="4" max="4" width="28.7109375" style="1146" customWidth="1"/>
    <col min="5" max="5" width="10" style="1146" customWidth="1"/>
    <col min="6" max="8" width="12" style="1036" customWidth="1"/>
    <col min="9" max="9" width="32.28515625" style="1146" customWidth="1"/>
    <col min="10" max="13" width="8.7109375" style="1036" customWidth="1"/>
    <col min="14" max="15" width="12.28515625" style="1036" customWidth="1"/>
    <col min="16" max="16" width="8.7109375" style="1036" customWidth="1"/>
    <col min="17" max="16384" width="9.140625" style="1036"/>
  </cols>
  <sheetData>
    <row r="1" spans="1:9" s="1006" customFormat="1" ht="18" customHeight="1" x14ac:dyDescent="0.25">
      <c r="B1" s="1007"/>
      <c r="C1" s="1008" t="str">
        <f>'OSNOVNI PODATKI'!D1</f>
        <v>NAROČNIK</v>
      </c>
      <c r="D1" s="1013">
        <f>IFERROR('OSNOVNI PODATKI'!E1,"")</f>
        <v>0</v>
      </c>
      <c r="E1" s="1010"/>
      <c r="F1" s="1010"/>
      <c r="I1" s="1007"/>
    </row>
    <row r="2" spans="1:9" s="1011" customFormat="1" ht="18" customHeight="1" x14ac:dyDescent="0.3">
      <c r="B2" s="1012"/>
      <c r="C2" s="1008"/>
      <c r="D2" s="1013">
        <f>IFERROR('OSNOVNI PODATKI'!E2,"")</f>
        <v>0</v>
      </c>
      <c r="E2" s="1014"/>
      <c r="F2" s="1014"/>
      <c r="I2" s="1012"/>
    </row>
    <row r="3" spans="1:9" s="1006" customFormat="1" ht="23.25" x14ac:dyDescent="0.35">
      <c r="A3" s="1011"/>
      <c r="B3" s="1015"/>
      <c r="C3" s="1008" t="str">
        <f>'OSNOVNI PODATKI'!D3</f>
        <v>PROJEKTANT</v>
      </c>
      <c r="D3" s="1013">
        <f>IFERROR('OSNOVNI PODATKI'!E3,"")</f>
        <v>0</v>
      </c>
      <c r="E3" s="1010"/>
      <c r="F3" s="1010"/>
      <c r="G3" s="1016"/>
      <c r="H3" s="1016"/>
      <c r="I3" s="1017"/>
    </row>
    <row r="4" spans="1:9" s="1016" customFormat="1" ht="15.75" x14ac:dyDescent="0.25">
      <c r="B4" s="1006"/>
      <c r="C4" s="1008" t="str">
        <f>'OSNOVNI PODATKI'!D4</f>
        <v>GRADNJA</v>
      </c>
      <c r="D4" s="1013">
        <f>IFERROR('OSNOVNI PODATKI'!E4,"")</f>
        <v>0</v>
      </c>
      <c r="E4" s="1010"/>
      <c r="F4" s="1010"/>
      <c r="I4" s="1017"/>
    </row>
    <row r="5" spans="1:9" s="1006" customFormat="1" ht="15.75" x14ac:dyDescent="0.25">
      <c r="A5" s="1018"/>
      <c r="B5" s="1019"/>
      <c r="C5" s="1020" t="str">
        <f>'OSNOVNI PODATKI'!D5</f>
        <v>DATUM</v>
      </c>
      <c r="D5" s="1021">
        <f ca="1">'OSNOVNI PODATKI'!E5</f>
        <v>45646</v>
      </c>
      <c r="E5" s="1022"/>
      <c r="F5" s="1022"/>
      <c r="I5" s="1007"/>
    </row>
    <row r="6" spans="1:9" s="1006" customFormat="1" ht="18.75" x14ac:dyDescent="0.3">
      <c r="A6" s="1023"/>
      <c r="B6" s="1024"/>
      <c r="C6" s="1011"/>
      <c r="D6" s="1012"/>
      <c r="E6" s="1012"/>
      <c r="F6" s="1011"/>
      <c r="G6" s="1011"/>
      <c r="H6" s="1011"/>
      <c r="I6" s="1012"/>
    </row>
    <row r="7" spans="1:9" s="1016" customFormat="1" ht="15.75" x14ac:dyDescent="0.25">
      <c r="B7" s="1017"/>
      <c r="D7" s="1017"/>
      <c r="E7" s="1017"/>
      <c r="I7" s="1017"/>
    </row>
    <row r="8" spans="1:9" s="1026" customFormat="1" ht="23.25" x14ac:dyDescent="0.2">
      <c r="A8" s="1281" t="s">
        <v>1122</v>
      </c>
      <c r="B8" s="1025"/>
      <c r="D8" s="1027"/>
      <c r="E8" s="1027"/>
    </row>
    <row r="9" spans="1:9" s="1026" customFormat="1" ht="23.25" x14ac:dyDescent="0.2">
      <c r="A9" s="1281" t="s">
        <v>1117</v>
      </c>
      <c r="B9" s="1025"/>
      <c r="D9" s="1027"/>
      <c r="E9" s="1027"/>
      <c r="I9" s="1027"/>
    </row>
    <row r="10" spans="1:9" s="1016" customFormat="1" ht="15.75" x14ac:dyDescent="0.25">
      <c r="A10" s="1028"/>
      <c r="B10" s="1029"/>
      <c r="C10" s="1030"/>
      <c r="D10" s="1031"/>
      <c r="E10" s="1031"/>
      <c r="F10" s="1030"/>
      <c r="G10" s="1030"/>
      <c r="H10" s="1030"/>
      <c r="I10" s="1031"/>
    </row>
    <row r="11" spans="1:9" ht="23.25" x14ac:dyDescent="0.25">
      <c r="A11" s="1032"/>
      <c r="B11" s="1033"/>
      <c r="C11" s="1319" t="s">
        <v>967</v>
      </c>
      <c r="D11" s="1319"/>
      <c r="E11" s="1034" t="s">
        <v>968</v>
      </c>
      <c r="F11" s="1034" t="s">
        <v>969</v>
      </c>
      <c r="G11" s="1034" t="s">
        <v>209</v>
      </c>
      <c r="H11" s="1034" t="s">
        <v>971</v>
      </c>
      <c r="I11" s="1035" t="s">
        <v>970</v>
      </c>
    </row>
    <row r="12" spans="1:9" s="1042" customFormat="1" collapsed="1" x14ac:dyDescent="0.2">
      <c r="A12" s="1037" t="s">
        <v>29</v>
      </c>
      <c r="B12" s="1038" t="s">
        <v>30</v>
      </c>
      <c r="C12" s="1039"/>
      <c r="D12" s="1040"/>
      <c r="E12" s="1270"/>
      <c r="F12" s="1041"/>
      <c r="G12" s="1041"/>
      <c r="H12" s="1041"/>
      <c r="I12" s="1040"/>
    </row>
    <row r="13" spans="1:9" s="1049" customFormat="1" ht="45" hidden="1" outlineLevel="1" x14ac:dyDescent="0.2">
      <c r="A13" s="1043" t="s">
        <v>31</v>
      </c>
      <c r="B13" s="1044" t="s">
        <v>65</v>
      </c>
      <c r="C13" s="1045" t="s">
        <v>972</v>
      </c>
      <c r="D13" s="1046" t="s">
        <v>993</v>
      </c>
      <c r="E13" s="1271" t="str">
        <f>IFERROR(+F13/($F$55+'POSEBNE STORITVE'!$F$91),"%")</f>
        <v>%</v>
      </c>
      <c r="F13" s="1047">
        <v>0</v>
      </c>
      <c r="G13" s="1047">
        <f>+F13*0.22</f>
        <v>0</v>
      </c>
      <c r="H13" s="1047">
        <f>+F13+G13</f>
        <v>0</v>
      </c>
      <c r="I13" s="1048" t="s">
        <v>1003</v>
      </c>
    </row>
    <row r="14" spans="1:9" s="1049" customFormat="1" ht="33.75" hidden="1" outlineLevel="1" x14ac:dyDescent="0.2">
      <c r="A14" s="1043" t="s">
        <v>32</v>
      </c>
      <c r="B14" s="1044" t="s">
        <v>66</v>
      </c>
      <c r="C14" s="1045" t="s">
        <v>972</v>
      </c>
      <c r="D14" s="1046" t="s">
        <v>994</v>
      </c>
      <c r="E14" s="1271" t="str">
        <f>IFERROR(+F14/($F$55+'POSEBNE STORITVE'!$F$91),"%")</f>
        <v>%</v>
      </c>
      <c r="F14" s="1047">
        <v>0</v>
      </c>
      <c r="G14" s="1047">
        <f>+F14*0.22</f>
        <v>0</v>
      </c>
      <c r="H14" s="1047">
        <f>+F14+G14</f>
        <v>0</v>
      </c>
      <c r="I14" s="1048" t="s">
        <v>1004</v>
      </c>
    </row>
    <row r="15" spans="1:9" s="1055" customFormat="1" collapsed="1" x14ac:dyDescent="0.2">
      <c r="A15" s="1050" t="s">
        <v>33</v>
      </c>
      <c r="B15" s="1051" t="s">
        <v>34</v>
      </c>
      <c r="C15" s="1052"/>
      <c r="D15" s="1053"/>
      <c r="E15" s="1272"/>
      <c r="F15" s="1052"/>
      <c r="G15" s="1052"/>
      <c r="H15" s="1052"/>
      <c r="I15" s="1054"/>
    </row>
    <row r="16" spans="1:9" s="1058" customFormat="1" ht="45" hidden="1" outlineLevel="1" x14ac:dyDescent="0.2">
      <c r="A16" s="1056" t="s">
        <v>35</v>
      </c>
      <c r="B16" s="1057" t="s">
        <v>67</v>
      </c>
      <c r="C16" s="1045" t="s">
        <v>972</v>
      </c>
      <c r="D16" s="1046" t="s">
        <v>994</v>
      </c>
      <c r="E16" s="1271" t="str">
        <f>IFERROR(+F16/($F$55+'POSEBNE STORITVE'!$F$91),"%")</f>
        <v>%</v>
      </c>
      <c r="F16" s="1047">
        <v>0</v>
      </c>
      <c r="G16" s="1047">
        <f>+F16*0.22</f>
        <v>0</v>
      </c>
      <c r="H16" s="1047">
        <f>+F16+G16</f>
        <v>0</v>
      </c>
      <c r="I16" s="1048" t="s">
        <v>1005</v>
      </c>
    </row>
    <row r="17" spans="1:9" s="1058" customFormat="1" ht="56.25" hidden="1" outlineLevel="1" x14ac:dyDescent="0.2">
      <c r="A17" s="1056" t="s">
        <v>36</v>
      </c>
      <c r="B17" s="1057" t="s">
        <v>68</v>
      </c>
      <c r="C17" s="1045" t="s">
        <v>972</v>
      </c>
      <c r="D17" s="1046" t="s">
        <v>994</v>
      </c>
      <c r="E17" s="1271" t="str">
        <f>IFERROR(+F17/($F$55+'POSEBNE STORITVE'!$F$91),"%")</f>
        <v>%</v>
      </c>
      <c r="F17" s="1047">
        <v>0</v>
      </c>
      <c r="G17" s="1047">
        <f>+F17*0.22</f>
        <v>0</v>
      </c>
      <c r="H17" s="1047">
        <f>+F17+G17</f>
        <v>0</v>
      </c>
      <c r="I17" s="1048" t="s">
        <v>1006</v>
      </c>
    </row>
    <row r="18" spans="1:9" s="1058" customFormat="1" ht="33.75" hidden="1" outlineLevel="1" x14ac:dyDescent="0.2">
      <c r="A18" s="1059" t="s">
        <v>37</v>
      </c>
      <c r="B18" s="1060" t="s">
        <v>837</v>
      </c>
      <c r="C18" s="1061" t="s">
        <v>972</v>
      </c>
      <c r="D18" s="1046" t="s">
        <v>994</v>
      </c>
      <c r="E18" s="1271" t="str">
        <f>IFERROR(+F18/($F$55+'POSEBNE STORITVE'!$F$91),"%")</f>
        <v>%</v>
      </c>
      <c r="F18" s="1062">
        <v>0</v>
      </c>
      <c r="G18" s="1062">
        <f>+F18*0.22</f>
        <v>0</v>
      </c>
      <c r="H18" s="1062">
        <f>+F18+G18</f>
        <v>0</v>
      </c>
      <c r="I18" s="1048" t="s">
        <v>1007</v>
      </c>
    </row>
    <row r="19" spans="1:9" s="1055" customFormat="1" x14ac:dyDescent="0.2">
      <c r="A19" s="1063">
        <v>2</v>
      </c>
      <c r="B19" s="1051" t="s">
        <v>38</v>
      </c>
      <c r="C19" s="1052"/>
      <c r="D19" s="1053"/>
      <c r="E19" s="1272"/>
      <c r="F19" s="1064"/>
      <c r="G19" s="1064"/>
      <c r="H19" s="1064"/>
      <c r="I19" s="1065"/>
    </row>
    <row r="20" spans="1:9" s="1055" customFormat="1" outlineLevel="1" x14ac:dyDescent="0.2">
      <c r="A20" s="1056" t="s">
        <v>51</v>
      </c>
      <c r="B20" s="1057" t="s">
        <v>94</v>
      </c>
      <c r="C20" s="1066"/>
      <c r="D20" s="1067"/>
      <c r="E20" s="1273"/>
      <c r="F20" s="1066"/>
      <c r="G20" s="1066"/>
      <c r="H20" s="1066"/>
      <c r="I20" s="1068"/>
    </row>
    <row r="21" spans="1:9" s="1071" customFormat="1" ht="45" outlineLevel="2" x14ac:dyDescent="0.2">
      <c r="A21" s="1069"/>
      <c r="B21" s="1070" t="s">
        <v>974</v>
      </c>
      <c r="C21" s="1045" t="s">
        <v>972</v>
      </c>
      <c r="D21" s="1046" t="s">
        <v>995</v>
      </c>
      <c r="E21" s="1271" t="str">
        <f>IFERROR(+F21/($F$55+'POSEBNE STORITVE'!$F$91),"%")</f>
        <v>%</v>
      </c>
      <c r="F21" s="1047">
        <v>0</v>
      </c>
      <c r="G21" s="1047">
        <f>+F21*0.22</f>
        <v>0</v>
      </c>
      <c r="H21" s="1047">
        <f>+F21+G21</f>
        <v>0</v>
      </c>
      <c r="I21" s="1048" t="s">
        <v>1009</v>
      </c>
    </row>
    <row r="22" spans="1:9" s="1055" customFormat="1" outlineLevel="1" x14ac:dyDescent="0.2">
      <c r="A22" s="1072" t="s">
        <v>52</v>
      </c>
      <c r="B22" s="1073" t="s">
        <v>737</v>
      </c>
      <c r="C22" s="1074"/>
      <c r="D22" s="1075"/>
      <c r="E22" s="1273"/>
      <c r="F22" s="1066"/>
      <c r="G22" s="1066"/>
      <c r="H22" s="1066"/>
      <c r="I22" s="1076"/>
    </row>
    <row r="23" spans="1:9" s="1071" customFormat="1" ht="22.5" outlineLevel="2" x14ac:dyDescent="0.2">
      <c r="A23" s="1069"/>
      <c r="B23" s="1070" t="s">
        <v>975</v>
      </c>
      <c r="C23" s="1045" t="s">
        <v>972</v>
      </c>
      <c r="D23" s="1046" t="s">
        <v>976</v>
      </c>
      <c r="E23" s="1271" t="str">
        <f>IFERROR(+F23/($F$55+'POSEBNE STORITVE'!$F$91),"%")</f>
        <v>%</v>
      </c>
      <c r="F23" s="1047">
        <v>0</v>
      </c>
      <c r="G23" s="1047">
        <f>+F23*0.22</f>
        <v>0</v>
      </c>
      <c r="H23" s="1047">
        <f>+F23+G23</f>
        <v>0</v>
      </c>
      <c r="I23" s="1048" t="s">
        <v>1010</v>
      </c>
    </row>
    <row r="24" spans="1:9" s="1055" customFormat="1" outlineLevel="1" x14ac:dyDescent="0.2">
      <c r="A24" s="1072" t="s">
        <v>53</v>
      </c>
      <c r="B24" s="1073" t="s">
        <v>977</v>
      </c>
      <c r="C24" s="1045"/>
      <c r="D24" s="1046"/>
      <c r="E24" s="1271"/>
      <c r="F24" s="1047"/>
      <c r="G24" s="1047"/>
      <c r="H24" s="1047"/>
      <c r="I24" s="1048"/>
    </row>
    <row r="25" spans="1:9" s="1071" customFormat="1" ht="45" outlineLevel="2" x14ac:dyDescent="0.2">
      <c r="A25" s="1069"/>
      <c r="B25" s="1070" t="s">
        <v>1008</v>
      </c>
      <c r="C25" s="1061" t="s">
        <v>972</v>
      </c>
      <c r="D25" s="1077" t="s">
        <v>978</v>
      </c>
      <c r="E25" s="1274" t="str">
        <f>IFERROR(+F25/($F$55+'POSEBNE STORITVE'!$F$91),"%")</f>
        <v>%</v>
      </c>
      <c r="F25" s="1062">
        <v>0</v>
      </c>
      <c r="G25" s="1062">
        <f>+F25*0.22</f>
        <v>0</v>
      </c>
      <c r="H25" s="1062">
        <f>+F25+G25</f>
        <v>0</v>
      </c>
      <c r="I25" s="1078" t="s">
        <v>1011</v>
      </c>
    </row>
    <row r="26" spans="1:9" s="1071" customFormat="1" ht="78.75" outlineLevel="2" x14ac:dyDescent="0.2">
      <c r="A26" s="1079"/>
      <c r="B26" s="1080" t="s">
        <v>979</v>
      </c>
      <c r="C26" s="1081" t="s">
        <v>972</v>
      </c>
      <c r="D26" s="1082" t="s">
        <v>1074</v>
      </c>
      <c r="E26" s="1275" t="str">
        <f>IFERROR(+F26/($F$55+'POSEBNE STORITVE'!$F$91),"%")</f>
        <v>%</v>
      </c>
      <c r="F26" s="1083">
        <v>0</v>
      </c>
      <c r="G26" s="1083">
        <f>+F26*0.22</f>
        <v>0</v>
      </c>
      <c r="H26" s="1083">
        <f>+F26+G26</f>
        <v>0</v>
      </c>
      <c r="I26" s="1084" t="s">
        <v>1012</v>
      </c>
    </row>
    <row r="27" spans="1:9" s="1055" customFormat="1" outlineLevel="1" x14ac:dyDescent="0.2">
      <c r="A27" s="1072" t="s">
        <v>95</v>
      </c>
      <c r="B27" s="1073" t="s">
        <v>738</v>
      </c>
      <c r="C27" s="1074"/>
      <c r="D27" s="1075"/>
      <c r="E27" s="1273"/>
      <c r="F27" s="1066"/>
      <c r="G27" s="1066"/>
      <c r="H27" s="1066"/>
      <c r="I27" s="1076"/>
    </row>
    <row r="28" spans="1:9" s="1071" customFormat="1" ht="33.75" outlineLevel="2" x14ac:dyDescent="0.2">
      <c r="A28" s="1079"/>
      <c r="B28" s="1080" t="s">
        <v>996</v>
      </c>
      <c r="C28" s="1085" t="s">
        <v>972</v>
      </c>
      <c r="D28" s="1086" t="s">
        <v>997</v>
      </c>
      <c r="E28" s="1274" t="str">
        <f>IFERROR(+F28/($F$55+'POSEBNE STORITVE'!$F$91),"%")</f>
        <v>%</v>
      </c>
      <c r="F28" s="1087">
        <v>0</v>
      </c>
      <c r="G28" s="1087">
        <f>+F28*0.22</f>
        <v>0</v>
      </c>
      <c r="H28" s="1087">
        <f>+F28+G28</f>
        <v>0</v>
      </c>
      <c r="I28" s="1078" t="s">
        <v>1013</v>
      </c>
    </row>
    <row r="29" spans="1:9" s="1071" customFormat="1" ht="33.75" outlineLevel="2" x14ac:dyDescent="0.2">
      <c r="A29" s="1088"/>
      <c r="B29" s="1089" t="s">
        <v>981</v>
      </c>
      <c r="C29" s="1090" t="s">
        <v>972</v>
      </c>
      <c r="D29" s="1091" t="s">
        <v>982</v>
      </c>
      <c r="E29" s="1276" t="str">
        <f>IFERROR(+F29/($F$55+'POSEBNE STORITVE'!$F$91),"%")</f>
        <v>%</v>
      </c>
      <c r="F29" s="1092">
        <v>0</v>
      </c>
      <c r="G29" s="1092">
        <f>+F29*0.22</f>
        <v>0</v>
      </c>
      <c r="H29" s="1092">
        <f>+F29+G29</f>
        <v>0</v>
      </c>
      <c r="I29" s="1093" t="s">
        <v>1014</v>
      </c>
    </row>
    <row r="30" spans="1:9" s="1071" customFormat="1" ht="33.75" outlineLevel="2" x14ac:dyDescent="0.2">
      <c r="A30" s="1088"/>
      <c r="B30" s="1089" t="s">
        <v>983</v>
      </c>
      <c r="C30" s="1090" t="s">
        <v>972</v>
      </c>
      <c r="D30" s="1091" t="s">
        <v>982</v>
      </c>
      <c r="E30" s="1276" t="str">
        <f>IFERROR(+F30/($F$55+'POSEBNE STORITVE'!$F$91),"%")</f>
        <v>%</v>
      </c>
      <c r="F30" s="1092">
        <v>0</v>
      </c>
      <c r="G30" s="1092">
        <f>+F30*0.22</f>
        <v>0</v>
      </c>
      <c r="H30" s="1092">
        <f>+F30+G30</f>
        <v>0</v>
      </c>
      <c r="I30" s="1093" t="s">
        <v>1014</v>
      </c>
    </row>
    <row r="31" spans="1:9" s="1071" customFormat="1" ht="33.75" outlineLevel="2" x14ac:dyDescent="0.2">
      <c r="A31" s="1088"/>
      <c r="B31" s="1089" t="s">
        <v>984</v>
      </c>
      <c r="C31" s="1094" t="s">
        <v>972</v>
      </c>
      <c r="D31" s="1095" t="s">
        <v>982</v>
      </c>
      <c r="E31" s="1277" t="str">
        <f>IFERROR(+F31/($F$55+'POSEBNE STORITVE'!$F$91),"%")</f>
        <v>%</v>
      </c>
      <c r="F31" s="1096">
        <v>0</v>
      </c>
      <c r="G31" s="1096">
        <f>+F31*0.22</f>
        <v>0</v>
      </c>
      <c r="H31" s="1096">
        <f>+F31+G31</f>
        <v>0</v>
      </c>
      <c r="I31" s="1097" t="s">
        <v>1014</v>
      </c>
    </row>
    <row r="32" spans="1:9" s="1055" customFormat="1" outlineLevel="1" x14ac:dyDescent="0.2">
      <c r="A32" s="1072" t="s">
        <v>96</v>
      </c>
      <c r="B32" s="1073" t="s">
        <v>838</v>
      </c>
      <c r="C32" s="1074"/>
      <c r="D32" s="1075"/>
      <c r="E32" s="1273"/>
      <c r="F32" s="1066"/>
      <c r="G32" s="1066"/>
      <c r="H32" s="1066"/>
      <c r="I32" s="1076"/>
    </row>
    <row r="33" spans="1:9" s="1071" customFormat="1" ht="33.75" outlineLevel="2" x14ac:dyDescent="0.2">
      <c r="A33" s="1079"/>
      <c r="B33" s="1080" t="s">
        <v>998</v>
      </c>
      <c r="C33" s="1085" t="s">
        <v>972</v>
      </c>
      <c r="D33" s="1086" t="s">
        <v>985</v>
      </c>
      <c r="E33" s="1274" t="str">
        <f>IFERROR(+F33/($F$55+'POSEBNE STORITVE'!$F$91),"%")</f>
        <v>%</v>
      </c>
      <c r="F33" s="1087">
        <v>0</v>
      </c>
      <c r="G33" s="1087">
        <f>+F33*0.22</f>
        <v>0</v>
      </c>
      <c r="H33" s="1087">
        <f>+F33+G33</f>
        <v>0</v>
      </c>
      <c r="I33" s="1078" t="s">
        <v>1015</v>
      </c>
    </row>
    <row r="34" spans="1:9" s="1071" customFormat="1" ht="22.5" outlineLevel="2" x14ac:dyDescent="0.2">
      <c r="A34" s="1088"/>
      <c r="B34" s="1089" t="s">
        <v>986</v>
      </c>
      <c r="C34" s="1090" t="s">
        <v>972</v>
      </c>
      <c r="D34" s="1091" t="s">
        <v>982</v>
      </c>
      <c r="E34" s="1276" t="str">
        <f>IFERROR(+F34/($F$55+'POSEBNE STORITVE'!$F$91),"%")</f>
        <v>%</v>
      </c>
      <c r="F34" s="1092">
        <v>0</v>
      </c>
      <c r="G34" s="1092">
        <f>+F34*0.22</f>
        <v>0</v>
      </c>
      <c r="H34" s="1092">
        <f>+F34+G34</f>
        <v>0</v>
      </c>
      <c r="I34" s="1093" t="s">
        <v>1014</v>
      </c>
    </row>
    <row r="35" spans="1:9" s="1071" customFormat="1" ht="22.5" outlineLevel="2" x14ac:dyDescent="0.2">
      <c r="A35" s="1088"/>
      <c r="B35" s="1089" t="s">
        <v>987</v>
      </c>
      <c r="C35" s="1090" t="s">
        <v>972</v>
      </c>
      <c r="D35" s="1091" t="s">
        <v>982</v>
      </c>
      <c r="E35" s="1276" t="str">
        <f>IFERROR(+F35/($F$55+'POSEBNE STORITVE'!$F$91),"%")</f>
        <v>%</v>
      </c>
      <c r="F35" s="1092">
        <v>0</v>
      </c>
      <c r="G35" s="1092">
        <f>+F35*0.22</f>
        <v>0</v>
      </c>
      <c r="H35" s="1092">
        <f>+F35+G35</f>
        <v>0</v>
      </c>
      <c r="I35" s="1093" t="s">
        <v>1014</v>
      </c>
    </row>
    <row r="36" spans="1:9" s="1071" customFormat="1" ht="22.5" outlineLevel="2" x14ac:dyDescent="0.2">
      <c r="A36" s="1088"/>
      <c r="B36" s="1089" t="s">
        <v>988</v>
      </c>
      <c r="C36" s="1090" t="s">
        <v>972</v>
      </c>
      <c r="D36" s="1091" t="s">
        <v>982</v>
      </c>
      <c r="E36" s="1276" t="str">
        <f>IFERROR(+F36/($F$55+'POSEBNE STORITVE'!$F$91),"%")</f>
        <v>%</v>
      </c>
      <c r="F36" s="1092">
        <v>0</v>
      </c>
      <c r="G36" s="1092">
        <f>+F36*0.22</f>
        <v>0</v>
      </c>
      <c r="H36" s="1092">
        <f>+F36+G36</f>
        <v>0</v>
      </c>
      <c r="I36" s="1097" t="s">
        <v>1014</v>
      </c>
    </row>
    <row r="37" spans="1:9" s="1055" customFormat="1" collapsed="1" x14ac:dyDescent="0.2">
      <c r="A37" s="1098" t="s">
        <v>39</v>
      </c>
      <c r="B37" s="1099" t="s">
        <v>989</v>
      </c>
      <c r="C37" s="1052"/>
      <c r="D37" s="1053"/>
      <c r="E37" s="1272"/>
      <c r="F37" s="1052"/>
      <c r="G37" s="1052"/>
      <c r="H37" s="1052"/>
      <c r="I37" s="1054"/>
    </row>
    <row r="38" spans="1:9" s="1049" customFormat="1" ht="22.5" hidden="1" outlineLevel="1" x14ac:dyDescent="0.2">
      <c r="A38" s="1072" t="s">
        <v>40</v>
      </c>
      <c r="B38" s="1100" t="s">
        <v>839</v>
      </c>
      <c r="C38" s="1045" t="s">
        <v>972</v>
      </c>
      <c r="D38" s="1046" t="s">
        <v>990</v>
      </c>
      <c r="E38" s="1271" t="str">
        <f>IFERROR(+F38/($F$55+'POSEBNE STORITVE'!$F$91),"%")</f>
        <v>%</v>
      </c>
      <c r="F38" s="1047">
        <v>0</v>
      </c>
      <c r="G38" s="1047">
        <f>+F38*0.22</f>
        <v>0</v>
      </c>
      <c r="H38" s="1047">
        <f>+F38+G38</f>
        <v>0</v>
      </c>
      <c r="I38" s="1048" t="s">
        <v>1014</v>
      </c>
    </row>
    <row r="39" spans="1:9" s="1049" customFormat="1" ht="22.5" hidden="1" outlineLevel="1" x14ac:dyDescent="0.2">
      <c r="A39" s="1101" t="s">
        <v>41</v>
      </c>
      <c r="B39" s="1102" t="s">
        <v>201</v>
      </c>
      <c r="C39" s="1103" t="s">
        <v>972</v>
      </c>
      <c r="D39" s="1046" t="s">
        <v>990</v>
      </c>
      <c r="E39" s="1271" t="str">
        <f>IFERROR(+F39/($F$55+'POSEBNE STORITVE'!$F$91),"%")</f>
        <v>%</v>
      </c>
      <c r="F39" s="1104">
        <v>0</v>
      </c>
      <c r="G39" s="1104">
        <f>+F39*0.22</f>
        <v>0</v>
      </c>
      <c r="H39" s="1104">
        <f>+F39+G39</f>
        <v>0</v>
      </c>
      <c r="I39" s="1048" t="s">
        <v>1014</v>
      </c>
    </row>
    <row r="40" spans="1:9" s="1055" customFormat="1" collapsed="1" x14ac:dyDescent="0.2">
      <c r="A40" s="1105">
        <v>4</v>
      </c>
      <c r="B40" s="1051" t="s">
        <v>60</v>
      </c>
      <c r="C40" s="1052"/>
      <c r="D40" s="1053"/>
      <c r="E40" s="1272"/>
      <c r="F40" s="1052"/>
      <c r="G40" s="1052"/>
      <c r="H40" s="1052"/>
      <c r="I40" s="1054"/>
    </row>
    <row r="41" spans="1:9" s="1049" customFormat="1" ht="33.75" hidden="1" outlineLevel="1" x14ac:dyDescent="0.2">
      <c r="A41" s="1072" t="s">
        <v>42</v>
      </c>
      <c r="B41" s="1100" t="s">
        <v>202</v>
      </c>
      <c r="C41" s="1066"/>
      <c r="D41" s="1046" t="s">
        <v>999</v>
      </c>
      <c r="E41" s="1273"/>
      <c r="F41" s="1066"/>
      <c r="G41" s="1066"/>
      <c r="H41" s="1066"/>
      <c r="I41" s="1068" t="s">
        <v>1016</v>
      </c>
    </row>
    <row r="42" spans="1:9" s="1049" customFormat="1" ht="56.25" hidden="1" outlineLevel="1" x14ac:dyDescent="0.2">
      <c r="A42" s="1072" t="s">
        <v>43</v>
      </c>
      <c r="B42" s="1100" t="s">
        <v>858</v>
      </c>
      <c r="C42" s="1045"/>
      <c r="D42" s="1046" t="s">
        <v>1075</v>
      </c>
      <c r="E42" s="1271" t="str">
        <f>IFERROR(+F42/$F$55,"%")</f>
        <v>%</v>
      </c>
      <c r="F42" s="1047">
        <v>0</v>
      </c>
      <c r="G42" s="1047">
        <f>+F42*0.22</f>
        <v>0</v>
      </c>
      <c r="H42" s="1047">
        <f>+F42+G42</f>
        <v>0</v>
      </c>
      <c r="I42" s="1048" t="s">
        <v>1017</v>
      </c>
    </row>
    <row r="43" spans="1:9" s="1049" customFormat="1" ht="45" hidden="1" outlineLevel="1" x14ac:dyDescent="0.2">
      <c r="A43" s="1072" t="s">
        <v>44</v>
      </c>
      <c r="B43" s="1100" t="s">
        <v>953</v>
      </c>
      <c r="C43" s="1045"/>
      <c r="D43" s="1046" t="s">
        <v>1027</v>
      </c>
      <c r="E43" s="1271" t="str">
        <f>IFERROR(+F43/$F$55,"%")</f>
        <v>%</v>
      </c>
      <c r="F43" s="1047">
        <v>0</v>
      </c>
      <c r="G43" s="1047">
        <f>+F43*0.22</f>
        <v>0</v>
      </c>
      <c r="H43" s="1047">
        <f>+F43+G43</f>
        <v>0</v>
      </c>
      <c r="I43" s="1048" t="s">
        <v>1017</v>
      </c>
    </row>
    <row r="44" spans="1:9" s="1049" customFormat="1" ht="56.25" hidden="1" outlineLevel="1" x14ac:dyDescent="0.2">
      <c r="A44" s="1072" t="s">
        <v>45</v>
      </c>
      <c r="B44" s="1100" t="s">
        <v>859</v>
      </c>
      <c r="C44" s="1045"/>
      <c r="D44" s="1046" t="s">
        <v>1028</v>
      </c>
      <c r="E44" s="1271" t="str">
        <f>IFERROR(+F44/$F$55,"%")</f>
        <v>%</v>
      </c>
      <c r="F44" s="1047">
        <v>0</v>
      </c>
      <c r="G44" s="1047">
        <f>+F44*0.22</f>
        <v>0</v>
      </c>
      <c r="H44" s="1047">
        <f>+F44+G44</f>
        <v>0</v>
      </c>
      <c r="I44" s="1048" t="s">
        <v>1017</v>
      </c>
    </row>
    <row r="45" spans="1:9" s="1049" customFormat="1" ht="12.75" hidden="1" outlineLevel="1" x14ac:dyDescent="0.2">
      <c r="A45" s="1072" t="s">
        <v>46</v>
      </c>
      <c r="B45" s="1106" t="s">
        <v>840</v>
      </c>
      <c r="C45" s="1045"/>
      <c r="D45" s="1046"/>
      <c r="E45" s="1271"/>
      <c r="F45" s="1047"/>
      <c r="G45" s="1047"/>
      <c r="H45" s="1047"/>
      <c r="I45" s="1048"/>
    </row>
    <row r="46" spans="1:9" s="1071" customFormat="1" ht="45" hidden="1" outlineLevel="2" x14ac:dyDescent="0.2">
      <c r="A46" s="1107"/>
      <c r="B46" s="1108" t="s">
        <v>992</v>
      </c>
      <c r="C46" s="1109" t="s">
        <v>972</v>
      </c>
      <c r="D46" s="1110" t="s">
        <v>1000</v>
      </c>
      <c r="E46" s="1278" t="str">
        <f>IFERROR(+F46/$F$55,"%")</f>
        <v>%</v>
      </c>
      <c r="F46" s="1111">
        <v>0</v>
      </c>
      <c r="G46" s="1111">
        <f>+F46*0.22</f>
        <v>0</v>
      </c>
      <c r="H46" s="1111">
        <f>+F46+G46</f>
        <v>0</v>
      </c>
      <c r="I46" s="1112" t="s">
        <v>1018</v>
      </c>
    </row>
    <row r="47" spans="1:9" s="1055" customFormat="1" collapsed="1" x14ac:dyDescent="0.2">
      <c r="A47" s="1113">
        <v>5</v>
      </c>
      <c r="B47" s="1114" t="s">
        <v>47</v>
      </c>
      <c r="C47" s="1115"/>
      <c r="D47" s="1116"/>
      <c r="E47" s="1275"/>
      <c r="F47" s="1115"/>
      <c r="G47" s="1115"/>
      <c r="H47" s="1115"/>
      <c r="I47" s="1117"/>
    </row>
    <row r="48" spans="1:9" s="1049" customFormat="1" ht="33.75" hidden="1" outlineLevel="1" x14ac:dyDescent="0.2">
      <c r="A48" s="1072" t="s">
        <v>48</v>
      </c>
      <c r="B48" s="1118" t="s">
        <v>204</v>
      </c>
      <c r="C48" s="1045" t="s">
        <v>972</v>
      </c>
      <c r="D48" s="1046" t="s">
        <v>1002</v>
      </c>
      <c r="E48" s="1271" t="str">
        <f>IFERROR(+F48/$F$55,"%")</f>
        <v>%</v>
      </c>
      <c r="F48" s="1047">
        <v>0</v>
      </c>
      <c r="G48" s="1047">
        <f>+F48*0.22</f>
        <v>0</v>
      </c>
      <c r="H48" s="1047">
        <f>+F48+G48</f>
        <v>0</v>
      </c>
      <c r="I48" s="1048" t="s">
        <v>1019</v>
      </c>
    </row>
    <row r="49" spans="1:14" s="1049" customFormat="1" ht="33.75" hidden="1" outlineLevel="1" x14ac:dyDescent="0.2">
      <c r="A49" s="1119" t="s">
        <v>49</v>
      </c>
      <c r="B49" s="1120" t="s">
        <v>205</v>
      </c>
      <c r="C49" s="1109" t="s">
        <v>972</v>
      </c>
      <c r="D49" s="1110" t="s">
        <v>1002</v>
      </c>
      <c r="E49" s="1278" t="str">
        <f>IFERROR(+F49/$F$55,"%")</f>
        <v>%</v>
      </c>
      <c r="F49" s="1111">
        <v>0</v>
      </c>
      <c r="G49" s="1111">
        <f>+F49*0.22</f>
        <v>0</v>
      </c>
      <c r="H49" s="1111">
        <f>+F49+G49</f>
        <v>0</v>
      </c>
      <c r="I49" s="1112" t="s">
        <v>1019</v>
      </c>
    </row>
    <row r="50" spans="1:14" s="1042" customFormat="1" collapsed="1" x14ac:dyDescent="0.2">
      <c r="A50" s="1121">
        <v>6</v>
      </c>
      <c r="B50" s="1122" t="s">
        <v>50</v>
      </c>
      <c r="C50" s="1115"/>
      <c r="D50" s="1116"/>
      <c r="E50" s="1275"/>
      <c r="F50" s="1123"/>
      <c r="G50" s="1123"/>
      <c r="H50" s="1123"/>
      <c r="I50" s="1084"/>
    </row>
    <row r="51" spans="1:14" s="1049" customFormat="1" ht="33.75" hidden="1" outlineLevel="1" x14ac:dyDescent="0.2">
      <c r="A51" s="1124" t="s">
        <v>54</v>
      </c>
      <c r="B51" s="1125" t="s">
        <v>206</v>
      </c>
      <c r="C51" s="1045" t="s">
        <v>972</v>
      </c>
      <c r="D51" s="1116" t="s">
        <v>1029</v>
      </c>
      <c r="E51" s="1271" t="str">
        <f>IFERROR(+F51/$F$55,"%")</f>
        <v>%</v>
      </c>
      <c r="F51" s="1047">
        <v>0</v>
      </c>
      <c r="G51" s="1047">
        <f>+F51*0.22</f>
        <v>0</v>
      </c>
      <c r="H51" s="1047">
        <f>+F51+G51</f>
        <v>0</v>
      </c>
      <c r="I51" s="1048" t="s">
        <v>1014</v>
      </c>
    </row>
    <row r="52" spans="1:14" s="1049" customFormat="1" ht="33.75" hidden="1" outlineLevel="1" x14ac:dyDescent="0.2">
      <c r="A52" s="1072" t="s">
        <v>55</v>
      </c>
      <c r="B52" s="1118" t="s">
        <v>207</v>
      </c>
      <c r="C52" s="1045" t="s">
        <v>972</v>
      </c>
      <c r="D52" s="1046" t="s">
        <v>1030</v>
      </c>
      <c r="E52" s="1271" t="str">
        <f>IFERROR(+F52/$F$55,"%")</f>
        <v>%</v>
      </c>
      <c r="F52" s="1047">
        <v>0</v>
      </c>
      <c r="G52" s="1047">
        <f>+F52*0.22</f>
        <v>0</v>
      </c>
      <c r="H52" s="1047">
        <f>+F52+G52</f>
        <v>0</v>
      </c>
      <c r="I52" s="1048" t="s">
        <v>1014</v>
      </c>
    </row>
    <row r="53" spans="1:14" s="1049" customFormat="1" ht="22.5" hidden="1" outlineLevel="1" x14ac:dyDescent="0.2">
      <c r="A53" s="1072" t="s">
        <v>56</v>
      </c>
      <c r="B53" s="1118" t="s">
        <v>208</v>
      </c>
      <c r="C53" s="1045" t="s">
        <v>972</v>
      </c>
      <c r="D53" s="1046" t="s">
        <v>973</v>
      </c>
      <c r="E53" s="1271" t="str">
        <f>IFERROR(+F53/$F$55,"%")</f>
        <v>%</v>
      </c>
      <c r="F53" s="1047">
        <v>0</v>
      </c>
      <c r="G53" s="1047">
        <f>+F53*0.22</f>
        <v>0</v>
      </c>
      <c r="H53" s="1047">
        <f>+F53+G53</f>
        <v>0</v>
      </c>
      <c r="I53" s="1048" t="s">
        <v>1014</v>
      </c>
    </row>
    <row r="54" spans="1:14" s="1130" customFormat="1" x14ac:dyDescent="0.2">
      <c r="A54" s="1126"/>
      <c r="B54" s="1127"/>
      <c r="C54" s="1128"/>
      <c r="D54" s="1129"/>
      <c r="E54" s="1279"/>
      <c r="F54" s="1128"/>
      <c r="G54" s="1128"/>
      <c r="H54" s="1128"/>
      <c r="I54" s="1129"/>
    </row>
    <row r="55" spans="1:14" s="1130" customFormat="1" ht="22.5" x14ac:dyDescent="0.2">
      <c r="A55" s="1131"/>
      <c r="B55" s="1132" t="s">
        <v>200</v>
      </c>
      <c r="C55" s="1133"/>
      <c r="D55" s="1134"/>
      <c r="E55" s="1135">
        <f>SUM(E13:E54)</f>
        <v>0</v>
      </c>
      <c r="F55" s="1133">
        <f>SUM(F13:F54)</f>
        <v>0</v>
      </c>
      <c r="G55" s="1133">
        <f>SUM(G13:G54)</f>
        <v>0</v>
      </c>
      <c r="H55" s="1133">
        <f>SUM(H13:H54)</f>
        <v>0</v>
      </c>
      <c r="I55" s="1134"/>
    </row>
    <row r="56" spans="1:14" s="1130" customFormat="1" x14ac:dyDescent="0.2">
      <c r="A56" s="1136"/>
      <c r="B56" s="1137" t="s">
        <v>739</v>
      </c>
      <c r="C56" s="1138"/>
      <c r="D56" s="1139"/>
      <c r="E56" s="1139"/>
      <c r="F56" s="1138" t="str">
        <f>IFERROR(F55/'OSNOVNI PODATKI'!$E$357,"")</f>
        <v/>
      </c>
      <c r="G56" s="1138" t="str">
        <f>IFERROR(G55/'OSNOVNI PODATKI'!$E$357,"")</f>
        <v/>
      </c>
      <c r="H56" s="1138" t="str">
        <f>IFERROR(H55/'OSNOVNI PODATKI'!$E$357,"")</f>
        <v/>
      </c>
      <c r="I56" s="1139"/>
    </row>
    <row r="57" spans="1:14" s="1130" customFormat="1" x14ac:dyDescent="0.2">
      <c r="A57" s="1140"/>
      <c r="B57" s="1141"/>
      <c r="C57" s="1142"/>
      <c r="D57" s="1143"/>
      <c r="E57" s="1143"/>
      <c r="F57" s="1142"/>
      <c r="G57" s="1142"/>
      <c r="H57" s="1142"/>
      <c r="I57" s="1143"/>
    </row>
    <row r="58" spans="1:14" s="1130" customFormat="1" x14ac:dyDescent="0.2">
      <c r="A58" s="1140"/>
      <c r="B58" s="1141"/>
      <c r="C58" s="1144"/>
      <c r="D58" s="1141"/>
      <c r="E58" s="1141"/>
      <c r="F58" s="1144"/>
      <c r="G58" s="1144"/>
      <c r="H58" s="1144"/>
      <c r="I58" s="1141"/>
    </row>
    <row r="60" spans="1:14" s="1016" customFormat="1" ht="15.75" x14ac:dyDescent="0.25">
      <c r="B60" s="1017"/>
      <c r="D60" s="1017"/>
      <c r="E60" s="1017"/>
      <c r="I60" s="1017"/>
    </row>
    <row r="61" spans="1:14" x14ac:dyDescent="0.25">
      <c r="C61" s="1147"/>
      <c r="D61" s="1148"/>
      <c r="E61" s="1148"/>
      <c r="F61" s="1147"/>
      <c r="G61" s="1147"/>
      <c r="H61" s="1147"/>
      <c r="I61" s="1148"/>
      <c r="J61" s="1147"/>
      <c r="N61" s="1149"/>
    </row>
    <row r="62" spans="1:14" x14ac:dyDescent="0.25">
      <c r="C62" s="1147"/>
      <c r="D62" s="1148"/>
      <c r="E62" s="1148"/>
      <c r="F62" s="1147"/>
      <c r="G62" s="1147"/>
      <c r="H62" s="1147"/>
      <c r="I62" s="1148"/>
      <c r="J62" s="1147"/>
      <c r="N62" s="1149"/>
    </row>
    <row r="63" spans="1:14" x14ac:dyDescent="0.25">
      <c r="C63" s="1147"/>
      <c r="D63" s="1148"/>
      <c r="E63" s="1148"/>
      <c r="F63" s="1147"/>
      <c r="G63" s="1147"/>
      <c r="H63" s="1147"/>
      <c r="I63" s="1148"/>
      <c r="J63" s="1147"/>
      <c r="N63" s="1149"/>
    </row>
    <row r="64" spans="1:14" x14ac:dyDescent="0.25">
      <c r="C64" s="1147"/>
      <c r="D64" s="1148"/>
      <c r="E64" s="1148"/>
      <c r="F64" s="1147"/>
      <c r="G64" s="1147"/>
      <c r="H64" s="1147"/>
      <c r="I64" s="1148"/>
      <c r="J64" s="1147"/>
      <c r="N64" s="1149"/>
    </row>
    <row r="65" spans="3:14" x14ac:dyDescent="0.25">
      <c r="C65" s="1147"/>
      <c r="D65" s="1148"/>
      <c r="E65" s="1148"/>
      <c r="F65" s="1147"/>
      <c r="G65" s="1147"/>
      <c r="H65" s="1147"/>
      <c r="I65" s="1148"/>
      <c r="J65" s="1147"/>
      <c r="N65" s="1149"/>
    </row>
  </sheetData>
  <mergeCells count="1">
    <mergeCell ref="C11:D11"/>
  </mergeCells>
  <pageMargins left="0.39370078740157483" right="0.39370078740157483" top="0.98425196850393704" bottom="0.39370078740157483" header="0.31496062992125984" footer="0.31496062992125984"/>
  <pageSetup paperSize="9" fitToHeight="0" orientation="landscape" r:id="rId1"/>
  <ignoredErrors>
    <ignoredError sqref="C1:D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7391-524F-4BA3-BC74-D59A432DDF1C}">
  <sheetPr codeName="Sheet8">
    <tabColor rgb="FF00B0F0"/>
    <outlinePr summaryBelow="0"/>
  </sheetPr>
  <dimension ref="A1:M100"/>
  <sheetViews>
    <sheetView showGridLines="0" topLeftCell="A53" workbookViewId="0">
      <selection activeCell="N66" sqref="N66"/>
    </sheetView>
  </sheetViews>
  <sheetFormatPr defaultColWidth="9.140625" defaultRowHeight="14.25" outlineLevelRow="2" x14ac:dyDescent="0.25"/>
  <cols>
    <col min="1" max="1" width="10.7109375" style="1145" customWidth="1"/>
    <col min="2" max="2" width="20.7109375" style="1146" customWidth="1"/>
    <col min="3" max="3" width="4.28515625" style="1036" customWidth="1"/>
    <col min="4" max="4" width="28.7109375" style="1146" customWidth="1"/>
    <col min="5" max="5" width="9.85546875" style="1146" customWidth="1"/>
    <col min="6" max="8" width="12" style="1036" customWidth="1"/>
    <col min="9" max="9" width="30.7109375" style="1036" customWidth="1"/>
    <col min="10" max="12" width="8.7109375" style="1036" customWidth="1"/>
    <col min="13" max="14" width="12.28515625" style="1036" customWidth="1"/>
    <col min="15" max="15" width="8.7109375" style="1036" customWidth="1"/>
    <col min="16" max="16384" width="9.140625" style="1036"/>
  </cols>
  <sheetData>
    <row r="1" spans="1:9" s="1006" customFormat="1" ht="18" customHeight="1" x14ac:dyDescent="0.2">
      <c r="B1" s="1150"/>
      <c r="C1" s="1008" t="str">
        <f>'OSNOVNI PODATKI'!D1</f>
        <v>NAROČNIK</v>
      </c>
      <c r="D1" s="1013">
        <f>IFERROR('OSNOVNI PODATKI'!E1,"")</f>
        <v>0</v>
      </c>
      <c r="E1" s="1009"/>
      <c r="F1" s="1009"/>
    </row>
    <row r="2" spans="1:9" s="1011" customFormat="1" ht="18" customHeight="1" x14ac:dyDescent="0.3">
      <c r="B2" s="1150"/>
      <c r="C2" s="1008"/>
      <c r="D2" s="1013">
        <f>IFERROR('OSNOVNI PODATKI'!E2,"")</f>
        <v>0</v>
      </c>
      <c r="E2" s="1013"/>
      <c r="F2" s="1013"/>
    </row>
    <row r="3" spans="1:9" s="1006" customFormat="1" ht="18.75" x14ac:dyDescent="0.3">
      <c r="A3" s="1011"/>
      <c r="B3" s="1151"/>
      <c r="C3" s="1008" t="str">
        <f>'OSNOVNI PODATKI'!D3</f>
        <v>PROJEKTANT</v>
      </c>
      <c r="D3" s="1013">
        <f>IFERROR('OSNOVNI PODATKI'!E3,"")</f>
        <v>0</v>
      </c>
      <c r="E3" s="1009"/>
      <c r="F3" s="1009"/>
      <c r="G3" s="1016"/>
      <c r="H3" s="1016"/>
    </row>
    <row r="4" spans="1:9" s="1016" customFormat="1" ht="26.25" customHeight="1" x14ac:dyDescent="0.25">
      <c r="B4" s="1150"/>
      <c r="C4" s="1008" t="str">
        <f>'OSNOVNI PODATKI'!D4</f>
        <v>GRADNJA</v>
      </c>
      <c r="D4" s="1013">
        <f>IFERROR('OSNOVNI PODATKI'!E4,"")</f>
        <v>0</v>
      </c>
      <c r="E4" s="1009"/>
      <c r="F4" s="1009"/>
    </row>
    <row r="5" spans="1:9" s="1006" customFormat="1" ht="12.75" x14ac:dyDescent="0.2">
      <c r="A5" s="1018"/>
      <c r="B5" s="1150"/>
      <c r="C5" s="1020" t="str">
        <f>'OSNOVNI PODATKI'!D5</f>
        <v>DATUM</v>
      </c>
      <c r="D5" s="1021">
        <f ca="1">'OSNOVNI PODATKI'!E5</f>
        <v>45646</v>
      </c>
      <c r="E5" s="1021"/>
      <c r="F5" s="1021"/>
    </row>
    <row r="6" spans="1:9" s="1006" customFormat="1" ht="18.75" x14ac:dyDescent="0.3">
      <c r="A6" s="1023"/>
      <c r="B6" s="1024"/>
      <c r="C6" s="1011"/>
      <c r="D6" s="1012"/>
      <c r="E6" s="1012"/>
      <c r="F6" s="1011"/>
      <c r="G6" s="1011"/>
      <c r="H6" s="1011"/>
    </row>
    <row r="7" spans="1:9" s="1016" customFormat="1" ht="15.75" x14ac:dyDescent="0.25">
      <c r="B7" s="1017"/>
      <c r="D7" s="1017"/>
      <c r="E7" s="1017"/>
    </row>
    <row r="8" spans="1:9" s="1026" customFormat="1" ht="23.25" x14ac:dyDescent="0.2">
      <c r="A8" s="1281" t="s">
        <v>1122</v>
      </c>
      <c r="B8" s="1025"/>
      <c r="D8" s="1027"/>
      <c r="E8" s="1027"/>
    </row>
    <row r="9" spans="1:9" s="1026" customFormat="1" ht="23.25" x14ac:dyDescent="0.2">
      <c r="A9" s="1281" t="s">
        <v>1116</v>
      </c>
      <c r="B9" s="1025"/>
      <c r="D9" s="1027"/>
      <c r="E9" s="1027"/>
    </row>
    <row r="10" spans="1:9" s="1016" customFormat="1" ht="15.75" x14ac:dyDescent="0.25">
      <c r="A10" s="1028"/>
      <c r="B10" s="1029"/>
      <c r="C10" s="1030"/>
      <c r="D10" s="1031"/>
      <c r="E10" s="1031"/>
      <c r="F10" s="1030"/>
      <c r="G10" s="1030"/>
      <c r="H10" s="1030"/>
    </row>
    <row r="11" spans="1:9" ht="23.25" x14ac:dyDescent="0.25">
      <c r="A11" s="1032"/>
      <c r="B11" s="1033"/>
      <c r="C11" s="1319" t="s">
        <v>967</v>
      </c>
      <c r="D11" s="1319"/>
      <c r="E11" s="1034" t="s">
        <v>968</v>
      </c>
      <c r="F11" s="1034" t="s">
        <v>969</v>
      </c>
      <c r="G11" s="1034" t="s">
        <v>209</v>
      </c>
      <c r="H11" s="1034" t="s">
        <v>971</v>
      </c>
      <c r="I11" s="1035" t="s">
        <v>970</v>
      </c>
    </row>
    <row r="12" spans="1:9" s="1042" customFormat="1" collapsed="1" x14ac:dyDescent="0.2">
      <c r="A12" s="1037" t="s">
        <v>29</v>
      </c>
      <c r="B12" s="1038" t="s">
        <v>30</v>
      </c>
      <c r="C12" s="1039"/>
      <c r="D12" s="1040"/>
      <c r="E12" s="1040"/>
      <c r="F12" s="1041"/>
      <c r="G12" s="1041"/>
      <c r="H12" s="1041"/>
      <c r="I12" s="1040"/>
    </row>
    <row r="13" spans="1:9" s="1049" customFormat="1" ht="12.75" hidden="1" outlineLevel="1" x14ac:dyDescent="0.2">
      <c r="A13" s="1043" t="s">
        <v>31</v>
      </c>
      <c r="B13" s="1044" t="s">
        <v>65</v>
      </c>
      <c r="C13" s="1152"/>
      <c r="D13" s="1100"/>
      <c r="E13" s="1153"/>
      <c r="F13" s="1106"/>
      <c r="G13" s="1106"/>
      <c r="H13" s="1106"/>
      <c r="I13" s="1100"/>
    </row>
    <row r="14" spans="1:9" s="1042" customFormat="1" ht="67.5" hidden="1" outlineLevel="1" x14ac:dyDescent="0.2">
      <c r="A14" s="1154"/>
      <c r="B14" s="1070"/>
      <c r="C14" s="1155" t="s">
        <v>972</v>
      </c>
      <c r="D14" s="1156" t="s">
        <v>982</v>
      </c>
      <c r="E14" s="1266" t="str">
        <f>IFERROR(+F14/('OSNOVNE STORITVE'!$F$55+$F$91),"%")</f>
        <v>%</v>
      </c>
      <c r="F14" s="1157">
        <v>0</v>
      </c>
      <c r="G14" s="1157">
        <f>+F14*0.22</f>
        <v>0</v>
      </c>
      <c r="H14" s="1157">
        <f>+F14+G14</f>
        <v>0</v>
      </c>
      <c r="I14" s="1048" t="s">
        <v>1031</v>
      </c>
    </row>
    <row r="15" spans="1:9" s="1042" customFormat="1" hidden="1" outlineLevel="1" x14ac:dyDescent="0.2">
      <c r="A15" s="1154"/>
      <c r="B15" s="1158"/>
      <c r="C15" s="1159" t="s">
        <v>972</v>
      </c>
      <c r="D15" s="1160" t="s">
        <v>982</v>
      </c>
      <c r="E15" s="1266" t="str">
        <f>IFERROR(+F15/('OSNOVNE STORITVE'!$F$55+$F$91),"%")</f>
        <v>%</v>
      </c>
      <c r="F15" s="1161">
        <v>0</v>
      </c>
      <c r="G15" s="1161">
        <f>+F15*0.22</f>
        <v>0</v>
      </c>
      <c r="H15" s="1161">
        <f>+F15+G15</f>
        <v>0</v>
      </c>
      <c r="I15" s="1048"/>
    </row>
    <row r="16" spans="1:9" s="1049" customFormat="1" ht="22.5" hidden="1" outlineLevel="1" x14ac:dyDescent="0.2">
      <c r="A16" s="1043" t="s">
        <v>32</v>
      </c>
      <c r="B16" s="1044" t="s">
        <v>66</v>
      </c>
      <c r="C16" s="1162"/>
      <c r="D16" s="1100"/>
      <c r="E16" s="1153"/>
      <c r="F16" s="1106"/>
      <c r="G16" s="1106"/>
      <c r="H16" s="1106"/>
      <c r="I16" s="1100"/>
    </row>
    <row r="17" spans="1:9" s="1042" customFormat="1" hidden="1" outlineLevel="1" x14ac:dyDescent="0.2">
      <c r="A17" s="1154"/>
      <c r="B17" s="1070"/>
      <c r="C17" s="1155" t="s">
        <v>972</v>
      </c>
      <c r="D17" s="1156" t="s">
        <v>982</v>
      </c>
      <c r="E17" s="1266" t="str">
        <f>IFERROR(+F17/('OSNOVNE STORITVE'!$F$55+$F$91),"%")</f>
        <v>%</v>
      </c>
      <c r="F17" s="1157">
        <v>0</v>
      </c>
      <c r="G17" s="1157">
        <f>+F17*0.22</f>
        <v>0</v>
      </c>
      <c r="H17" s="1157">
        <f>+F17+G17</f>
        <v>0</v>
      </c>
      <c r="I17" s="1048"/>
    </row>
    <row r="18" spans="1:9" s="1042" customFormat="1" hidden="1" outlineLevel="1" x14ac:dyDescent="0.2">
      <c r="A18" s="1154"/>
      <c r="B18" s="1158"/>
      <c r="C18" s="1159" t="s">
        <v>972</v>
      </c>
      <c r="D18" s="1160" t="s">
        <v>982</v>
      </c>
      <c r="E18" s="1266" t="str">
        <f>IFERROR(+F18/('OSNOVNE STORITVE'!$F$55+$F$91),"%")</f>
        <v>%</v>
      </c>
      <c r="F18" s="1161">
        <v>0</v>
      </c>
      <c r="G18" s="1161">
        <f>+F18*0.22</f>
        <v>0</v>
      </c>
      <c r="H18" s="1161">
        <f>+F18+G18</f>
        <v>0</v>
      </c>
      <c r="I18" s="1048"/>
    </row>
    <row r="19" spans="1:9" s="1055" customFormat="1" collapsed="1" x14ac:dyDescent="0.2">
      <c r="A19" s="1163" t="s">
        <v>33</v>
      </c>
      <c r="B19" s="1164" t="s">
        <v>34</v>
      </c>
      <c r="C19" s="1039"/>
      <c r="D19" s="1040"/>
      <c r="E19" s="1267"/>
      <c r="F19" s="1041"/>
      <c r="G19" s="1041"/>
      <c r="H19" s="1041"/>
      <c r="I19" s="1040"/>
    </row>
    <row r="20" spans="1:9" s="1058" customFormat="1" ht="12.75" hidden="1" outlineLevel="2" x14ac:dyDescent="0.2">
      <c r="A20" s="1056" t="s">
        <v>35</v>
      </c>
      <c r="B20" s="1057" t="s">
        <v>67</v>
      </c>
      <c r="C20" s="1152"/>
      <c r="D20" s="1100"/>
      <c r="E20" s="1153"/>
      <c r="F20" s="1106"/>
      <c r="G20" s="1106"/>
      <c r="H20" s="1106"/>
      <c r="I20" s="1100"/>
    </row>
    <row r="21" spans="1:9" s="1042" customFormat="1" hidden="1" outlineLevel="1" x14ac:dyDescent="0.2">
      <c r="A21" s="1154"/>
      <c r="B21" s="1070"/>
      <c r="C21" s="1155" t="s">
        <v>972</v>
      </c>
      <c r="D21" s="1156" t="s">
        <v>982</v>
      </c>
      <c r="E21" s="1266" t="str">
        <f>IFERROR(+F21/('OSNOVNE STORITVE'!$F$55+$F$91),"%")</f>
        <v>%</v>
      </c>
      <c r="F21" s="1157">
        <v>0</v>
      </c>
      <c r="G21" s="1157">
        <f>+F21*0.22</f>
        <v>0</v>
      </c>
      <c r="H21" s="1157">
        <f>+F21+G21</f>
        <v>0</v>
      </c>
      <c r="I21" s="1048"/>
    </row>
    <row r="22" spans="1:9" s="1042" customFormat="1" hidden="1" outlineLevel="1" x14ac:dyDescent="0.2">
      <c r="A22" s="1154"/>
      <c r="B22" s="1158"/>
      <c r="C22" s="1159" t="s">
        <v>972</v>
      </c>
      <c r="D22" s="1160" t="s">
        <v>982</v>
      </c>
      <c r="E22" s="1266" t="str">
        <f>IFERROR(+F22/('OSNOVNE STORITVE'!$F$55+$F$91),"%")</f>
        <v>%</v>
      </c>
      <c r="F22" s="1161">
        <v>0</v>
      </c>
      <c r="G22" s="1161">
        <f>+F22*0.22</f>
        <v>0</v>
      </c>
      <c r="H22" s="1161">
        <f>+F22+G22</f>
        <v>0</v>
      </c>
      <c r="I22" s="1048"/>
    </row>
    <row r="23" spans="1:9" s="1058" customFormat="1" ht="12.75" hidden="1" outlineLevel="2" x14ac:dyDescent="0.2">
      <c r="A23" s="1056" t="s">
        <v>36</v>
      </c>
      <c r="B23" s="1057" t="s">
        <v>68</v>
      </c>
      <c r="C23" s="1162"/>
      <c r="D23" s="1100"/>
      <c r="E23" s="1153"/>
      <c r="F23" s="1106"/>
      <c r="G23" s="1106"/>
      <c r="H23" s="1106"/>
      <c r="I23" s="1100"/>
    </row>
    <row r="24" spans="1:9" s="1042" customFormat="1" hidden="1" outlineLevel="1" x14ac:dyDescent="0.2">
      <c r="A24" s="1154"/>
      <c r="B24" s="1070"/>
      <c r="C24" s="1155" t="s">
        <v>972</v>
      </c>
      <c r="D24" s="1156" t="s">
        <v>982</v>
      </c>
      <c r="E24" s="1266" t="str">
        <f>IFERROR(+F24/('OSNOVNE STORITVE'!$F$55+$F$91),"%")</f>
        <v>%</v>
      </c>
      <c r="F24" s="1157">
        <v>0</v>
      </c>
      <c r="G24" s="1157">
        <f>+F24*0.22</f>
        <v>0</v>
      </c>
      <c r="H24" s="1157">
        <f>+F24+G24</f>
        <v>0</v>
      </c>
      <c r="I24" s="1048"/>
    </row>
    <row r="25" spans="1:9" s="1042" customFormat="1" hidden="1" outlineLevel="1" x14ac:dyDescent="0.2">
      <c r="A25" s="1154"/>
      <c r="B25" s="1158"/>
      <c r="C25" s="1159" t="s">
        <v>972</v>
      </c>
      <c r="D25" s="1160" t="s">
        <v>982</v>
      </c>
      <c r="E25" s="1266" t="str">
        <f>IFERROR(+F25/('OSNOVNE STORITVE'!$F$55+$F$91),"%")</f>
        <v>%</v>
      </c>
      <c r="F25" s="1161">
        <v>0</v>
      </c>
      <c r="G25" s="1161">
        <f>+F25*0.22</f>
        <v>0</v>
      </c>
      <c r="H25" s="1161">
        <f>+F25+G25</f>
        <v>0</v>
      </c>
      <c r="I25" s="1048"/>
    </row>
    <row r="26" spans="1:9" s="1058" customFormat="1" ht="12.75" hidden="1" outlineLevel="2" x14ac:dyDescent="0.2">
      <c r="A26" s="1056" t="s">
        <v>37</v>
      </c>
      <c r="B26" s="1057" t="s">
        <v>837</v>
      </c>
      <c r="C26" s="1162"/>
      <c r="D26" s="1100"/>
      <c r="E26" s="1266"/>
      <c r="F26" s="1106"/>
      <c r="G26" s="1106"/>
      <c r="H26" s="1106"/>
      <c r="I26" s="1100"/>
    </row>
    <row r="27" spans="1:9" s="1042" customFormat="1" hidden="1" outlineLevel="1" x14ac:dyDescent="0.2">
      <c r="A27" s="1154"/>
      <c r="B27" s="1070"/>
      <c r="C27" s="1155" t="s">
        <v>972</v>
      </c>
      <c r="D27" s="1156" t="s">
        <v>982</v>
      </c>
      <c r="E27" s="1266" t="str">
        <f>IFERROR(+F27/('OSNOVNE STORITVE'!$F$55+$F$91),"%")</f>
        <v>%</v>
      </c>
      <c r="F27" s="1157">
        <v>0</v>
      </c>
      <c r="G27" s="1157">
        <f>+F27*0.22</f>
        <v>0</v>
      </c>
      <c r="H27" s="1157">
        <f>+F27+G27</f>
        <v>0</v>
      </c>
      <c r="I27" s="1048"/>
    </row>
    <row r="28" spans="1:9" s="1042" customFormat="1" hidden="1" outlineLevel="1" x14ac:dyDescent="0.2">
      <c r="A28" s="1154"/>
      <c r="B28" s="1158"/>
      <c r="C28" s="1159" t="s">
        <v>972</v>
      </c>
      <c r="D28" s="1160" t="s">
        <v>982</v>
      </c>
      <c r="E28" s="1266" t="str">
        <f>IFERROR(+F28/('OSNOVNE STORITVE'!$F$55+$F$91),"%")</f>
        <v>%</v>
      </c>
      <c r="F28" s="1161">
        <v>0</v>
      </c>
      <c r="G28" s="1161">
        <f>+F28*0.22</f>
        <v>0</v>
      </c>
      <c r="H28" s="1161">
        <f>+F28+G28</f>
        <v>0</v>
      </c>
      <c r="I28" s="1048"/>
    </row>
    <row r="29" spans="1:9" s="1055" customFormat="1" x14ac:dyDescent="0.2">
      <c r="A29" s="1165">
        <v>2</v>
      </c>
      <c r="B29" s="1164" t="s">
        <v>38</v>
      </c>
      <c r="C29" s="1041"/>
      <c r="D29" s="1166"/>
      <c r="E29" s="1268"/>
      <c r="F29" s="1167"/>
      <c r="G29" s="1167"/>
      <c r="H29" s="1167"/>
      <c r="I29" s="1168"/>
    </row>
    <row r="30" spans="1:9" s="1055" customFormat="1" outlineLevel="1" x14ac:dyDescent="0.2">
      <c r="A30" s="1056" t="s">
        <v>51</v>
      </c>
      <c r="B30" s="1057" t="s">
        <v>94</v>
      </c>
      <c r="C30" s="1162"/>
      <c r="D30" s="1100"/>
      <c r="E30" s="1153"/>
      <c r="F30" s="1106"/>
      <c r="G30" s="1106"/>
      <c r="H30" s="1106"/>
      <c r="I30" s="1100"/>
    </row>
    <row r="31" spans="1:9" s="1042" customFormat="1" x14ac:dyDescent="0.2">
      <c r="A31" s="1154"/>
      <c r="B31" s="1070"/>
      <c r="C31" s="1155" t="s">
        <v>972</v>
      </c>
      <c r="D31" s="1156" t="s">
        <v>982</v>
      </c>
      <c r="E31" s="1266" t="str">
        <f>IFERROR(+F31/('OSNOVNE STORITVE'!$F$55+$F$91),"%")</f>
        <v>%</v>
      </c>
      <c r="F31" s="1157">
        <v>0</v>
      </c>
      <c r="G31" s="1157">
        <f>+F31*0.22</f>
        <v>0</v>
      </c>
      <c r="H31" s="1157">
        <f>+F31+G31</f>
        <v>0</v>
      </c>
      <c r="I31" s="1048"/>
    </row>
    <row r="32" spans="1:9" s="1042" customFormat="1" x14ac:dyDescent="0.2">
      <c r="A32" s="1154"/>
      <c r="B32" s="1158"/>
      <c r="C32" s="1159" t="s">
        <v>972</v>
      </c>
      <c r="D32" s="1160" t="s">
        <v>982</v>
      </c>
      <c r="E32" s="1266" t="str">
        <f>IFERROR(+F32/('OSNOVNE STORITVE'!$F$55+$F$91),"%")</f>
        <v>%</v>
      </c>
      <c r="F32" s="1161">
        <v>0</v>
      </c>
      <c r="G32" s="1161">
        <f>+F32*0.22</f>
        <v>0</v>
      </c>
      <c r="H32" s="1161">
        <f>+F32+G32</f>
        <v>0</v>
      </c>
      <c r="I32" s="1048"/>
    </row>
    <row r="33" spans="1:9" s="1055" customFormat="1" outlineLevel="1" x14ac:dyDescent="0.2">
      <c r="A33" s="1072" t="s">
        <v>52</v>
      </c>
      <c r="B33" s="1169" t="s">
        <v>737</v>
      </c>
      <c r="C33" s="1162"/>
      <c r="D33" s="1100"/>
      <c r="E33" s="1153"/>
      <c r="F33" s="1106"/>
      <c r="G33" s="1106"/>
      <c r="H33" s="1106"/>
      <c r="I33" s="1100"/>
    </row>
    <row r="34" spans="1:9" s="1042" customFormat="1" x14ac:dyDescent="0.2">
      <c r="A34" s="1154"/>
      <c r="B34" s="1070"/>
      <c r="C34" s="1155" t="s">
        <v>972</v>
      </c>
      <c r="D34" s="1156" t="s">
        <v>982</v>
      </c>
      <c r="E34" s="1266" t="str">
        <f>IFERROR(+F34/('OSNOVNE STORITVE'!$F$55+$F$91),"%")</f>
        <v>%</v>
      </c>
      <c r="F34" s="1157">
        <v>0</v>
      </c>
      <c r="G34" s="1157">
        <f>+F34*0.22</f>
        <v>0</v>
      </c>
      <c r="H34" s="1157">
        <f>+F34+G34</f>
        <v>0</v>
      </c>
      <c r="I34" s="1048"/>
    </row>
    <row r="35" spans="1:9" s="1042" customFormat="1" x14ac:dyDescent="0.2">
      <c r="A35" s="1154"/>
      <c r="B35" s="1158"/>
      <c r="C35" s="1159" t="s">
        <v>972</v>
      </c>
      <c r="D35" s="1160" t="s">
        <v>982</v>
      </c>
      <c r="E35" s="1266" t="str">
        <f>IFERROR(+F35/('OSNOVNE STORITVE'!$F$55+$F$91),"%")</f>
        <v>%</v>
      </c>
      <c r="F35" s="1161">
        <v>0</v>
      </c>
      <c r="G35" s="1161">
        <f>+F35*0.22</f>
        <v>0</v>
      </c>
      <c r="H35" s="1161">
        <f>+F35+G35</f>
        <v>0</v>
      </c>
      <c r="I35" s="1048"/>
    </row>
    <row r="36" spans="1:9" s="1055" customFormat="1" outlineLevel="1" x14ac:dyDescent="0.2">
      <c r="A36" s="1072" t="s">
        <v>53</v>
      </c>
      <c r="B36" s="1073" t="s">
        <v>977</v>
      </c>
      <c r="C36" s="1162"/>
      <c r="D36" s="1100"/>
      <c r="E36" s="1153"/>
      <c r="F36" s="1106"/>
      <c r="G36" s="1106"/>
      <c r="H36" s="1106"/>
      <c r="I36" s="1100"/>
    </row>
    <row r="37" spans="1:9" s="1071" customFormat="1" ht="56.25" outlineLevel="2" x14ac:dyDescent="0.2">
      <c r="A37" s="1170"/>
      <c r="B37" s="1171" t="s">
        <v>1110</v>
      </c>
      <c r="C37" s="1172" t="s">
        <v>972</v>
      </c>
      <c r="D37" s="1173" t="s">
        <v>978</v>
      </c>
      <c r="E37" s="1266" t="str">
        <f>IFERROR(+F37/('OSNOVNE STORITVE'!$F$55+$F$91),"%")</f>
        <v>%</v>
      </c>
      <c r="F37" s="1174">
        <v>0</v>
      </c>
      <c r="G37" s="1174">
        <f>+F37*0.22</f>
        <v>0</v>
      </c>
      <c r="H37" s="1174">
        <f>+F37+G37</f>
        <v>0</v>
      </c>
      <c r="I37" s="1175" t="s">
        <v>1020</v>
      </c>
    </row>
    <row r="38" spans="1:9" s="1042" customFormat="1" ht="45" x14ac:dyDescent="0.2">
      <c r="A38" s="1154"/>
      <c r="B38" s="1158" t="s">
        <v>1111</v>
      </c>
      <c r="C38" s="1159" t="s">
        <v>972</v>
      </c>
      <c r="D38" s="1160" t="s">
        <v>980</v>
      </c>
      <c r="E38" s="1266" t="str">
        <f>IFERROR(+F38/('OSNOVNE STORITVE'!$F$55+$F$91),"%")</f>
        <v>%</v>
      </c>
      <c r="F38" s="1161">
        <v>0</v>
      </c>
      <c r="G38" s="1161">
        <f>+F38*0.22</f>
        <v>0</v>
      </c>
      <c r="H38" s="1161">
        <f>+F38+G38</f>
        <v>0</v>
      </c>
      <c r="I38" s="1173" t="s">
        <v>1113</v>
      </c>
    </row>
    <row r="39" spans="1:9" s="1042" customFormat="1" ht="67.5" x14ac:dyDescent="0.2">
      <c r="A39" s="1154"/>
      <c r="B39" s="1158" t="s">
        <v>1112</v>
      </c>
      <c r="C39" s="1159" t="s">
        <v>972</v>
      </c>
      <c r="D39" s="1160" t="s">
        <v>980</v>
      </c>
      <c r="E39" s="1266" t="str">
        <f>IFERROR(+F39/('OSNOVNE STORITVE'!$F$55+$F$91),"%")</f>
        <v>%</v>
      </c>
      <c r="F39" s="1161">
        <v>0</v>
      </c>
      <c r="G39" s="1161">
        <f>+F39*0.22</f>
        <v>0</v>
      </c>
      <c r="H39" s="1161">
        <f>+F39+G39</f>
        <v>0</v>
      </c>
      <c r="I39" s="1173" t="s">
        <v>1114</v>
      </c>
    </row>
    <row r="40" spans="1:9" s="1055" customFormat="1" ht="22.5" outlineLevel="1" x14ac:dyDescent="0.2">
      <c r="A40" s="1072" t="s">
        <v>95</v>
      </c>
      <c r="B40" s="1169" t="s">
        <v>738</v>
      </c>
      <c r="C40" s="1162"/>
      <c r="D40" s="1100"/>
      <c r="E40" s="1153"/>
      <c r="F40" s="1106"/>
      <c r="G40" s="1106"/>
      <c r="H40" s="1106"/>
      <c r="I40" s="1100"/>
    </row>
    <row r="41" spans="1:9" s="1042" customFormat="1" x14ac:dyDescent="0.2">
      <c r="A41" s="1154"/>
      <c r="B41" s="1070"/>
      <c r="C41" s="1155" t="s">
        <v>972</v>
      </c>
      <c r="D41" s="1156" t="s">
        <v>982</v>
      </c>
      <c r="E41" s="1266" t="str">
        <f>IFERROR(+F41/('OSNOVNE STORITVE'!$F$55+$F$91),"%")</f>
        <v>%</v>
      </c>
      <c r="F41" s="1157">
        <v>0</v>
      </c>
      <c r="G41" s="1157">
        <f>+F41*0.22</f>
        <v>0</v>
      </c>
      <c r="H41" s="1157">
        <f>+F41+G41</f>
        <v>0</v>
      </c>
      <c r="I41" s="1048"/>
    </row>
    <row r="42" spans="1:9" s="1042" customFormat="1" x14ac:dyDescent="0.2">
      <c r="A42" s="1154"/>
      <c r="B42" s="1158"/>
      <c r="C42" s="1159" t="s">
        <v>972</v>
      </c>
      <c r="D42" s="1160" t="s">
        <v>982</v>
      </c>
      <c r="E42" s="1266" t="str">
        <f>IFERROR(+F42/('OSNOVNE STORITVE'!$F$55+$F$91),"%")</f>
        <v>%</v>
      </c>
      <c r="F42" s="1161">
        <v>0</v>
      </c>
      <c r="G42" s="1161">
        <f>+F42*0.22</f>
        <v>0</v>
      </c>
      <c r="H42" s="1161">
        <f>+F42+G42</f>
        <v>0</v>
      </c>
      <c r="I42" s="1048"/>
    </row>
    <row r="43" spans="1:9" s="1055" customFormat="1" outlineLevel="1" x14ac:dyDescent="0.2">
      <c r="A43" s="1072" t="s">
        <v>96</v>
      </c>
      <c r="B43" s="1073" t="s">
        <v>838</v>
      </c>
      <c r="C43" s="1162"/>
      <c r="D43" s="1100"/>
      <c r="E43" s="1153"/>
      <c r="F43" s="1106"/>
      <c r="G43" s="1106"/>
      <c r="H43" s="1106"/>
      <c r="I43" s="1100"/>
    </row>
    <row r="44" spans="1:9" s="1042" customFormat="1" ht="22.5" x14ac:dyDescent="0.2">
      <c r="A44" s="1154"/>
      <c r="B44" s="1070" t="s">
        <v>954</v>
      </c>
      <c r="C44" s="1155" t="s">
        <v>972</v>
      </c>
      <c r="D44" s="1156" t="s">
        <v>982</v>
      </c>
      <c r="E44" s="1266" t="str">
        <f>IFERROR(+F44/('OSNOVNE STORITVE'!$F$55+$F$91),"%")</f>
        <v>%</v>
      </c>
      <c r="F44" s="1157">
        <v>0</v>
      </c>
      <c r="G44" s="1157">
        <f>+F44*0.22</f>
        <v>0</v>
      </c>
      <c r="H44" s="1157">
        <f>+F44+G44</f>
        <v>0</v>
      </c>
      <c r="I44" s="1048"/>
    </row>
    <row r="45" spans="1:9" s="1042" customFormat="1" ht="22.5" x14ac:dyDescent="0.2">
      <c r="A45" s="1154"/>
      <c r="B45" s="1158" t="s">
        <v>1021</v>
      </c>
      <c r="C45" s="1159" t="s">
        <v>972</v>
      </c>
      <c r="D45" s="1160" t="s">
        <v>982</v>
      </c>
      <c r="E45" s="1266" t="str">
        <f>IFERROR(+F45/('OSNOVNE STORITVE'!$F$55+$F$91),"%")</f>
        <v>%</v>
      </c>
      <c r="F45" s="1161">
        <v>0</v>
      </c>
      <c r="G45" s="1161">
        <f>+F45*0.22</f>
        <v>0</v>
      </c>
      <c r="H45" s="1161">
        <f>+F45+G45</f>
        <v>0</v>
      </c>
      <c r="I45" s="1048"/>
    </row>
    <row r="46" spans="1:9" s="1042" customFormat="1" x14ac:dyDescent="0.2">
      <c r="A46" s="1154"/>
      <c r="B46" s="1158"/>
      <c r="C46" s="1159" t="s">
        <v>972</v>
      </c>
      <c r="D46" s="1160" t="s">
        <v>982</v>
      </c>
      <c r="E46" s="1266" t="str">
        <f>IFERROR(+F46/('OSNOVNE STORITVE'!$F$55+$F$91),"%")</f>
        <v>%</v>
      </c>
      <c r="F46" s="1161">
        <v>0</v>
      </c>
      <c r="G46" s="1161">
        <f>+F46*0.22</f>
        <v>0</v>
      </c>
      <c r="H46" s="1161">
        <f>+F46+G46</f>
        <v>0</v>
      </c>
      <c r="I46" s="1048"/>
    </row>
    <row r="47" spans="1:9" s="1055" customFormat="1" x14ac:dyDescent="0.2">
      <c r="A47" s="1176" t="s">
        <v>39</v>
      </c>
      <c r="B47" s="1164" t="s">
        <v>989</v>
      </c>
      <c r="C47" s="1041"/>
      <c r="D47" s="1040"/>
      <c r="E47" s="1267"/>
      <c r="F47" s="1041"/>
      <c r="G47" s="1041"/>
      <c r="H47" s="1041"/>
      <c r="I47" s="1168"/>
    </row>
    <row r="48" spans="1:9" s="1049" customFormat="1" ht="12.75" outlineLevel="1" x14ac:dyDescent="0.2">
      <c r="A48" s="1072" t="s">
        <v>40</v>
      </c>
      <c r="B48" s="1106" t="s">
        <v>839</v>
      </c>
      <c r="C48" s="1162"/>
      <c r="D48" s="1100"/>
      <c r="E48" s="1153"/>
      <c r="F48" s="1106"/>
      <c r="G48" s="1106"/>
      <c r="H48" s="1106"/>
      <c r="I48" s="1100"/>
    </row>
    <row r="49" spans="1:9" s="1042" customFormat="1" x14ac:dyDescent="0.2">
      <c r="A49" s="1154"/>
      <c r="B49" s="1070" t="s">
        <v>1022</v>
      </c>
      <c r="C49" s="1155" t="s">
        <v>972</v>
      </c>
      <c r="D49" s="1156" t="s">
        <v>982</v>
      </c>
      <c r="E49" s="1266" t="str">
        <f>IFERROR(+F49/('OSNOVNE STORITVE'!$F$55+$F$91),"%")</f>
        <v>%</v>
      </c>
      <c r="F49" s="1157">
        <v>0</v>
      </c>
      <c r="G49" s="1157">
        <f>+F49*0.22</f>
        <v>0</v>
      </c>
      <c r="H49" s="1157">
        <f>+F49+G49</f>
        <v>0</v>
      </c>
      <c r="I49" s="1048"/>
    </row>
    <row r="50" spans="1:9" s="1042" customFormat="1" x14ac:dyDescent="0.2">
      <c r="A50" s="1154"/>
      <c r="B50" s="1158"/>
      <c r="C50" s="1159" t="s">
        <v>972</v>
      </c>
      <c r="D50" s="1160" t="s">
        <v>982</v>
      </c>
      <c r="E50" s="1266" t="str">
        <f>IFERROR(+F50/('OSNOVNE STORITVE'!$F$55+$F$91),"%")</f>
        <v>%</v>
      </c>
      <c r="F50" s="1161">
        <v>0</v>
      </c>
      <c r="G50" s="1161">
        <f>+F50*0.22</f>
        <v>0</v>
      </c>
      <c r="H50" s="1161">
        <f>+F50+G50</f>
        <v>0</v>
      </c>
      <c r="I50" s="1048"/>
    </row>
    <row r="51" spans="1:9" s="1049" customFormat="1" ht="12.75" outlineLevel="1" x14ac:dyDescent="0.2">
      <c r="A51" s="1072" t="s">
        <v>41</v>
      </c>
      <c r="B51" s="1100" t="s">
        <v>201</v>
      </c>
      <c r="C51" s="1162"/>
      <c r="D51" s="1100"/>
      <c r="E51" s="1153"/>
      <c r="F51" s="1106"/>
      <c r="G51" s="1106"/>
      <c r="H51" s="1106"/>
      <c r="I51" s="1100"/>
    </row>
    <row r="52" spans="1:9" s="1042" customFormat="1" x14ac:dyDescent="0.2">
      <c r="A52" s="1154"/>
      <c r="B52" s="1070" t="s">
        <v>1022</v>
      </c>
      <c r="C52" s="1155" t="s">
        <v>972</v>
      </c>
      <c r="D52" s="1156" t="s">
        <v>982</v>
      </c>
      <c r="E52" s="1266" t="str">
        <f>IFERROR(+F52/('OSNOVNE STORITVE'!$F$55+$F$91),"%")</f>
        <v>%</v>
      </c>
      <c r="F52" s="1157">
        <v>0</v>
      </c>
      <c r="G52" s="1157">
        <f>+F52*0.22</f>
        <v>0</v>
      </c>
      <c r="H52" s="1157">
        <f>+F52+G52</f>
        <v>0</v>
      </c>
      <c r="I52" s="1048"/>
    </row>
    <row r="53" spans="1:9" s="1042" customFormat="1" x14ac:dyDescent="0.2">
      <c r="A53" s="1154"/>
      <c r="B53" s="1158"/>
      <c r="C53" s="1159" t="s">
        <v>972</v>
      </c>
      <c r="D53" s="1160" t="s">
        <v>982</v>
      </c>
      <c r="E53" s="1266" t="str">
        <f>IFERROR(+F53/('OSNOVNE STORITVE'!$F$55+$F$91),"%")</f>
        <v>%</v>
      </c>
      <c r="F53" s="1161">
        <v>0</v>
      </c>
      <c r="G53" s="1161">
        <f>+F53*0.22</f>
        <v>0</v>
      </c>
      <c r="H53" s="1161">
        <f>+F53+G53</f>
        <v>0</v>
      </c>
      <c r="I53" s="1048"/>
    </row>
    <row r="54" spans="1:9" s="1055" customFormat="1" x14ac:dyDescent="0.2">
      <c r="A54" s="1177">
        <v>4</v>
      </c>
      <c r="B54" s="1164" t="s">
        <v>60</v>
      </c>
      <c r="C54" s="1041"/>
      <c r="D54" s="1040"/>
      <c r="E54" s="1267"/>
      <c r="F54" s="1041"/>
      <c r="G54" s="1041"/>
      <c r="H54" s="1041"/>
      <c r="I54" s="1168"/>
    </row>
    <row r="55" spans="1:9" s="1049" customFormat="1" ht="12.75" outlineLevel="1" x14ac:dyDescent="0.2">
      <c r="A55" s="1072" t="s">
        <v>42</v>
      </c>
      <c r="B55" s="1100" t="s">
        <v>202</v>
      </c>
      <c r="C55" s="1162"/>
      <c r="D55" s="1100"/>
      <c r="E55" s="1153"/>
      <c r="F55" s="1106"/>
      <c r="G55" s="1106"/>
      <c r="H55" s="1106"/>
      <c r="I55" s="1100"/>
    </row>
    <row r="56" spans="1:9" s="1071" customFormat="1" ht="90" outlineLevel="2" x14ac:dyDescent="0.2">
      <c r="A56" s="1170"/>
      <c r="B56" s="1070" t="s">
        <v>1024</v>
      </c>
      <c r="C56" s="1178" t="s">
        <v>972</v>
      </c>
      <c r="D56" s="1175" t="s">
        <v>991</v>
      </c>
      <c r="E56" s="1266" t="str">
        <f>IFERROR(+F56/('OSNOVNE STORITVE'!$F$55+$F$91),"%")</f>
        <v>%</v>
      </c>
      <c r="F56" s="1179">
        <v>0</v>
      </c>
      <c r="G56" s="1179">
        <f>+F56*0.22</f>
        <v>0</v>
      </c>
      <c r="H56" s="1179">
        <f>+F56+G56</f>
        <v>0</v>
      </c>
      <c r="I56" s="1175" t="s">
        <v>1023</v>
      </c>
    </row>
    <row r="57" spans="1:9" s="1042" customFormat="1" x14ac:dyDescent="0.2">
      <c r="A57" s="1154"/>
      <c r="B57" s="1070"/>
      <c r="C57" s="1155" t="s">
        <v>972</v>
      </c>
      <c r="D57" s="1156" t="s">
        <v>982</v>
      </c>
      <c r="E57" s="1266" t="str">
        <f>IFERROR(+F57/('OSNOVNE STORITVE'!$F$55+$F$91),"%")</f>
        <v>%</v>
      </c>
      <c r="F57" s="1157">
        <v>0</v>
      </c>
      <c r="G57" s="1157">
        <f>+F57*0.22</f>
        <v>0</v>
      </c>
      <c r="H57" s="1157">
        <f>+F57+G57</f>
        <v>0</v>
      </c>
      <c r="I57" s="1180"/>
    </row>
    <row r="58" spans="1:9" s="1042" customFormat="1" x14ac:dyDescent="0.2">
      <c r="A58" s="1154"/>
      <c r="B58" s="1158"/>
      <c r="C58" s="1159" t="s">
        <v>972</v>
      </c>
      <c r="D58" s="1160" t="s">
        <v>982</v>
      </c>
      <c r="E58" s="1266" t="str">
        <f>IFERROR(+F58/('OSNOVNE STORITVE'!$F$55+$F$91),"%")</f>
        <v>%</v>
      </c>
      <c r="F58" s="1161">
        <v>0</v>
      </c>
      <c r="G58" s="1161">
        <f>+F58*0.22</f>
        <v>0</v>
      </c>
      <c r="H58" s="1161">
        <f>+F58+G58</f>
        <v>0</v>
      </c>
      <c r="I58" s="1084"/>
    </row>
    <row r="59" spans="1:9" s="1049" customFormat="1" ht="12.75" outlineLevel="1" x14ac:dyDescent="0.2">
      <c r="A59" s="1072" t="s">
        <v>43</v>
      </c>
      <c r="B59" s="1100" t="s">
        <v>858</v>
      </c>
      <c r="C59" s="1162"/>
      <c r="D59" s="1100"/>
      <c r="E59" s="1153"/>
      <c r="F59" s="1106"/>
      <c r="G59" s="1106"/>
      <c r="H59" s="1106"/>
      <c r="I59" s="1100"/>
    </row>
    <row r="60" spans="1:9" s="1042" customFormat="1" ht="112.5" x14ac:dyDescent="0.2">
      <c r="A60" s="1154"/>
      <c r="B60" s="1070" t="s">
        <v>502</v>
      </c>
      <c r="C60" s="1155"/>
      <c r="D60" s="1175" t="s">
        <v>1076</v>
      </c>
      <c r="E60" s="1266" t="str">
        <f>IFERROR(+F60/('OSNOVNE STORITVE'!$F$55+$F$91),"%")</f>
        <v>%</v>
      </c>
      <c r="F60" s="1157">
        <v>0</v>
      </c>
      <c r="G60" s="1157">
        <f>+F60*0.22</f>
        <v>0</v>
      </c>
      <c r="H60" s="1157">
        <f>+F60+G60</f>
        <v>0</v>
      </c>
      <c r="I60" s="1078" t="s">
        <v>1017</v>
      </c>
    </row>
    <row r="61" spans="1:9" s="1042" customFormat="1" x14ac:dyDescent="0.2">
      <c r="A61" s="1154"/>
      <c r="B61" s="1158"/>
      <c r="C61" s="1159" t="s">
        <v>972</v>
      </c>
      <c r="D61" s="1173" t="s">
        <v>982</v>
      </c>
      <c r="E61" s="1266" t="str">
        <f>IFERROR(+F61/('OSNOVNE STORITVE'!$F$55+$F$91),"%")</f>
        <v>%</v>
      </c>
      <c r="F61" s="1161">
        <v>0</v>
      </c>
      <c r="G61" s="1161">
        <f>+F61*0.22</f>
        <v>0</v>
      </c>
      <c r="H61" s="1161">
        <f>+F61+G61</f>
        <v>0</v>
      </c>
      <c r="I61" s="1173"/>
    </row>
    <row r="62" spans="1:9" s="1049" customFormat="1" ht="12.75" outlineLevel="1" x14ac:dyDescent="0.2">
      <c r="A62" s="1072" t="s">
        <v>44</v>
      </c>
      <c r="B62" s="1106" t="s">
        <v>953</v>
      </c>
      <c r="C62" s="1162"/>
      <c r="D62" s="1100"/>
      <c r="E62" s="1153"/>
      <c r="F62" s="1106"/>
      <c r="G62" s="1106"/>
      <c r="H62" s="1106"/>
      <c r="I62" s="1100"/>
    </row>
    <row r="63" spans="1:9" s="1042" customFormat="1" ht="101.25" x14ac:dyDescent="0.2">
      <c r="A63" s="1154"/>
      <c r="B63" s="1070" t="s">
        <v>502</v>
      </c>
      <c r="C63" s="1155"/>
      <c r="D63" s="1086" t="s">
        <v>1077</v>
      </c>
      <c r="E63" s="1269" t="str">
        <f>IFERROR(+F63/('OSNOVNE STORITVE'!$F$55+$F$91),"%")</f>
        <v>%</v>
      </c>
      <c r="F63" s="1179">
        <v>0</v>
      </c>
      <c r="G63" s="1179">
        <f>+F63*0.22</f>
        <v>0</v>
      </c>
      <c r="H63" s="1179">
        <f>+F63+G63</f>
        <v>0</v>
      </c>
      <c r="I63" s="1078" t="s">
        <v>1017</v>
      </c>
    </row>
    <row r="64" spans="1:9" s="1042" customFormat="1" x14ac:dyDescent="0.2">
      <c r="A64" s="1154"/>
      <c r="B64" s="1158"/>
      <c r="C64" s="1159" t="s">
        <v>972</v>
      </c>
      <c r="D64" s="1173" t="s">
        <v>982</v>
      </c>
      <c r="E64" s="1266" t="str">
        <f>IFERROR(+F64/('OSNOVNE STORITVE'!$F$55+$F$91),"%")</f>
        <v>%</v>
      </c>
      <c r="F64" s="1181">
        <v>0</v>
      </c>
      <c r="G64" s="1181">
        <f>+F64*0.22</f>
        <v>0</v>
      </c>
      <c r="H64" s="1181">
        <f>+F64+G64</f>
        <v>0</v>
      </c>
      <c r="I64" s="1173"/>
    </row>
    <row r="65" spans="1:9" s="1049" customFormat="1" ht="12.75" outlineLevel="1" x14ac:dyDescent="0.2">
      <c r="A65" s="1072" t="s">
        <v>45</v>
      </c>
      <c r="B65" s="1100" t="s">
        <v>859</v>
      </c>
      <c r="C65" s="1162"/>
      <c r="D65" s="1100"/>
      <c r="E65" s="1153"/>
      <c r="F65" s="1106"/>
      <c r="G65" s="1106"/>
      <c r="H65" s="1106"/>
      <c r="I65" s="1182"/>
    </row>
    <row r="66" spans="1:9" s="1042" customFormat="1" ht="112.5" x14ac:dyDescent="0.2">
      <c r="A66" s="1154"/>
      <c r="B66" s="1070" t="s">
        <v>502</v>
      </c>
      <c r="C66" s="1155"/>
      <c r="D66" s="1086" t="s">
        <v>1078</v>
      </c>
      <c r="E66" s="1269" t="str">
        <f>IFERROR(+F66/('OSNOVNE STORITVE'!$F$55+$F$91),"%")</f>
        <v>%</v>
      </c>
      <c r="F66" s="1179">
        <v>0</v>
      </c>
      <c r="G66" s="1179">
        <f>+F66*0.22</f>
        <v>0</v>
      </c>
      <c r="H66" s="1179">
        <f>+F66+G66</f>
        <v>0</v>
      </c>
      <c r="I66" s="1078" t="s">
        <v>1017</v>
      </c>
    </row>
    <row r="67" spans="1:9" s="1042" customFormat="1" x14ac:dyDescent="0.2">
      <c r="A67" s="1154"/>
      <c r="B67" s="1158"/>
      <c r="C67" s="1159" t="s">
        <v>972</v>
      </c>
      <c r="D67" s="1173" t="s">
        <v>982</v>
      </c>
      <c r="E67" s="1266" t="str">
        <f>IFERROR(+F67/('OSNOVNE STORITVE'!$F$55+$F$91),"%")</f>
        <v>%</v>
      </c>
      <c r="F67" s="1181">
        <v>0</v>
      </c>
      <c r="G67" s="1181">
        <f>+F67*0.22</f>
        <v>0</v>
      </c>
      <c r="H67" s="1181">
        <f>+F67+G67</f>
        <v>0</v>
      </c>
      <c r="I67" s="1173"/>
    </row>
    <row r="68" spans="1:9" s="1049" customFormat="1" ht="12.75" outlineLevel="1" x14ac:dyDescent="0.2">
      <c r="A68" s="1072" t="s">
        <v>46</v>
      </c>
      <c r="B68" s="1106" t="s">
        <v>840</v>
      </c>
      <c r="C68" s="1162"/>
      <c r="D68" s="1100"/>
      <c r="E68" s="1153"/>
      <c r="F68" s="1106"/>
      <c r="G68" s="1106"/>
      <c r="H68" s="1106"/>
      <c r="I68" s="1100"/>
    </row>
    <row r="69" spans="1:9" s="1071" customFormat="1" ht="78.75" outlineLevel="2" x14ac:dyDescent="0.2">
      <c r="A69" s="1069"/>
      <c r="B69" s="1183" t="s">
        <v>1025</v>
      </c>
      <c r="C69" s="1085"/>
      <c r="D69" s="1086" t="s">
        <v>1001</v>
      </c>
      <c r="E69" s="1269" t="str">
        <f>IFERROR(+F69/('OSNOVNE STORITVE'!$F$55+$F$91),"%")</f>
        <v>%</v>
      </c>
      <c r="F69" s="1087">
        <v>0</v>
      </c>
      <c r="G69" s="1087">
        <f>+F69*0.22</f>
        <v>0</v>
      </c>
      <c r="H69" s="1087">
        <f>+F69+G69</f>
        <v>0</v>
      </c>
      <c r="I69" s="1078" t="s">
        <v>1026</v>
      </c>
    </row>
    <row r="70" spans="1:9" s="1042" customFormat="1" x14ac:dyDescent="0.2">
      <c r="A70" s="1154"/>
      <c r="B70" s="1070"/>
      <c r="C70" s="1155" t="s">
        <v>972</v>
      </c>
      <c r="D70" s="1156" t="s">
        <v>982</v>
      </c>
      <c r="E70" s="1266" t="str">
        <f>IFERROR(+F70/('OSNOVNE STORITVE'!$F$55+$F$91),"%")</f>
        <v>%</v>
      </c>
      <c r="F70" s="1157">
        <v>0</v>
      </c>
      <c r="G70" s="1157">
        <f>+F70*0.22</f>
        <v>0</v>
      </c>
      <c r="H70" s="1157">
        <f>+F70+G70</f>
        <v>0</v>
      </c>
      <c r="I70" s="1156"/>
    </row>
    <row r="71" spans="1:9" s="1042" customFormat="1" x14ac:dyDescent="0.2">
      <c r="A71" s="1154"/>
      <c r="B71" s="1158"/>
      <c r="C71" s="1159" t="s">
        <v>972</v>
      </c>
      <c r="D71" s="1160" t="s">
        <v>982</v>
      </c>
      <c r="E71" s="1266" t="str">
        <f>IFERROR(+F71/('OSNOVNE STORITVE'!$F$55+$F$91),"%")</f>
        <v>%</v>
      </c>
      <c r="F71" s="1161">
        <v>0</v>
      </c>
      <c r="G71" s="1161">
        <f>+F71*0.22</f>
        <v>0</v>
      </c>
      <c r="H71" s="1161">
        <f>+F71+G71</f>
        <v>0</v>
      </c>
      <c r="I71" s="1160"/>
    </row>
    <row r="72" spans="1:9" s="1055" customFormat="1" x14ac:dyDescent="0.2">
      <c r="A72" s="1184">
        <v>5</v>
      </c>
      <c r="B72" s="1164" t="s">
        <v>47</v>
      </c>
      <c r="C72" s="1041"/>
      <c r="D72" s="1040"/>
      <c r="E72" s="1267"/>
      <c r="F72" s="1041"/>
      <c r="G72" s="1041"/>
      <c r="H72" s="1041"/>
      <c r="I72" s="1168"/>
    </row>
    <row r="73" spans="1:9" s="1049" customFormat="1" ht="12.75" outlineLevel="1" x14ac:dyDescent="0.2">
      <c r="A73" s="1072" t="s">
        <v>48</v>
      </c>
      <c r="B73" s="1118" t="s">
        <v>204</v>
      </c>
      <c r="C73" s="1162"/>
      <c r="D73" s="1100"/>
      <c r="E73" s="1153"/>
      <c r="F73" s="1106"/>
      <c r="G73" s="1106"/>
      <c r="H73" s="1106"/>
      <c r="I73" s="1100"/>
    </row>
    <row r="74" spans="1:9" s="1042" customFormat="1" x14ac:dyDescent="0.2">
      <c r="A74" s="1154"/>
      <c r="B74" s="1070"/>
      <c r="C74" s="1155" t="s">
        <v>972</v>
      </c>
      <c r="D74" s="1156" t="s">
        <v>982</v>
      </c>
      <c r="E74" s="1266" t="str">
        <f>IFERROR(+F74/('OSNOVNE STORITVE'!$F$55+$F$91),"%")</f>
        <v>%</v>
      </c>
      <c r="F74" s="1157">
        <v>0</v>
      </c>
      <c r="G74" s="1157">
        <f>+F74*0.22</f>
        <v>0</v>
      </c>
      <c r="H74" s="1157">
        <f>+F74+G74</f>
        <v>0</v>
      </c>
      <c r="I74" s="1156"/>
    </row>
    <row r="75" spans="1:9" s="1042" customFormat="1" x14ac:dyDescent="0.2">
      <c r="A75" s="1154"/>
      <c r="B75" s="1158"/>
      <c r="C75" s="1159" t="s">
        <v>972</v>
      </c>
      <c r="D75" s="1160" t="s">
        <v>982</v>
      </c>
      <c r="E75" s="1266" t="str">
        <f>IFERROR(+F75/('OSNOVNE STORITVE'!$F$55+$F$91),"%")</f>
        <v>%</v>
      </c>
      <c r="F75" s="1161">
        <v>0</v>
      </c>
      <c r="G75" s="1161">
        <f>+F75*0.22</f>
        <v>0</v>
      </c>
      <c r="H75" s="1161">
        <f>+F75+G75</f>
        <v>0</v>
      </c>
      <c r="I75" s="1160"/>
    </row>
    <row r="76" spans="1:9" s="1049" customFormat="1" ht="12.75" outlineLevel="1" x14ac:dyDescent="0.2">
      <c r="A76" s="1072" t="s">
        <v>49</v>
      </c>
      <c r="B76" s="1118" t="s">
        <v>205</v>
      </c>
      <c r="C76" s="1162"/>
      <c r="D76" s="1100"/>
      <c r="E76" s="1153"/>
      <c r="F76" s="1106"/>
      <c r="G76" s="1106"/>
      <c r="H76" s="1106"/>
      <c r="I76" s="1100"/>
    </row>
    <row r="77" spans="1:9" s="1042" customFormat="1" x14ac:dyDescent="0.2">
      <c r="A77" s="1154"/>
      <c r="B77" s="1070"/>
      <c r="C77" s="1155" t="s">
        <v>972</v>
      </c>
      <c r="D77" s="1156" t="s">
        <v>982</v>
      </c>
      <c r="E77" s="1266" t="str">
        <f>IFERROR(+F77/('OSNOVNE STORITVE'!$F$55+$F$91),"%")</f>
        <v>%</v>
      </c>
      <c r="F77" s="1157">
        <v>0</v>
      </c>
      <c r="G77" s="1157">
        <f>+F77*0.22</f>
        <v>0</v>
      </c>
      <c r="H77" s="1157">
        <f>+F77+G77</f>
        <v>0</v>
      </c>
      <c r="I77" s="1156"/>
    </row>
    <row r="78" spans="1:9" s="1042" customFormat="1" x14ac:dyDescent="0.2">
      <c r="A78" s="1154"/>
      <c r="B78" s="1158"/>
      <c r="C78" s="1159" t="s">
        <v>972</v>
      </c>
      <c r="D78" s="1160" t="s">
        <v>982</v>
      </c>
      <c r="E78" s="1266" t="str">
        <f>IFERROR(+F78/('OSNOVNE STORITVE'!$F$55+$F$91),"%")</f>
        <v>%</v>
      </c>
      <c r="F78" s="1161">
        <v>0</v>
      </c>
      <c r="G78" s="1161">
        <f>+F78*0.22</f>
        <v>0</v>
      </c>
      <c r="H78" s="1161">
        <f>+F78+G78</f>
        <v>0</v>
      </c>
      <c r="I78" s="1160"/>
    </row>
    <row r="79" spans="1:9" s="1042" customFormat="1" x14ac:dyDescent="0.2">
      <c r="A79" s="1185">
        <v>6</v>
      </c>
      <c r="B79" s="1186" t="s">
        <v>50</v>
      </c>
      <c r="C79" s="1041"/>
      <c r="D79" s="1166"/>
      <c r="E79" s="1268"/>
      <c r="F79" s="1167"/>
      <c r="G79" s="1167"/>
      <c r="H79" s="1167"/>
      <c r="I79" s="1187"/>
    </row>
    <row r="80" spans="1:9" s="1049" customFormat="1" ht="12.75" x14ac:dyDescent="0.2">
      <c r="A80" s="1072" t="s">
        <v>54</v>
      </c>
      <c r="B80" s="1118" t="s">
        <v>206</v>
      </c>
      <c r="C80" s="1162"/>
      <c r="D80" s="1100"/>
      <c r="E80" s="1153"/>
      <c r="F80" s="1106"/>
      <c r="G80" s="1106"/>
      <c r="H80" s="1106"/>
      <c r="I80" s="1100"/>
    </row>
    <row r="81" spans="1:13" s="1042" customFormat="1" x14ac:dyDescent="0.2">
      <c r="A81" s="1154"/>
      <c r="B81" s="1070"/>
      <c r="C81" s="1155" t="s">
        <v>972</v>
      </c>
      <c r="D81" s="1156" t="s">
        <v>982</v>
      </c>
      <c r="E81" s="1266" t="str">
        <f>IFERROR(+F81/('OSNOVNE STORITVE'!$F$55+$F$91),"%")</f>
        <v>%</v>
      </c>
      <c r="F81" s="1157">
        <v>0</v>
      </c>
      <c r="G81" s="1157">
        <f>+F81*0.22</f>
        <v>0</v>
      </c>
      <c r="H81" s="1157">
        <f>+F81+G81</f>
        <v>0</v>
      </c>
      <c r="I81" s="1156"/>
    </row>
    <row r="82" spans="1:13" s="1042" customFormat="1" x14ac:dyDescent="0.2">
      <c r="A82" s="1154"/>
      <c r="B82" s="1158"/>
      <c r="C82" s="1159" t="s">
        <v>972</v>
      </c>
      <c r="D82" s="1160" t="s">
        <v>982</v>
      </c>
      <c r="E82" s="1266" t="str">
        <f>IFERROR(+F82/('OSNOVNE STORITVE'!$F$55+$F$91),"%")</f>
        <v>%</v>
      </c>
      <c r="F82" s="1161">
        <v>0</v>
      </c>
      <c r="G82" s="1161">
        <f>+F82*0.22</f>
        <v>0</v>
      </c>
      <c r="H82" s="1161">
        <f>+F82+G82</f>
        <v>0</v>
      </c>
      <c r="I82" s="1160"/>
    </row>
    <row r="83" spans="1:13" s="1049" customFormat="1" ht="12.75" x14ac:dyDescent="0.2">
      <c r="A83" s="1072" t="s">
        <v>55</v>
      </c>
      <c r="B83" s="1118" t="s">
        <v>207</v>
      </c>
      <c r="C83" s="1162"/>
      <c r="D83" s="1100"/>
      <c r="E83" s="1153"/>
      <c r="F83" s="1106"/>
      <c r="G83" s="1106"/>
      <c r="H83" s="1106"/>
      <c r="I83" s="1100"/>
    </row>
    <row r="84" spans="1:13" s="1042" customFormat="1" x14ac:dyDescent="0.2">
      <c r="A84" s="1154"/>
      <c r="B84" s="1070"/>
      <c r="C84" s="1155" t="s">
        <v>972</v>
      </c>
      <c r="D84" s="1156" t="s">
        <v>982</v>
      </c>
      <c r="E84" s="1266" t="str">
        <f>IFERROR(+F84/('OSNOVNE STORITVE'!$F$55+$F$91),"%")</f>
        <v>%</v>
      </c>
      <c r="F84" s="1157">
        <v>0</v>
      </c>
      <c r="G84" s="1157">
        <f>+F84*0.22</f>
        <v>0</v>
      </c>
      <c r="H84" s="1157">
        <f>+F84+G84</f>
        <v>0</v>
      </c>
      <c r="I84" s="1156"/>
    </row>
    <row r="85" spans="1:13" s="1042" customFormat="1" x14ac:dyDescent="0.2">
      <c r="A85" s="1154"/>
      <c r="B85" s="1158"/>
      <c r="C85" s="1159" t="s">
        <v>972</v>
      </c>
      <c r="D85" s="1160" t="s">
        <v>982</v>
      </c>
      <c r="E85" s="1266" t="str">
        <f>IFERROR(+F85/('OSNOVNE STORITVE'!$F$55+$F$91),"%")</f>
        <v>%</v>
      </c>
      <c r="F85" s="1161">
        <v>0</v>
      </c>
      <c r="G85" s="1161">
        <f>+F85*0.22</f>
        <v>0</v>
      </c>
      <c r="H85" s="1161">
        <f>+F85+G85</f>
        <v>0</v>
      </c>
      <c r="I85" s="1160"/>
    </row>
    <row r="86" spans="1:13" s="1049" customFormat="1" ht="12.75" x14ac:dyDescent="0.2">
      <c r="A86" s="1072" t="s">
        <v>56</v>
      </c>
      <c r="B86" s="1118" t="s">
        <v>208</v>
      </c>
      <c r="C86" s="1162"/>
      <c r="D86" s="1100"/>
      <c r="E86" s="1153"/>
      <c r="F86" s="1106"/>
      <c r="G86" s="1106"/>
      <c r="H86" s="1106"/>
      <c r="I86" s="1100"/>
    </row>
    <row r="87" spans="1:13" s="1042" customFormat="1" x14ac:dyDescent="0.2">
      <c r="A87" s="1154"/>
      <c r="B87" s="1070"/>
      <c r="C87" s="1155" t="s">
        <v>972</v>
      </c>
      <c r="D87" s="1156" t="s">
        <v>982</v>
      </c>
      <c r="E87" s="1266" t="str">
        <f>IFERROR(+F87/('OSNOVNE STORITVE'!$F$55+$F$91),"%")</f>
        <v>%</v>
      </c>
      <c r="F87" s="1157">
        <v>0</v>
      </c>
      <c r="G87" s="1157">
        <f>+F87*0.22</f>
        <v>0</v>
      </c>
      <c r="H87" s="1157">
        <f>+F87+G87</f>
        <v>0</v>
      </c>
      <c r="I87" s="1156"/>
    </row>
    <row r="88" spans="1:13" s="1042" customFormat="1" x14ac:dyDescent="0.2">
      <c r="A88" s="1188"/>
      <c r="B88" s="1189"/>
      <c r="C88" s="1190" t="s">
        <v>972</v>
      </c>
      <c r="D88" s="1191" t="s">
        <v>982</v>
      </c>
      <c r="E88" s="1266" t="str">
        <f>IFERROR(+F88/('OSNOVNE STORITVE'!$F$55+$F$91),"%")</f>
        <v>%</v>
      </c>
      <c r="F88" s="1192">
        <v>0</v>
      </c>
      <c r="G88" s="1192">
        <f>+F88*0.22</f>
        <v>0</v>
      </c>
      <c r="H88" s="1192">
        <f>+F88+G88</f>
        <v>0</v>
      </c>
      <c r="I88" s="1191"/>
    </row>
    <row r="89" spans="1:13" s="1130" customFormat="1" x14ac:dyDescent="0.2">
      <c r="A89" s="1126"/>
      <c r="B89" s="1127"/>
      <c r="C89" s="1193"/>
      <c r="D89" s="1194"/>
      <c r="E89" s="1194"/>
      <c r="F89" s="1193"/>
      <c r="G89" s="1193"/>
      <c r="H89" s="1193"/>
      <c r="I89" s="1074"/>
    </row>
    <row r="90" spans="1:13" s="1130" customFormat="1" x14ac:dyDescent="0.2">
      <c r="A90" s="1126"/>
      <c r="B90" s="1127"/>
      <c r="C90" s="1128"/>
      <c r="D90" s="1129"/>
      <c r="E90" s="1129"/>
      <c r="F90" s="1128"/>
      <c r="G90" s="1128"/>
      <c r="H90" s="1128"/>
      <c r="I90" s="1074"/>
    </row>
    <row r="91" spans="1:13" s="1130" customFormat="1" ht="22.5" x14ac:dyDescent="0.2">
      <c r="A91" s="1131"/>
      <c r="B91" s="1132" t="s">
        <v>200</v>
      </c>
      <c r="C91" s="1133"/>
      <c r="D91" s="1134"/>
      <c r="E91" s="1135">
        <f>SUM(E12:E90)</f>
        <v>0</v>
      </c>
      <c r="F91" s="1133">
        <f>SUM(F19:F89)</f>
        <v>0</v>
      </c>
      <c r="G91" s="1133">
        <f>SUM(G19:G89)</f>
        <v>0</v>
      </c>
      <c r="H91" s="1133">
        <f>SUM(H19:H89)</f>
        <v>0</v>
      </c>
      <c r="I91" s="1074"/>
    </row>
    <row r="92" spans="1:13" s="1130" customFormat="1" x14ac:dyDescent="0.2">
      <c r="A92" s="1126"/>
      <c r="B92" s="1127" t="s">
        <v>739</v>
      </c>
      <c r="C92" s="1195"/>
      <c r="D92" s="1196"/>
      <c r="E92" s="1196"/>
      <c r="F92" s="1195" t="str">
        <f>IFERROR(F91/'OSNOVNI PODATKI'!$E$357,"")</f>
        <v/>
      </c>
      <c r="G92" s="1195" t="str">
        <f>IFERROR(G91/'OSNOVNI PODATKI'!$E$357,"")</f>
        <v/>
      </c>
      <c r="H92" s="1195" t="str">
        <f>IFERROR(H91/'OSNOVNI PODATKI'!$E$357,"")</f>
        <v/>
      </c>
      <c r="I92" s="1074"/>
    </row>
    <row r="93" spans="1:13" s="1130" customFormat="1" x14ac:dyDescent="0.2">
      <c r="A93" s="1140"/>
      <c r="B93" s="1141"/>
      <c r="C93" s="1142"/>
      <c r="D93" s="1143"/>
      <c r="E93" s="1143"/>
      <c r="F93" s="1142"/>
      <c r="G93" s="1142"/>
      <c r="H93" s="1142"/>
    </row>
    <row r="95" spans="1:13" s="1016" customFormat="1" ht="15.75" x14ac:dyDescent="0.25">
      <c r="B95" s="1017"/>
      <c r="D95" s="1017"/>
      <c r="E95" s="1017"/>
    </row>
    <row r="96" spans="1:13" x14ac:dyDescent="0.25">
      <c r="C96" s="1147"/>
      <c r="D96" s="1148"/>
      <c r="E96" s="1148"/>
      <c r="F96" s="1147"/>
      <c r="G96" s="1147"/>
      <c r="H96" s="1147"/>
      <c r="I96" s="1147"/>
      <c r="M96" s="1149"/>
    </row>
    <row r="97" spans="3:13" x14ac:dyDescent="0.25">
      <c r="C97" s="1147"/>
      <c r="D97" s="1148"/>
      <c r="E97" s="1148"/>
      <c r="F97" s="1147"/>
      <c r="G97" s="1147"/>
      <c r="H97" s="1147"/>
      <c r="I97" s="1147"/>
      <c r="M97" s="1149"/>
    </row>
    <row r="98" spans="3:13" x14ac:dyDescent="0.25">
      <c r="C98" s="1147"/>
      <c r="D98" s="1148"/>
      <c r="E98" s="1148"/>
      <c r="F98" s="1147"/>
      <c r="G98" s="1147"/>
      <c r="H98" s="1147"/>
      <c r="I98" s="1147"/>
      <c r="M98" s="1149"/>
    </row>
    <row r="99" spans="3:13" x14ac:dyDescent="0.25">
      <c r="C99" s="1147"/>
      <c r="D99" s="1148"/>
      <c r="E99" s="1148"/>
      <c r="F99" s="1147"/>
      <c r="G99" s="1147"/>
      <c r="H99" s="1147"/>
      <c r="I99" s="1147"/>
      <c r="M99" s="1149"/>
    </row>
    <row r="100" spans="3:13" x14ac:dyDescent="0.25">
      <c r="C100" s="1147"/>
      <c r="D100" s="1148"/>
      <c r="E100" s="1148"/>
      <c r="F100" s="1147"/>
      <c r="G100" s="1147"/>
      <c r="H100" s="1147"/>
      <c r="I100" s="1147"/>
      <c r="M100" s="1149"/>
    </row>
  </sheetData>
  <mergeCells count="1">
    <mergeCell ref="C11:D11"/>
  </mergeCells>
  <pageMargins left="0.39370078740157483" right="0.39370078740157483" top="0.98425196850393704" bottom="0.39370078740157483" header="0.31496062992125984" footer="0.31496062992125984"/>
  <pageSetup paperSize="9" orientation="landscape" r:id="rId1"/>
  <ignoredErrors>
    <ignoredError sqref="C1:D5 E40:H40 E92 F92:H92 E16:H16 G37:H37 G39:H39 F14:H14 F15:H15 E19:H20 F17:H17 F18:H18 E23:H23 F21:H22 E26:H26 F24:H25 E29:H30 F27:H28 E33:H33 F31:H32 E36:H36 F34:H35 E43:H43 F41:H42 E47:H48 F44:H46 E51:H51 F49:H50 E54:H55 F52:H53 E59:H59 F56:H58 E62:H62 F60:H61 E65:H65 F63:H64 E68:H68 F66:H67 E72:H73 F69:H71 E76:H76 F74:H75 E79:H80 F77:H78 E83:H83 F81:H82 E86:H86 F84:H85 E89:H90 F87:H88" unlockedFormula="1"/>
    <ignoredError sqref="F91:H91" formulaRange="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00B0F0"/>
  </sheetPr>
  <dimension ref="A1:G84"/>
  <sheetViews>
    <sheetView workbookViewId="0">
      <selection activeCell="I22" sqref="I22"/>
    </sheetView>
  </sheetViews>
  <sheetFormatPr defaultColWidth="9.140625" defaultRowHeight="12.75" x14ac:dyDescent="0.2"/>
  <cols>
    <col min="1" max="1" width="4.140625" style="132" customWidth="1"/>
    <col min="2" max="2" width="55.85546875" style="132" customWidth="1"/>
    <col min="3" max="4" width="13.7109375" style="132" customWidth="1"/>
    <col min="5" max="5" width="13.7109375" style="142" customWidth="1"/>
    <col min="6" max="6" width="13.7109375" style="132" customWidth="1"/>
    <col min="7" max="7" width="22" style="132" customWidth="1"/>
    <col min="8" max="8" width="3.42578125" style="132" customWidth="1"/>
    <col min="9" max="9" width="25.140625" style="132" customWidth="1"/>
    <col min="10" max="10" width="2.28515625" style="132" customWidth="1"/>
    <col min="11" max="11" width="22" style="132" customWidth="1"/>
    <col min="12" max="16384" width="9.140625" style="132"/>
  </cols>
  <sheetData>
    <row r="1" spans="1:6" ht="18.75" x14ac:dyDescent="0.2">
      <c r="A1" s="1197" t="s">
        <v>1172</v>
      </c>
      <c r="B1" s="1197"/>
      <c r="C1" s="1197"/>
    </row>
    <row r="2" spans="1:6" x14ac:dyDescent="0.2">
      <c r="A2" s="132" t="s">
        <v>1073</v>
      </c>
    </row>
    <row r="5" spans="1:6" s="137" customFormat="1" ht="15.75" x14ac:dyDescent="0.25">
      <c r="A5" s="145" t="s">
        <v>124</v>
      </c>
      <c r="B5" s="145" t="s">
        <v>173</v>
      </c>
      <c r="C5" s="145"/>
      <c r="D5" s="145"/>
      <c r="E5" s="146"/>
      <c r="F5" s="134"/>
    </row>
    <row r="6" spans="1:6" x14ac:dyDescent="0.2">
      <c r="A6" s="171"/>
      <c r="B6" s="171" t="s">
        <v>174</v>
      </c>
      <c r="C6" s="171"/>
      <c r="D6" s="171"/>
      <c r="E6" s="178"/>
      <c r="F6" s="1198">
        <v>15</v>
      </c>
    </row>
    <row r="7" spans="1:6" x14ac:dyDescent="0.2">
      <c r="A7" s="172"/>
      <c r="B7" s="172" t="s">
        <v>175</v>
      </c>
      <c r="C7" s="172"/>
      <c r="D7" s="172"/>
      <c r="E7" s="179"/>
      <c r="F7" s="1199">
        <v>12</v>
      </c>
    </row>
    <row r="8" spans="1:6" x14ac:dyDescent="0.2">
      <c r="A8" s="181"/>
      <c r="B8" s="181" t="s">
        <v>1067</v>
      </c>
      <c r="C8" s="181"/>
      <c r="D8" s="181"/>
      <c r="E8" s="769"/>
      <c r="F8" s="1200">
        <v>8</v>
      </c>
    </row>
    <row r="9" spans="1:6" x14ac:dyDescent="0.2">
      <c r="A9" s="181"/>
      <c r="B9" s="181" t="s">
        <v>1065</v>
      </c>
      <c r="C9" s="181"/>
      <c r="D9" s="182"/>
      <c r="E9" s="181"/>
      <c r="F9" s="1200">
        <v>6</v>
      </c>
    </row>
    <row r="10" spans="1:6" s="136" customFormat="1" x14ac:dyDescent="0.2">
      <c r="A10" s="173"/>
      <c r="B10" s="173" t="s">
        <v>1066</v>
      </c>
      <c r="C10" s="173"/>
      <c r="D10" s="173"/>
      <c r="E10" s="183"/>
      <c r="F10" s="1201">
        <f>+F9*5</f>
        <v>30</v>
      </c>
    </row>
    <row r="11" spans="1:6" x14ac:dyDescent="0.2">
      <c r="C11" s="1202" t="s">
        <v>127</v>
      </c>
      <c r="D11" s="1202" t="s">
        <v>128</v>
      </c>
      <c r="E11" s="132"/>
    </row>
    <row r="12" spans="1:6" x14ac:dyDescent="0.2">
      <c r="A12" s="171"/>
      <c r="B12" s="171" t="s">
        <v>1173</v>
      </c>
      <c r="C12" s="1203">
        <v>2220.9499999999998</v>
      </c>
      <c r="D12" s="1203">
        <f>+C12*12</f>
        <v>26651.399999999998</v>
      </c>
      <c r="E12" s="1204"/>
      <c r="F12" s="1205"/>
    </row>
    <row r="13" spans="1:6" x14ac:dyDescent="0.2">
      <c r="A13" s="172"/>
      <c r="B13" s="1206" t="s">
        <v>1174</v>
      </c>
      <c r="C13" s="1207">
        <v>1445.12</v>
      </c>
      <c r="D13" s="1207">
        <f>+C13*12</f>
        <v>17341.439999999999</v>
      </c>
      <c r="E13" s="1208"/>
      <c r="F13" s="1209"/>
    </row>
    <row r="14" spans="1:6" x14ac:dyDescent="0.2">
      <c r="A14" s="173"/>
      <c r="B14" s="1210" t="s">
        <v>130</v>
      </c>
      <c r="C14" s="1211">
        <f>+C12/C13</f>
        <v>1.5368619906997343</v>
      </c>
      <c r="D14" s="1211">
        <f>+D12/D13</f>
        <v>1.5368619906997343</v>
      </c>
      <c r="E14" s="147"/>
      <c r="F14" s="152"/>
    </row>
    <row r="15" spans="1:6" x14ac:dyDescent="0.2">
      <c r="A15" s="140"/>
      <c r="B15" s="1212"/>
      <c r="C15" s="1213"/>
      <c r="D15" s="1213"/>
      <c r="E15" s="184"/>
      <c r="F15" s="185"/>
    </row>
    <row r="16" spans="1:6" x14ac:dyDescent="0.2">
      <c r="A16" s="1214"/>
      <c r="B16" s="1215">
        <v>2024</v>
      </c>
      <c r="C16" s="1215"/>
      <c r="D16" s="1215"/>
      <c r="E16" s="1202" t="s">
        <v>178</v>
      </c>
      <c r="F16" s="1202" t="s">
        <v>179</v>
      </c>
    </row>
    <row r="17" spans="1:6" x14ac:dyDescent="0.2">
      <c r="A17" s="171"/>
      <c r="B17" s="171" t="s">
        <v>23</v>
      </c>
      <c r="C17" s="171"/>
      <c r="D17" s="171"/>
      <c r="E17" s="1216">
        <v>250</v>
      </c>
      <c r="F17" s="171"/>
    </row>
    <row r="18" spans="1:6" x14ac:dyDescent="0.2">
      <c r="A18" s="172"/>
      <c r="B18" s="172" t="s">
        <v>24</v>
      </c>
      <c r="C18" s="172"/>
      <c r="D18" s="172"/>
      <c r="E18" s="1217">
        <v>12</v>
      </c>
      <c r="F18" s="172"/>
    </row>
    <row r="19" spans="1:6" x14ac:dyDescent="0.2">
      <c r="A19" s="172"/>
      <c r="B19" s="172" t="s">
        <v>180</v>
      </c>
      <c r="C19" s="172"/>
      <c r="D19" s="172"/>
      <c r="E19" s="1217">
        <v>25</v>
      </c>
      <c r="F19" s="172"/>
    </row>
    <row r="20" spans="1:6" x14ac:dyDescent="0.2">
      <c r="A20" s="172"/>
      <c r="B20" s="172" t="s">
        <v>181</v>
      </c>
      <c r="C20" s="172"/>
      <c r="D20" s="172"/>
      <c r="E20" s="1217">
        <v>5</v>
      </c>
      <c r="F20" s="172"/>
    </row>
    <row r="21" spans="1:6" x14ac:dyDescent="0.2">
      <c r="A21" s="173"/>
      <c r="B21" s="173" t="s">
        <v>182</v>
      </c>
      <c r="C21" s="173"/>
      <c r="D21" s="173"/>
      <c r="E21" s="1217">
        <v>5</v>
      </c>
      <c r="F21" s="173"/>
    </row>
    <row r="22" spans="1:6" x14ac:dyDescent="0.2">
      <c r="A22" s="141"/>
      <c r="B22" s="1218" t="s">
        <v>1069</v>
      </c>
      <c r="C22" s="1260"/>
      <c r="D22" s="1260"/>
      <c r="E22" s="1261">
        <f>+E17-E19-E20-E21</f>
        <v>215</v>
      </c>
      <c r="F22" s="1260"/>
    </row>
    <row r="23" spans="1:6" x14ac:dyDescent="0.2">
      <c r="A23" s="180"/>
      <c r="B23" s="172" t="s">
        <v>1070</v>
      </c>
      <c r="C23" s="180"/>
      <c r="D23" s="180"/>
      <c r="E23" s="1219">
        <f>+E22/12</f>
        <v>17.916666666666668</v>
      </c>
      <c r="F23" s="180"/>
    </row>
    <row r="24" spans="1:6" x14ac:dyDescent="0.2">
      <c r="E24" s="1220"/>
    </row>
    <row r="25" spans="1:6" x14ac:dyDescent="0.2">
      <c r="C25" s="138"/>
      <c r="D25" s="133"/>
    </row>
    <row r="26" spans="1:6" s="137" customFormat="1" ht="15.75" x14ac:dyDescent="0.25">
      <c r="A26" s="145" t="s">
        <v>124</v>
      </c>
      <c r="B26" s="145" t="s">
        <v>125</v>
      </c>
      <c r="C26" s="145"/>
      <c r="D26" s="145"/>
      <c r="E26" s="146"/>
      <c r="F26" s="134"/>
    </row>
    <row r="27" spans="1:6" ht="15" customHeight="1" x14ac:dyDescent="0.2">
      <c r="C27" s="138"/>
      <c r="F27" s="134"/>
    </row>
    <row r="28" spans="1:6" x14ac:dyDescent="0.2">
      <c r="A28" s="1214" t="s">
        <v>126</v>
      </c>
      <c r="B28" s="1215" t="s">
        <v>176</v>
      </c>
      <c r="C28" s="1202" t="s">
        <v>127</v>
      </c>
      <c r="D28" s="1202" t="s">
        <v>128</v>
      </c>
      <c r="E28" s="1221" t="s">
        <v>129</v>
      </c>
      <c r="F28" s="1221"/>
    </row>
    <row r="29" spans="1:6" x14ac:dyDescent="0.2">
      <c r="A29" s="171" t="s">
        <v>3</v>
      </c>
      <c r="B29" s="171" t="s">
        <v>183</v>
      </c>
      <c r="C29" s="1203">
        <f>+C30*C31</f>
        <v>3381.0963795394155</v>
      </c>
      <c r="D29" s="1203">
        <f>+C29*12</f>
        <v>40573.156554472982</v>
      </c>
      <c r="E29" s="1204">
        <f>+C29/$E$23/$F$8</f>
        <v>23.589044508414524</v>
      </c>
      <c r="F29" s="1205"/>
    </row>
    <row r="30" spans="1:6" x14ac:dyDescent="0.2">
      <c r="A30" s="172"/>
      <c r="B30" s="1206" t="s">
        <v>184</v>
      </c>
      <c r="C30" s="1222">
        <v>2200</v>
      </c>
      <c r="D30" s="1207">
        <f>+C30*12</f>
        <v>26400</v>
      </c>
      <c r="E30" s="1208">
        <f>+C30/$E$23/$F$8</f>
        <v>15.348837209302324</v>
      </c>
      <c r="F30" s="1209"/>
    </row>
    <row r="31" spans="1:6" x14ac:dyDescent="0.2">
      <c r="A31" s="173"/>
      <c r="B31" s="1210" t="s">
        <v>130</v>
      </c>
      <c r="C31" s="1211">
        <f>C14</f>
        <v>1.5368619906997343</v>
      </c>
      <c r="D31" s="1211">
        <f>D14</f>
        <v>1.5368619906997343</v>
      </c>
      <c r="E31" s="147"/>
      <c r="F31" s="152"/>
    </row>
    <row r="32" spans="1:6" x14ac:dyDescent="0.2">
      <c r="A32" s="171" t="s">
        <v>4</v>
      </c>
      <c r="B32" s="171" t="s">
        <v>170</v>
      </c>
      <c r="C32" s="1223">
        <v>100</v>
      </c>
      <c r="D32" s="1203">
        <f>+C32*12</f>
        <v>1200</v>
      </c>
      <c r="E32" s="1224"/>
      <c r="F32" s="1225"/>
    </row>
    <row r="33" spans="1:7" x14ac:dyDescent="0.2">
      <c r="A33" s="172" t="s">
        <v>5</v>
      </c>
      <c r="B33" s="172" t="s">
        <v>171</v>
      </c>
      <c r="C33" s="1222">
        <v>50</v>
      </c>
      <c r="D33" s="1207">
        <f>+C33*12</f>
        <v>600</v>
      </c>
      <c r="E33" s="1226"/>
      <c r="F33" s="1227"/>
    </row>
    <row r="34" spans="1:7" ht="14.25" customHeight="1" x14ac:dyDescent="0.2">
      <c r="A34" s="173" t="s">
        <v>109</v>
      </c>
      <c r="B34" s="173" t="s">
        <v>172</v>
      </c>
      <c r="C34" s="1228"/>
      <c r="D34" s="1229">
        <v>1500</v>
      </c>
      <c r="E34" s="1211"/>
      <c r="F34" s="1230"/>
    </row>
    <row r="35" spans="1:7" ht="14.25" customHeight="1" x14ac:dyDescent="0.2">
      <c r="A35" s="1231"/>
      <c r="B35" s="1231" t="s">
        <v>131</v>
      </c>
      <c r="C35" s="1232">
        <f>+C34+C33+C32+C29</f>
        <v>3531.0963795394155</v>
      </c>
      <c r="D35" s="1232">
        <f>+D34+D33+D32+D29</f>
        <v>43873.156554472982</v>
      </c>
      <c r="E35" s="1233"/>
      <c r="F35" s="1233"/>
    </row>
    <row r="36" spans="1:7" ht="14.25" customHeight="1" x14ac:dyDescent="0.2">
      <c r="C36" s="1234"/>
      <c r="D36" s="1234"/>
      <c r="E36" s="1234"/>
      <c r="F36" s="1221" t="s">
        <v>169</v>
      </c>
    </row>
    <row r="37" spans="1:7" s="141" customFormat="1" ht="14.25" customHeight="1" x14ac:dyDescent="0.2">
      <c r="A37" s="149"/>
      <c r="B37" s="149" t="s">
        <v>177</v>
      </c>
      <c r="C37" s="1235">
        <f>+C35*F6</f>
        <v>52966.445693091235</v>
      </c>
      <c r="D37" s="1235">
        <f>+D35*F6</f>
        <v>658097.34831709473</v>
      </c>
      <c r="E37" s="149"/>
      <c r="F37" s="150">
        <f>+D37/D67</f>
        <v>0.69214583741060753</v>
      </c>
    </row>
    <row r="38" spans="1:7" ht="14.25" customHeight="1" x14ac:dyDescent="0.2">
      <c r="C38" s="1234"/>
      <c r="D38" s="1234"/>
      <c r="E38" s="144"/>
      <c r="F38" s="153"/>
    </row>
    <row r="39" spans="1:7" ht="14.25" customHeight="1" x14ac:dyDescent="0.2">
      <c r="A39" s="1214" t="s">
        <v>132</v>
      </c>
      <c r="B39" s="1215" t="s">
        <v>133</v>
      </c>
      <c r="C39" s="1202"/>
      <c r="D39" s="1202" t="s">
        <v>128</v>
      </c>
      <c r="E39" s="1221"/>
      <c r="F39" s="154"/>
    </row>
    <row r="40" spans="1:7" ht="14.25" customHeight="1" x14ac:dyDescent="0.2">
      <c r="A40" s="171" t="s">
        <v>3</v>
      </c>
      <c r="B40" s="171" t="s">
        <v>134</v>
      </c>
      <c r="C40" s="171"/>
      <c r="D40" s="1223">
        <v>18000</v>
      </c>
      <c r="E40" s="165"/>
      <c r="F40" s="166"/>
      <c r="G40" s="139"/>
    </row>
    <row r="41" spans="1:7" ht="25.5" x14ac:dyDescent="0.2">
      <c r="A41" s="172" t="s">
        <v>4</v>
      </c>
      <c r="B41" s="1236" t="s">
        <v>165</v>
      </c>
      <c r="C41" s="172"/>
      <c r="D41" s="1222">
        <f>3600*F6</f>
        <v>54000</v>
      </c>
      <c r="E41" s="167"/>
      <c r="F41" s="168"/>
    </row>
    <row r="42" spans="1:7" ht="14.25" customHeight="1" x14ac:dyDescent="0.2">
      <c r="A42" s="172" t="s">
        <v>5</v>
      </c>
      <c r="B42" s="172" t="s">
        <v>166</v>
      </c>
      <c r="C42" s="172"/>
      <c r="D42" s="1222">
        <v>6000</v>
      </c>
      <c r="E42" s="167"/>
      <c r="F42" s="168"/>
    </row>
    <row r="43" spans="1:7" ht="14.25" customHeight="1" x14ac:dyDescent="0.2">
      <c r="A43" s="172" t="s">
        <v>109</v>
      </c>
      <c r="B43" s="172" t="s">
        <v>135</v>
      </c>
      <c r="C43" s="172"/>
      <c r="D43" s="1222">
        <v>10000</v>
      </c>
      <c r="E43" s="167"/>
      <c r="F43" s="168"/>
    </row>
    <row r="44" spans="1:7" ht="14.25" customHeight="1" x14ac:dyDescent="0.2">
      <c r="A44" s="172" t="s">
        <v>110</v>
      </c>
      <c r="B44" s="172" t="s">
        <v>136</v>
      </c>
      <c r="C44" s="172"/>
      <c r="D44" s="1222">
        <v>6000</v>
      </c>
      <c r="E44" s="167"/>
      <c r="F44" s="168"/>
    </row>
    <row r="45" spans="1:7" ht="14.25" customHeight="1" x14ac:dyDescent="0.2">
      <c r="A45" s="172" t="s">
        <v>6</v>
      </c>
      <c r="B45" s="172" t="s">
        <v>137</v>
      </c>
      <c r="C45" s="172"/>
      <c r="D45" s="1222">
        <v>18000</v>
      </c>
      <c r="E45" s="167"/>
      <c r="F45" s="168"/>
    </row>
    <row r="46" spans="1:7" ht="14.25" customHeight="1" x14ac:dyDescent="0.2">
      <c r="A46" s="172" t="s">
        <v>138</v>
      </c>
      <c r="B46" s="172" t="s">
        <v>139</v>
      </c>
      <c r="C46" s="172"/>
      <c r="D46" s="1222">
        <v>12000</v>
      </c>
      <c r="E46" s="167"/>
      <c r="F46" s="168"/>
    </row>
    <row r="47" spans="1:7" ht="14.25" customHeight="1" x14ac:dyDescent="0.2">
      <c r="A47" s="172" t="s">
        <v>7</v>
      </c>
      <c r="B47" s="172" t="s">
        <v>140</v>
      </c>
      <c r="C47" s="172"/>
      <c r="D47" s="1222">
        <v>24000</v>
      </c>
      <c r="E47" s="167"/>
      <c r="F47" s="168"/>
    </row>
    <row r="48" spans="1:7" ht="14.25" customHeight="1" x14ac:dyDescent="0.2">
      <c r="A48" s="172" t="s">
        <v>8</v>
      </c>
      <c r="B48" s="172" t="s">
        <v>141</v>
      </c>
      <c r="C48" s="172"/>
      <c r="D48" s="1222">
        <v>19200</v>
      </c>
      <c r="E48" s="167"/>
      <c r="F48" s="168"/>
    </row>
    <row r="49" spans="1:6" ht="14.25" customHeight="1" x14ac:dyDescent="0.2">
      <c r="A49" s="172" t="s">
        <v>9</v>
      </c>
      <c r="B49" s="172" t="s">
        <v>142</v>
      </c>
      <c r="C49" s="172"/>
      <c r="D49" s="1222">
        <v>1800</v>
      </c>
      <c r="E49" s="167"/>
      <c r="F49" s="168"/>
    </row>
    <row r="50" spans="1:6" ht="14.25" customHeight="1" x14ac:dyDescent="0.2">
      <c r="A50" s="172" t="s">
        <v>10</v>
      </c>
      <c r="B50" s="172" t="s">
        <v>143</v>
      </c>
      <c r="C50" s="172"/>
      <c r="D50" s="1222">
        <v>3000</v>
      </c>
      <c r="E50" s="167"/>
      <c r="F50" s="168"/>
    </row>
    <row r="51" spans="1:6" ht="14.25" customHeight="1" x14ac:dyDescent="0.2">
      <c r="A51" s="172" t="s">
        <v>11</v>
      </c>
      <c r="B51" s="172" t="s">
        <v>144</v>
      </c>
      <c r="C51" s="172"/>
      <c r="D51" s="1222">
        <v>9000</v>
      </c>
      <c r="E51" s="167"/>
      <c r="F51" s="168"/>
    </row>
    <row r="52" spans="1:6" ht="14.25" customHeight="1" x14ac:dyDescent="0.2">
      <c r="A52" s="172" t="s">
        <v>12</v>
      </c>
      <c r="B52" s="172" t="s">
        <v>145</v>
      </c>
      <c r="C52" s="172"/>
      <c r="D52" s="1222">
        <v>3600</v>
      </c>
      <c r="E52" s="167"/>
      <c r="F52" s="168"/>
    </row>
    <row r="53" spans="1:6" ht="14.25" customHeight="1" x14ac:dyDescent="0.2">
      <c r="A53" s="172" t="s">
        <v>13</v>
      </c>
      <c r="B53" s="172" t="s">
        <v>146</v>
      </c>
      <c r="C53" s="172"/>
      <c r="D53" s="1222">
        <v>8000</v>
      </c>
      <c r="E53" s="167"/>
      <c r="F53" s="168"/>
    </row>
    <row r="54" spans="1:6" ht="14.25" customHeight="1" x14ac:dyDescent="0.2">
      <c r="A54" s="172" t="s">
        <v>14</v>
      </c>
      <c r="B54" s="172" t="s">
        <v>147</v>
      </c>
      <c r="C54" s="172"/>
      <c r="D54" s="1222">
        <v>13000</v>
      </c>
      <c r="E54" s="167"/>
      <c r="F54" s="168"/>
    </row>
    <row r="55" spans="1:6" ht="14.25" customHeight="1" x14ac:dyDescent="0.2">
      <c r="A55" s="172" t="s">
        <v>15</v>
      </c>
      <c r="B55" s="172" t="s">
        <v>148</v>
      </c>
      <c r="C55" s="172"/>
      <c r="D55" s="1222">
        <v>12000</v>
      </c>
      <c r="E55" s="167"/>
      <c r="F55" s="168"/>
    </row>
    <row r="56" spans="1:6" ht="14.25" customHeight="1" x14ac:dyDescent="0.2">
      <c r="A56" s="172" t="s">
        <v>16</v>
      </c>
      <c r="B56" s="172" t="s">
        <v>149</v>
      </c>
      <c r="C56" s="172"/>
      <c r="D56" s="1222">
        <v>4500</v>
      </c>
      <c r="E56" s="167"/>
      <c r="F56" s="168"/>
    </row>
    <row r="57" spans="1:6" ht="14.25" customHeight="1" x14ac:dyDescent="0.2">
      <c r="A57" s="172" t="s">
        <v>17</v>
      </c>
      <c r="B57" s="172" t="s">
        <v>150</v>
      </c>
      <c r="C57" s="172"/>
      <c r="D57" s="1222">
        <v>1000</v>
      </c>
      <c r="E57" s="167"/>
      <c r="F57" s="168"/>
    </row>
    <row r="58" spans="1:6" ht="14.25" customHeight="1" x14ac:dyDescent="0.2">
      <c r="A58" s="172" t="s">
        <v>18</v>
      </c>
      <c r="B58" s="172" t="s">
        <v>151</v>
      </c>
      <c r="C58" s="172"/>
      <c r="D58" s="1222">
        <v>18000</v>
      </c>
      <c r="E58" s="167"/>
      <c r="F58" s="168"/>
    </row>
    <row r="59" spans="1:6" ht="14.25" customHeight="1" x14ac:dyDescent="0.2">
      <c r="A59" s="172" t="s">
        <v>19</v>
      </c>
      <c r="B59" s="172" t="s">
        <v>152</v>
      </c>
      <c r="C59" s="172"/>
      <c r="D59" s="1222">
        <v>3000</v>
      </c>
      <c r="E59" s="167"/>
      <c r="F59" s="168"/>
    </row>
    <row r="60" spans="1:6" ht="14.25" customHeight="1" x14ac:dyDescent="0.2">
      <c r="A60" s="172" t="s">
        <v>20</v>
      </c>
      <c r="B60" s="172" t="s">
        <v>153</v>
      </c>
      <c r="C60" s="172"/>
      <c r="D60" s="1222">
        <v>2000</v>
      </c>
      <c r="E60" s="167"/>
      <c r="F60" s="168"/>
    </row>
    <row r="61" spans="1:6" ht="14.25" customHeight="1" x14ac:dyDescent="0.2">
      <c r="A61" s="172" t="s">
        <v>21</v>
      </c>
      <c r="B61" s="172" t="s">
        <v>154</v>
      </c>
      <c r="C61" s="172"/>
      <c r="D61" s="1222">
        <v>8000</v>
      </c>
      <c r="E61" s="167"/>
      <c r="F61" s="168"/>
    </row>
    <row r="62" spans="1:6" ht="14.25" customHeight="1" x14ac:dyDescent="0.2">
      <c r="A62" s="173" t="s">
        <v>22</v>
      </c>
      <c r="B62" s="173" t="s">
        <v>155</v>
      </c>
      <c r="C62" s="173"/>
      <c r="D62" s="1229">
        <v>12000</v>
      </c>
      <c r="E62" s="169"/>
      <c r="F62" s="170"/>
    </row>
    <row r="63" spans="1:6" s="138" customFormat="1" ht="14.25" customHeight="1" x14ac:dyDescent="0.2">
      <c r="A63" s="149"/>
      <c r="B63" s="149" t="s">
        <v>156</v>
      </c>
      <c r="C63" s="149"/>
      <c r="D63" s="1237">
        <f>SUM(D40:D62)</f>
        <v>266100</v>
      </c>
      <c r="F63" s="150">
        <f>+D63/D67</f>
        <v>0.27986742053581132</v>
      </c>
    </row>
    <row r="64" spans="1:6" ht="14.25" customHeight="1" x14ac:dyDescent="0.2">
      <c r="A64" s="159"/>
      <c r="B64" s="1238"/>
      <c r="C64" s="1239"/>
      <c r="D64" s="1240"/>
      <c r="E64" s="151"/>
      <c r="F64" s="155"/>
    </row>
    <row r="65" spans="1:6" ht="14.25" customHeight="1" x14ac:dyDescent="0.2">
      <c r="A65" s="1241" t="s">
        <v>157</v>
      </c>
      <c r="B65" s="1241" t="s">
        <v>167</v>
      </c>
      <c r="C65" s="1242"/>
      <c r="D65" s="1237">
        <f>+D63*0.1</f>
        <v>26610</v>
      </c>
      <c r="E65" s="151"/>
      <c r="F65" s="150">
        <f>+D65/D67</f>
        <v>2.7986742053581135E-2</v>
      </c>
    </row>
    <row r="66" spans="1:6" ht="14.25" customHeight="1" thickBot="1" x14ac:dyDescent="0.25">
      <c r="A66" s="160"/>
      <c r="B66" s="160"/>
      <c r="C66" s="1243"/>
      <c r="D66" s="1244"/>
      <c r="E66" s="161"/>
      <c r="F66" s="162"/>
    </row>
    <row r="67" spans="1:6" ht="14.25" customHeight="1" thickBot="1" x14ac:dyDescent="0.25">
      <c r="A67" s="1245"/>
      <c r="B67" s="1245" t="s">
        <v>158</v>
      </c>
      <c r="C67" s="1246"/>
      <c r="D67" s="1247">
        <f>+D65+D63+D37</f>
        <v>950807.34831709473</v>
      </c>
      <c r="E67" s="163"/>
      <c r="F67" s="164">
        <v>1</v>
      </c>
    </row>
    <row r="68" spans="1:6" ht="16.5" customHeight="1" x14ac:dyDescent="0.2">
      <c r="C68" s="1234"/>
      <c r="D68" s="1234"/>
      <c r="E68" s="132"/>
      <c r="F68" s="156"/>
    </row>
    <row r="69" spans="1:6" ht="16.5" customHeight="1" x14ac:dyDescent="0.2">
      <c r="C69" s="1234"/>
      <c r="D69" s="1234"/>
      <c r="E69" s="132"/>
      <c r="F69" s="156"/>
    </row>
    <row r="70" spans="1:6" ht="13.5" customHeight="1" x14ac:dyDescent="0.25">
      <c r="A70" s="145" t="s">
        <v>159</v>
      </c>
      <c r="B70" s="145" t="s">
        <v>160</v>
      </c>
      <c r="C70" s="145"/>
      <c r="D70" s="145"/>
      <c r="E70" s="135"/>
      <c r="F70" s="146"/>
    </row>
    <row r="71" spans="1:6" ht="13.5" customHeight="1" x14ac:dyDescent="0.2">
      <c r="E71" s="132"/>
      <c r="F71" s="156"/>
    </row>
    <row r="72" spans="1:6" s="138" customFormat="1" ht="13.5" customHeight="1" x14ac:dyDescent="0.2">
      <c r="A72" s="1241" t="s">
        <v>126</v>
      </c>
      <c r="B72" s="1241" t="s">
        <v>1071</v>
      </c>
      <c r="C72" s="1248" t="s">
        <v>127</v>
      </c>
      <c r="D72" s="1248" t="s">
        <v>128</v>
      </c>
      <c r="E72" s="1221"/>
      <c r="F72" s="1221"/>
    </row>
    <row r="73" spans="1:6" ht="13.5" customHeight="1" x14ac:dyDescent="0.2">
      <c r="A73" s="171"/>
      <c r="B73" s="171" t="s">
        <v>1068</v>
      </c>
      <c r="C73" s="1203">
        <f>+E23*F9*F7</f>
        <v>1290</v>
      </c>
      <c r="D73" s="1203">
        <f>+C73*12</f>
        <v>15480</v>
      </c>
      <c r="E73" s="171"/>
      <c r="F73" s="770">
        <f>+D73/D74</f>
        <v>0.6</v>
      </c>
    </row>
    <row r="74" spans="1:6" ht="13.5" customHeight="1" x14ac:dyDescent="0.2">
      <c r="B74" s="132" t="s">
        <v>1072</v>
      </c>
      <c r="C74" s="1249">
        <f>+F6*E23*F8</f>
        <v>2150</v>
      </c>
      <c r="D74" s="1249">
        <f>+C74*12</f>
        <v>25800</v>
      </c>
      <c r="E74" s="132"/>
      <c r="F74" s="156"/>
    </row>
    <row r="75" spans="1:6" ht="13.5" customHeight="1" x14ac:dyDescent="0.2">
      <c r="A75" s="140"/>
      <c r="B75" s="140"/>
      <c r="C75" s="1213"/>
      <c r="D75" s="1250"/>
      <c r="E75" s="140"/>
      <c r="F75" s="158"/>
    </row>
    <row r="76" spans="1:6" ht="13.5" customHeight="1" x14ac:dyDescent="0.2">
      <c r="A76" s="159"/>
      <c r="B76" s="149" t="s">
        <v>161</v>
      </c>
      <c r="C76" s="1251"/>
      <c r="D76" s="1235">
        <f>+D73</f>
        <v>15480</v>
      </c>
      <c r="E76" s="159"/>
      <c r="F76" s="150"/>
    </row>
    <row r="77" spans="1:6" ht="13.5" customHeight="1" x14ac:dyDescent="0.2">
      <c r="C77" s="1234"/>
      <c r="D77" s="1234"/>
      <c r="E77" s="143"/>
      <c r="F77" s="157"/>
    </row>
    <row r="78" spans="1:6" ht="13.5" customHeight="1" x14ac:dyDescent="0.2">
      <c r="C78" s="1234"/>
      <c r="D78" s="1234"/>
      <c r="E78" s="143"/>
      <c r="F78" s="157"/>
    </row>
    <row r="79" spans="1:6" ht="13.5" customHeight="1" x14ac:dyDescent="0.2">
      <c r="A79" s="149" t="s">
        <v>132</v>
      </c>
      <c r="B79" s="149" t="s">
        <v>162</v>
      </c>
      <c r="C79" s="1251"/>
      <c r="D79" s="174"/>
      <c r="E79" s="174"/>
      <c r="F79" s="1252">
        <f>+D67/D76</f>
        <v>61.421663327977697</v>
      </c>
    </row>
    <row r="80" spans="1:6" ht="13.5" customHeight="1" x14ac:dyDescent="0.2">
      <c r="C80" s="1234"/>
      <c r="D80" s="143"/>
      <c r="E80" s="143"/>
      <c r="F80" s="1234"/>
    </row>
    <row r="81" spans="1:6" ht="13.5" customHeight="1" x14ac:dyDescent="0.2">
      <c r="C81" s="1234"/>
      <c r="D81" s="143"/>
      <c r="E81" s="143"/>
      <c r="F81" s="1234"/>
    </row>
    <row r="82" spans="1:6" ht="13.5" customHeight="1" x14ac:dyDescent="0.2">
      <c r="A82" s="1241" t="s">
        <v>157</v>
      </c>
      <c r="B82" s="1241" t="s">
        <v>163</v>
      </c>
      <c r="C82" s="1242"/>
      <c r="D82" s="148"/>
      <c r="E82" s="148"/>
      <c r="F82" s="1242"/>
    </row>
    <row r="83" spans="1:6" ht="13.5" customHeight="1" x14ac:dyDescent="0.2">
      <c r="A83" s="149"/>
      <c r="B83" s="175" t="s">
        <v>164</v>
      </c>
      <c r="C83" s="1251"/>
      <c r="D83" s="176"/>
      <c r="E83" s="176"/>
      <c r="F83" s="1253">
        <f>+F79/E29</f>
        <v>2.6038215878590494</v>
      </c>
    </row>
    <row r="84" spans="1:6" x14ac:dyDescent="0.2">
      <c r="A84" s="149"/>
      <c r="B84" s="175" t="s">
        <v>168</v>
      </c>
      <c r="C84" s="149"/>
      <c r="D84" s="177"/>
      <c r="E84" s="177"/>
      <c r="F84" s="1253">
        <f>+F79/E30</f>
        <v>4.0017144289440019</v>
      </c>
    </row>
  </sheetData>
  <pageMargins left="0.7" right="0.7" top="0.75" bottom="0.75" header="0.3" footer="0.3"/>
  <pageSetup paperSize="9" orientation="portrait" horizontalDpi="1200" verticalDpi="1200" r:id="rId1"/>
  <ignoredErrors>
    <ignoredError sqref="C29:F29 C32:F84 C31 E31:F31 E22:E23 C14:D14 F10 D12 D13 D30:F30" unlockedFormula="1"/>
    <ignoredError sqref="D31"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77FE-92A5-46EF-8ED9-1CC8AC536F93}">
  <sheetPr codeName="Sheet7"/>
  <dimension ref="A1:AA184"/>
  <sheetViews>
    <sheetView workbookViewId="0">
      <selection activeCell="H40" sqref="H40"/>
    </sheetView>
  </sheetViews>
  <sheetFormatPr defaultRowHeight="12.75" x14ac:dyDescent="0.2"/>
  <cols>
    <col min="2" max="2" width="28.42578125" customWidth="1"/>
    <col min="3" max="3" width="12.7109375" customWidth="1"/>
    <col min="4" max="4" width="11.7109375" customWidth="1"/>
    <col min="5" max="5" width="17.42578125" customWidth="1"/>
    <col min="6" max="7" width="11.7109375" customWidth="1"/>
    <col min="8" max="8" width="15.5703125" customWidth="1"/>
    <col min="9" max="9" width="11.7109375" customWidth="1"/>
    <col min="10" max="10" width="18.5703125" customWidth="1"/>
    <col min="11" max="11" width="15.42578125" customWidth="1"/>
    <col min="12" max="12" width="11.7109375" customWidth="1"/>
    <col min="14" max="14" width="28.85546875" customWidth="1"/>
    <col min="15" max="20" width="12" customWidth="1"/>
    <col min="21" max="21" width="10.85546875" style="478" bestFit="1" customWidth="1"/>
    <col min="22" max="22" width="13.7109375" style="478" customWidth="1"/>
    <col min="23" max="23" width="13.140625" style="478" customWidth="1"/>
    <col min="24" max="24" width="16" style="478" customWidth="1"/>
    <col min="25" max="27" width="9.140625" style="478"/>
  </cols>
  <sheetData>
    <row r="1" spans="1:9" s="3" customFormat="1" ht="26.25" x14ac:dyDescent="0.4">
      <c r="B1" s="723" t="s">
        <v>933</v>
      </c>
      <c r="C1" s="6"/>
      <c r="D1" s="6"/>
      <c r="E1" s="6"/>
      <c r="F1" s="6"/>
      <c r="G1" s="6"/>
      <c r="H1" s="6"/>
      <c r="I1" s="514"/>
    </row>
    <row r="2" spans="1:9" ht="13.5" thickBot="1" x14ac:dyDescent="0.25"/>
    <row r="3" spans="1:9" s="77" customFormat="1" ht="18.75" x14ac:dyDescent="0.2">
      <c r="A3" s="807" t="s">
        <v>1091</v>
      </c>
      <c r="B3" s="807"/>
      <c r="C3" s="807"/>
      <c r="D3" s="807"/>
      <c r="E3" s="807"/>
      <c r="F3" s="807"/>
      <c r="G3" s="807"/>
      <c r="H3" s="807"/>
      <c r="I3" s="807"/>
    </row>
    <row r="4" spans="1:9" s="77" customFormat="1" ht="18.75" x14ac:dyDescent="0.2">
      <c r="A4" s="856"/>
      <c r="B4" s="856"/>
      <c r="C4" s="856"/>
      <c r="D4" s="856"/>
      <c r="E4" s="856"/>
      <c r="F4" s="856"/>
      <c r="G4" s="856"/>
      <c r="H4" s="856"/>
      <c r="I4" s="856"/>
    </row>
    <row r="5" spans="1:9" s="77" customFormat="1" x14ac:dyDescent="0.2">
      <c r="A5" s="80"/>
      <c r="B5" s="538" t="s">
        <v>941</v>
      </c>
      <c r="C5" s="641">
        <f>'OSNOVNI PODATKI'!H11</f>
        <v>1</v>
      </c>
      <c r="D5" s="538" t="str">
        <f>IF(C5=1,'OSNOVNI PODATKI'!B11,'OSNOVNI PODATKI'!B12)</f>
        <v>ENA STAVBA Z RAZLIČNIMI DELI (PRI IZRAČUNU POTREBNIH NU SE UPOŠTEVA SEŠTEVEK POVRŠIN VSEH DELOV)</v>
      </c>
      <c r="E5" s="498"/>
      <c r="F5" s="498"/>
      <c r="G5" s="207"/>
      <c r="H5" s="207"/>
      <c r="I5" s="207"/>
    </row>
    <row r="6" spans="1:9" s="77" customFormat="1" x14ac:dyDescent="0.2">
      <c r="A6" s="80"/>
      <c r="B6" s="538" t="s">
        <v>942</v>
      </c>
      <c r="C6" s="618">
        <f>'OSNOVNI PODATKI'!E329</f>
        <v>400</v>
      </c>
      <c r="D6" s="538"/>
      <c r="E6" s="498"/>
      <c r="F6" s="498"/>
      <c r="G6" s="207"/>
      <c r="H6" s="207"/>
      <c r="I6" s="207"/>
    </row>
    <row r="7" spans="1:9" s="77" customFormat="1" x14ac:dyDescent="0.2">
      <c r="A7" s="80"/>
      <c r="D7" s="209"/>
      <c r="E7" s="209"/>
      <c r="F7" s="209"/>
    </row>
    <row r="8" spans="1:9" s="77" customFormat="1" x14ac:dyDescent="0.2">
      <c r="A8" s="80"/>
      <c r="B8" s="209" t="str">
        <f>'OSNOVNI PODATKI'!A15</f>
        <v>STAVBA 1 / DEL 1</v>
      </c>
      <c r="C8" s="541">
        <f>'OSNOVNI PODATKI'!E15</f>
        <v>0</v>
      </c>
      <c r="D8" s="209"/>
      <c r="E8" s="209"/>
      <c r="F8" s="209"/>
    </row>
    <row r="9" spans="1:9" s="77" customFormat="1" x14ac:dyDescent="0.2">
      <c r="A9" s="80"/>
      <c r="B9" s="202" t="s">
        <v>718</v>
      </c>
      <c r="C9" s="84" t="str">
        <f>'OSNOVNI PODATKI'!E16</f>
        <v>Večstanovanjske stavbe ali skupine stanovanjskih stavb v strnjeni pozidavi, srednji standard</v>
      </c>
      <c r="D9" s="498"/>
      <c r="E9" s="498"/>
      <c r="F9" s="498"/>
      <c r="G9" s="498"/>
      <c r="H9" s="498"/>
      <c r="I9" s="498"/>
    </row>
    <row r="10" spans="1:9" s="77" customFormat="1" x14ac:dyDescent="0.2">
      <c r="A10" s="80"/>
      <c r="B10" s="202" t="s">
        <v>943</v>
      </c>
      <c r="C10" s="84">
        <f>'OSNOVNI PODATKI'!E17</f>
        <v>400</v>
      </c>
      <c r="D10" s="498"/>
      <c r="E10" s="498"/>
      <c r="F10" s="498"/>
      <c r="G10" s="498"/>
      <c r="H10" s="498"/>
      <c r="I10" s="498"/>
    </row>
    <row r="11" spans="1:9" s="77" customFormat="1" x14ac:dyDescent="0.2">
      <c r="A11" s="80"/>
      <c r="B11" s="202" t="s">
        <v>944</v>
      </c>
      <c r="C11" s="84">
        <f>IF($C$5=1,$C$6,C10)</f>
        <v>400</v>
      </c>
      <c r="D11" s="498"/>
      <c r="E11" s="498"/>
      <c r="F11" s="498"/>
      <c r="G11" s="498"/>
      <c r="H11" s="498"/>
      <c r="I11" s="498"/>
    </row>
    <row r="12" spans="1:9" s="77" customFormat="1" x14ac:dyDescent="0.2">
      <c r="A12" s="80"/>
      <c r="B12" s="538" t="s">
        <v>878</v>
      </c>
      <c r="C12" s="1296">
        <f>'OSNOVNI PODATKI'!E27</f>
        <v>-13</v>
      </c>
      <c r="D12" s="498"/>
      <c r="E12" s="498"/>
      <c r="F12" s="498"/>
      <c r="G12" s="498"/>
      <c r="H12" s="498"/>
      <c r="I12" s="498"/>
    </row>
    <row r="13" spans="1:9" s="77" customFormat="1" x14ac:dyDescent="0.2">
      <c r="A13" s="80"/>
      <c r="B13" s="538" t="s">
        <v>1033</v>
      </c>
      <c r="C13" s="1297">
        <f>IF((C22+C23+C24)&lt;25%*C21,C11*(1000+C12),(C21-37.5%*C21+50%)*C11*(1000+C12))</f>
        <v>393566.25</v>
      </c>
      <c r="D13" s="498"/>
      <c r="E13" s="498"/>
      <c r="F13" s="498"/>
      <c r="G13" s="498"/>
      <c r="H13" s="498"/>
      <c r="I13" s="498"/>
    </row>
    <row r="14" spans="1:9" s="77" customFormat="1" x14ac:dyDescent="0.2">
      <c r="A14" s="80"/>
      <c r="B14" s="202" t="s">
        <v>116</v>
      </c>
      <c r="C14" s="84" t="str">
        <f>'OSNOVNI PODATKI'!E18</f>
        <v>Cenovni razred III</v>
      </c>
      <c r="D14" s="498"/>
      <c r="E14" s="498"/>
      <c r="F14" s="498"/>
      <c r="G14" s="498"/>
      <c r="H14" s="498"/>
      <c r="I14" s="498"/>
    </row>
    <row r="15" spans="1:9" s="77" customFormat="1" x14ac:dyDescent="0.2">
      <c r="A15" s="80"/>
      <c r="B15" s="530" t="s">
        <v>84</v>
      </c>
      <c r="C15" s="630">
        <f>IFERROR(0.005*POWER(C13,0.8868)/C11,"/")</f>
        <v>1.1443841689088416</v>
      </c>
      <c r="D15" s="631" t="s">
        <v>946</v>
      </c>
      <c r="E15" s="630"/>
      <c r="F15" s="209"/>
    </row>
    <row r="16" spans="1:9" s="77" customFormat="1" x14ac:dyDescent="0.2">
      <c r="A16" s="80"/>
      <c r="B16" s="533" t="s">
        <v>85</v>
      </c>
      <c r="C16" s="632">
        <f>IFERROR(0.0058*POWER(C13,0.8868)/C11,"/")</f>
        <v>1.3274856359342562</v>
      </c>
      <c r="D16" s="633" t="s">
        <v>946</v>
      </c>
      <c r="E16" s="632"/>
      <c r="F16" s="209"/>
    </row>
    <row r="17" spans="1:9" s="77" customFormat="1" x14ac:dyDescent="0.2">
      <c r="A17" s="80"/>
      <c r="B17" s="533" t="s">
        <v>86</v>
      </c>
      <c r="C17" s="632">
        <f>IFERROR(0.0069*POWER(C13,0.8868)/C11,"/")</f>
        <v>1.5792501530942014</v>
      </c>
      <c r="D17" s="633" t="s">
        <v>946</v>
      </c>
      <c r="E17" s="632"/>
      <c r="F17" s="209"/>
    </row>
    <row r="18" spans="1:9" s="77" customFormat="1" x14ac:dyDescent="0.2">
      <c r="A18" s="80"/>
      <c r="B18" s="533" t="s">
        <v>87</v>
      </c>
      <c r="C18" s="632">
        <f>IFERROR(0.0086*POWER(C13,0.8868)/C11,"/")</f>
        <v>1.9683407705232077</v>
      </c>
      <c r="D18" s="633" t="s">
        <v>946</v>
      </c>
      <c r="E18" s="632"/>
      <c r="F18" s="632"/>
      <c r="G18" s="632"/>
      <c r="H18" s="632"/>
      <c r="I18" s="632"/>
    </row>
    <row r="19" spans="1:9" s="77" customFormat="1" x14ac:dyDescent="0.2">
      <c r="A19" s="80"/>
      <c r="B19" s="533" t="s">
        <v>88</v>
      </c>
      <c r="C19" s="632">
        <f>IFERROR(0.0097*POWER(C13,0.8868)/C11,"/")</f>
        <v>2.2201052876831526</v>
      </c>
      <c r="D19" s="633" t="s">
        <v>946</v>
      </c>
      <c r="E19" s="632"/>
      <c r="F19" s="632"/>
      <c r="G19" s="632"/>
      <c r="H19" s="632"/>
      <c r="I19" s="632"/>
    </row>
    <row r="20" spans="1:9" s="77" customFormat="1" x14ac:dyDescent="0.2">
      <c r="A20" s="80"/>
      <c r="B20" s="535" t="s">
        <v>877</v>
      </c>
      <c r="C20" s="634">
        <f>IFERROR(0.0105*POWER(C13,0.8868)/C11,"/")</f>
        <v>2.4032067547085676</v>
      </c>
      <c r="D20" s="635" t="s">
        <v>946</v>
      </c>
      <c r="E20" s="632"/>
      <c r="F20" s="632"/>
      <c r="G20" s="632"/>
      <c r="H20" s="632"/>
      <c r="I20" s="632"/>
    </row>
    <row r="21" spans="1:9" s="77" customFormat="1" x14ac:dyDescent="0.2">
      <c r="A21" s="80"/>
      <c r="B21" s="533" t="str">
        <f>'OSNOVNI PODATKI'!B69</f>
        <v>GRADBENO OBRTNIŠKA DELA (GO)</v>
      </c>
      <c r="C21" s="636">
        <f>'OSNOVNI PODATKI'!D38</f>
        <v>0.79500000000000004</v>
      </c>
      <c r="D21" s="635"/>
      <c r="E21" s="632"/>
      <c r="F21" s="632"/>
      <c r="G21" s="632"/>
      <c r="H21" s="632"/>
      <c r="I21" s="632"/>
    </row>
    <row r="22" spans="1:9" s="77" customFormat="1" x14ac:dyDescent="0.2">
      <c r="A22" s="80"/>
      <c r="B22" s="533" t="str">
        <f>'OSNOVNI PODATKI'!B70</f>
        <v>ELEKTRIČNE INŠTALACIJE (EI)</v>
      </c>
      <c r="C22" s="636">
        <f>'OSNOVNI PODATKI'!D39</f>
        <v>5.494000000000001E-2</v>
      </c>
      <c r="D22" s="635"/>
      <c r="E22" s="632"/>
      <c r="F22" s="632"/>
      <c r="G22" s="632"/>
      <c r="H22" s="632"/>
      <c r="I22" s="632"/>
    </row>
    <row r="23" spans="1:9" s="77" customFormat="1" x14ac:dyDescent="0.2">
      <c r="A23" s="80"/>
      <c r="B23" s="533" t="str">
        <f>'OSNOVNI PODATKI'!B71</f>
        <v>STROJNE INŠTALACIJE (SI)</v>
      </c>
      <c r="C23" s="636">
        <f>'OSNOVNI PODATKI'!D40</f>
        <v>0.13570999999999997</v>
      </c>
      <c r="D23" s="635"/>
      <c r="E23" s="632"/>
      <c r="F23" s="632"/>
      <c r="G23" s="632"/>
      <c r="H23" s="632"/>
      <c r="I23" s="632"/>
    </row>
    <row r="24" spans="1:9" s="77" customFormat="1" x14ac:dyDescent="0.2">
      <c r="A24" s="80"/>
      <c r="B24" s="533" t="str">
        <f>'OSNOVNI PODATKI'!B72</f>
        <v>TEHNOLOGIJA (TH)</v>
      </c>
      <c r="C24" s="636">
        <f>'OSNOVNI PODATKI'!D41</f>
        <v>1.4145000000000001E-2</v>
      </c>
      <c r="D24" s="635"/>
      <c r="E24" s="632"/>
      <c r="F24" s="632"/>
      <c r="G24" s="632"/>
      <c r="H24" s="632"/>
      <c r="I24" s="632"/>
    </row>
    <row r="25" spans="1:9" s="77" customFormat="1" x14ac:dyDescent="0.2">
      <c r="A25" s="80"/>
      <c r="C25" s="640"/>
      <c r="D25" s="498"/>
      <c r="E25" s="632"/>
      <c r="F25" s="632"/>
      <c r="G25" s="632"/>
      <c r="H25" s="632"/>
      <c r="I25" s="632"/>
    </row>
    <row r="26" spans="1:9" s="77" customFormat="1" ht="14.25" x14ac:dyDescent="0.2">
      <c r="B26" s="84" t="s">
        <v>879</v>
      </c>
      <c r="C26" s="515">
        <f>IFERROR(LOOKUP(C14,B15:C19),"/")</f>
        <v>1.5792501530942014</v>
      </c>
      <c r="D26" s="384" t="s">
        <v>870</v>
      </c>
      <c r="E26" s="498"/>
      <c r="F26" s="498"/>
      <c r="G26" s="498"/>
      <c r="H26" s="498"/>
      <c r="I26" s="498"/>
    </row>
    <row r="27" spans="1:9" s="77" customFormat="1" ht="14.25" x14ac:dyDescent="0.2">
      <c r="B27" s="84" t="s">
        <v>880</v>
      </c>
      <c r="C27" s="515" cm="1">
        <f t="array" ref="C27">IFERROR(INDEX(C15:C20,MATCH(C14,B15:B19)+1),"/")</f>
        <v>1.9683407705232077</v>
      </c>
      <c r="D27" s="384" t="s">
        <v>870</v>
      </c>
      <c r="E27" s="498"/>
      <c r="F27" s="498"/>
      <c r="G27" s="498"/>
      <c r="H27" s="498"/>
      <c r="I27" s="498"/>
    </row>
    <row r="28" spans="1:9" s="77" customFormat="1" x14ac:dyDescent="0.2">
      <c r="B28" s="84" t="s">
        <v>732</v>
      </c>
      <c r="C28" s="539">
        <f>IFERROR(ROUND(C26*C10,0),0)</f>
        <v>632</v>
      </c>
      <c r="D28" s="384" t="s">
        <v>872</v>
      </c>
      <c r="E28" s="498"/>
      <c r="F28" s="498"/>
      <c r="G28" s="498"/>
      <c r="H28" s="498"/>
      <c r="I28" s="498"/>
    </row>
    <row r="29" spans="1:9" s="77" customFormat="1" x14ac:dyDescent="0.2">
      <c r="B29" s="84" t="s">
        <v>733</v>
      </c>
      <c r="C29" s="539">
        <f>IFERROR(ROUND(C27*C10,0),0)</f>
        <v>787</v>
      </c>
      <c r="D29" s="384" t="s">
        <v>872</v>
      </c>
      <c r="E29" s="498"/>
      <c r="F29" s="498"/>
      <c r="G29" s="498"/>
      <c r="H29" s="498"/>
      <c r="I29" s="498"/>
    </row>
    <row r="30" spans="1:9" s="77" customFormat="1" x14ac:dyDescent="0.2">
      <c r="A30" s="80"/>
      <c r="C30" s="296"/>
      <c r="D30" s="209"/>
      <c r="E30" s="209"/>
      <c r="F30" s="209"/>
    </row>
    <row r="31" spans="1:9" s="77" customFormat="1" x14ac:dyDescent="0.2">
      <c r="A31" s="80"/>
      <c r="B31" s="209" t="str">
        <f>'OSNOVNI PODATKI'!A46</f>
        <v>STAVBA 2 / DEL 2</v>
      </c>
      <c r="C31" s="541">
        <f>'OSNOVNI PODATKI'!E46</f>
        <v>0</v>
      </c>
      <c r="D31" s="209"/>
      <c r="E31" s="209"/>
      <c r="F31" s="209"/>
    </row>
    <row r="32" spans="1:9" s="77" customFormat="1" x14ac:dyDescent="0.2">
      <c r="A32" s="80"/>
      <c r="B32" s="202" t="s">
        <v>718</v>
      </c>
      <c r="C32" s="84" t="str">
        <f>'OSNOVNI PODATKI'!E47</f>
        <v>Nepodkletene eno in dvostanovanjske stavbe, srednji standard</v>
      </c>
      <c r="D32" s="498"/>
      <c r="E32" s="498"/>
      <c r="F32" s="498"/>
      <c r="G32" s="498"/>
      <c r="H32" s="498"/>
      <c r="I32" s="498"/>
    </row>
    <row r="33" spans="1:9" s="77" customFormat="1" x14ac:dyDescent="0.2">
      <c r="A33" s="80"/>
      <c r="B33" s="202" t="s">
        <v>943</v>
      </c>
      <c r="C33" s="84">
        <f>'OSNOVNI PODATKI'!E48</f>
        <v>0</v>
      </c>
      <c r="D33" s="498"/>
      <c r="E33" s="498"/>
      <c r="F33" s="498"/>
      <c r="G33" s="498"/>
      <c r="H33" s="498"/>
      <c r="I33" s="498"/>
    </row>
    <row r="34" spans="1:9" s="77" customFormat="1" x14ac:dyDescent="0.2">
      <c r="A34" s="80"/>
      <c r="B34" s="202" t="s">
        <v>944</v>
      </c>
      <c r="C34" s="84">
        <f>IF($C$5=1,$C$6,C33)</f>
        <v>400</v>
      </c>
      <c r="D34" s="498"/>
      <c r="E34" s="498"/>
      <c r="F34" s="498"/>
      <c r="G34" s="498"/>
      <c r="H34" s="498"/>
      <c r="I34" s="498"/>
    </row>
    <row r="35" spans="1:9" s="77" customFormat="1" x14ac:dyDescent="0.2">
      <c r="A35" s="80"/>
      <c r="B35" s="538" t="s">
        <v>878</v>
      </c>
      <c r="C35" s="537">
        <f>'OSNOVNI PODATKI'!E58</f>
        <v>230.59999999999991</v>
      </c>
      <c r="D35" s="498"/>
      <c r="E35" s="498"/>
      <c r="F35" s="498"/>
      <c r="G35" s="498"/>
      <c r="H35" s="498"/>
      <c r="I35" s="498"/>
    </row>
    <row r="36" spans="1:9" s="77" customFormat="1" x14ac:dyDescent="0.2">
      <c r="A36" s="80"/>
      <c r="B36" s="538" t="s">
        <v>1033</v>
      </c>
      <c r="C36" s="1297">
        <f>IF((C45+C46+C47)&lt;25%*C44,C34*(1000+C35),(C44-37.5%*C44+50%)*C34*(1000+C35))</f>
        <v>492239.99999999994</v>
      </c>
      <c r="D36" s="498"/>
      <c r="E36" s="498"/>
      <c r="F36" s="498"/>
      <c r="G36" s="498"/>
      <c r="H36" s="498"/>
      <c r="I36" s="498"/>
    </row>
    <row r="37" spans="1:9" s="77" customFormat="1" x14ac:dyDescent="0.2">
      <c r="A37" s="80"/>
      <c r="B37" s="202" t="s">
        <v>116</v>
      </c>
      <c r="C37" s="84" t="str">
        <f>'OSNOVNI PODATKI'!E49</f>
        <v>Cenovni razred II</v>
      </c>
      <c r="D37" s="498"/>
      <c r="E37" s="498"/>
      <c r="F37" s="498"/>
      <c r="G37" s="498"/>
      <c r="H37" s="498"/>
      <c r="I37" s="498"/>
    </row>
    <row r="38" spans="1:9" s="77" customFormat="1" x14ac:dyDescent="0.2">
      <c r="A38" s="80"/>
      <c r="B38" s="530" t="s">
        <v>84</v>
      </c>
      <c r="C38" s="630">
        <f>IFERROR(0.005*POWER(C36,0.8868)/C34,"/")</f>
        <v>1.3955085117777422</v>
      </c>
      <c r="D38" s="532" t="s">
        <v>871</v>
      </c>
      <c r="E38" s="209"/>
      <c r="F38" s="209"/>
    </row>
    <row r="39" spans="1:9" s="77" customFormat="1" x14ac:dyDescent="0.2">
      <c r="A39" s="80"/>
      <c r="B39" s="533" t="s">
        <v>85</v>
      </c>
      <c r="C39" s="632">
        <f>IFERROR(0.0058*POWER(C36,0.8868)/C34,"/")</f>
        <v>1.6187898736621806</v>
      </c>
      <c r="D39" s="497" t="s">
        <v>871</v>
      </c>
      <c r="E39" s="209"/>
      <c r="F39" s="209"/>
    </row>
    <row r="40" spans="1:9" s="77" customFormat="1" x14ac:dyDescent="0.2">
      <c r="A40" s="80"/>
      <c r="B40" s="533" t="s">
        <v>86</v>
      </c>
      <c r="C40" s="632">
        <f>IFERROR(0.0069*POWER(C36,0.8868)/C34,"/")</f>
        <v>1.9258017462532839</v>
      </c>
      <c r="D40" s="497" t="s">
        <v>871</v>
      </c>
      <c r="E40" s="209"/>
      <c r="F40" s="209"/>
    </row>
    <row r="41" spans="1:9" s="77" customFormat="1" x14ac:dyDescent="0.2">
      <c r="A41" s="80"/>
      <c r="B41" s="533" t="s">
        <v>87</v>
      </c>
      <c r="C41" s="632">
        <f>IFERROR(0.0086*POWER(C36,0.8868)/C34,"/")</f>
        <v>2.4002746402577162</v>
      </c>
      <c r="D41" s="497" t="s">
        <v>871</v>
      </c>
      <c r="E41" s="209"/>
      <c r="F41" s="209"/>
      <c r="G41" s="209"/>
      <c r="H41" s="209"/>
      <c r="I41" s="209"/>
    </row>
    <row r="42" spans="1:9" s="77" customFormat="1" x14ac:dyDescent="0.2">
      <c r="A42" s="80"/>
      <c r="B42" s="533" t="s">
        <v>88</v>
      </c>
      <c r="C42" s="632">
        <f>IFERROR(0.0097*POWER(C36,0.8868)/C34,"/")</f>
        <v>2.7072865128488193</v>
      </c>
      <c r="D42" s="497" t="s">
        <v>871</v>
      </c>
      <c r="E42" s="209"/>
      <c r="F42" s="209"/>
      <c r="G42" s="209"/>
      <c r="H42" s="209"/>
      <c r="I42" s="209"/>
    </row>
    <row r="43" spans="1:9" s="77" customFormat="1" x14ac:dyDescent="0.2">
      <c r="A43" s="80"/>
      <c r="B43" s="535" t="s">
        <v>877</v>
      </c>
      <c r="C43" s="634">
        <f>IFERROR(0.0105*POWER(C36,0.8868)/C34,"/")</f>
        <v>2.9305678747332586</v>
      </c>
      <c r="D43" s="495" t="s">
        <v>871</v>
      </c>
      <c r="E43" s="209"/>
      <c r="F43" s="209"/>
      <c r="G43" s="209"/>
      <c r="H43" s="209"/>
      <c r="I43" s="209"/>
    </row>
    <row r="44" spans="1:9" s="77" customFormat="1" x14ac:dyDescent="0.2">
      <c r="A44" s="80"/>
      <c r="B44" s="533" t="str">
        <f>'OSNOVNI PODATKI'!B69</f>
        <v>GRADBENO OBRTNIŠKA DELA (GO)</v>
      </c>
      <c r="C44" s="636">
        <f>'OSNOVNI PODATKI'!D69</f>
        <v>0.80800000000000005</v>
      </c>
      <c r="D44" s="635"/>
      <c r="E44" s="209"/>
      <c r="F44" s="209"/>
      <c r="G44" s="209"/>
      <c r="H44" s="209"/>
      <c r="I44" s="209"/>
    </row>
    <row r="45" spans="1:9" s="77" customFormat="1" x14ac:dyDescent="0.2">
      <c r="A45" s="80"/>
      <c r="B45" s="533" t="str">
        <f>'OSNOVNI PODATKI'!B70</f>
        <v>ELEKTRIČNE INŠTALACIJE (EI)</v>
      </c>
      <c r="C45" s="636">
        <f>'OSNOVNI PODATKI'!D70</f>
        <v>4.4544000000000007E-2</v>
      </c>
      <c r="D45" s="635"/>
      <c r="E45" s="209"/>
      <c r="F45" s="209"/>
      <c r="G45" s="209"/>
      <c r="H45" s="209"/>
      <c r="I45" s="209"/>
    </row>
    <row r="46" spans="1:9" s="77" customFormat="1" x14ac:dyDescent="0.2">
      <c r="A46" s="80"/>
      <c r="B46" s="533" t="str">
        <f>'OSNOVNI PODATKI'!B71</f>
        <v>STROJNE INŠTALACIJE (SI)</v>
      </c>
      <c r="C46" s="636">
        <f>'OSNOVNI PODATKI'!D71</f>
        <v>0.14764799999999997</v>
      </c>
      <c r="D46" s="635"/>
      <c r="E46" s="209"/>
      <c r="F46" s="209"/>
      <c r="G46" s="209"/>
      <c r="H46" s="209"/>
      <c r="I46" s="209"/>
    </row>
    <row r="47" spans="1:9" s="77" customFormat="1" x14ac:dyDescent="0.2">
      <c r="A47" s="80"/>
      <c r="B47" s="533" t="str">
        <f>'OSNOVNI PODATKI'!B72</f>
        <v>TEHNOLOGIJA (TH)</v>
      </c>
      <c r="C47" s="636">
        <f>'OSNOVNI PODATKI'!D72</f>
        <v>0</v>
      </c>
      <c r="D47" s="635"/>
      <c r="E47" s="209"/>
      <c r="F47" s="209"/>
      <c r="G47" s="209"/>
      <c r="H47" s="209"/>
      <c r="I47" s="209"/>
    </row>
    <row r="48" spans="1:9" s="77" customFormat="1" x14ac:dyDescent="0.2">
      <c r="A48" s="80"/>
      <c r="C48" s="84"/>
      <c r="D48" s="498"/>
      <c r="E48" s="209"/>
      <c r="F48" s="209"/>
      <c r="G48" s="209"/>
      <c r="H48" s="209"/>
      <c r="I48" s="209"/>
    </row>
    <row r="49" spans="1:9" s="77" customFormat="1" ht="14.25" x14ac:dyDescent="0.2">
      <c r="B49" s="84" t="s">
        <v>879</v>
      </c>
      <c r="C49" s="515">
        <f>IFERROR(LOOKUP(C37,B38:C42),"/")</f>
        <v>1.6187898736621806</v>
      </c>
      <c r="D49" s="384" t="s">
        <v>870</v>
      </c>
      <c r="E49" s="498"/>
      <c r="F49" s="498"/>
      <c r="G49" s="498"/>
      <c r="H49" s="498"/>
      <c r="I49" s="498"/>
    </row>
    <row r="50" spans="1:9" s="77" customFormat="1" ht="14.25" x14ac:dyDescent="0.2">
      <c r="B50" s="84" t="s">
        <v>880</v>
      </c>
      <c r="C50" s="515" cm="1">
        <f t="array" ref="C50">IFERROR(INDEX(C38:C43,MATCH(C37,B38:B42)+1),"/")</f>
        <v>1.9258017462532839</v>
      </c>
      <c r="D50" s="384" t="s">
        <v>870</v>
      </c>
      <c r="E50" s="498"/>
      <c r="F50" s="498"/>
      <c r="G50" s="498"/>
      <c r="H50" s="498"/>
      <c r="I50" s="498"/>
    </row>
    <row r="51" spans="1:9" s="77" customFormat="1" x14ac:dyDescent="0.2">
      <c r="B51" s="84" t="s">
        <v>732</v>
      </c>
      <c r="C51" s="539">
        <f>IFERROR(ROUND(C49*C33,0),0)</f>
        <v>0</v>
      </c>
      <c r="D51" s="384" t="s">
        <v>872</v>
      </c>
      <c r="E51" s="498"/>
      <c r="F51" s="498"/>
      <c r="G51" s="498"/>
      <c r="H51" s="498"/>
      <c r="I51" s="498"/>
    </row>
    <row r="52" spans="1:9" s="77" customFormat="1" x14ac:dyDescent="0.2">
      <c r="B52" s="84" t="s">
        <v>733</v>
      </c>
      <c r="C52" s="539">
        <f>IFERROR(ROUND(C50*C33,0),0)</f>
        <v>0</v>
      </c>
      <c r="D52" s="384" t="s">
        <v>872</v>
      </c>
      <c r="E52" s="498"/>
      <c r="F52" s="498"/>
      <c r="G52" s="498"/>
      <c r="H52" s="498"/>
      <c r="I52" s="498"/>
    </row>
    <row r="53" spans="1:9" s="77" customFormat="1" x14ac:dyDescent="0.2">
      <c r="A53" s="80"/>
      <c r="C53" s="209"/>
      <c r="D53" s="209"/>
      <c r="E53" s="209"/>
      <c r="F53" s="209"/>
    </row>
    <row r="54" spans="1:9" s="77" customFormat="1" x14ac:dyDescent="0.2">
      <c r="A54" s="80"/>
      <c r="B54" s="209" t="str">
        <f>'OSNOVNI PODATKI'!A77</f>
        <v>STAVBA 3 / DEL 3</v>
      </c>
      <c r="C54" s="541">
        <f>'OSNOVNI PODATKI'!E77</f>
        <v>0</v>
      </c>
      <c r="D54" s="209"/>
      <c r="E54" s="209"/>
      <c r="F54" s="209"/>
    </row>
    <row r="55" spans="1:9" s="77" customFormat="1" x14ac:dyDescent="0.2">
      <c r="A55" s="80"/>
      <c r="B55" s="202" t="s">
        <v>718</v>
      </c>
      <c r="C55" s="84" t="str">
        <f>'OSNOVNI PODATKI'!E78</f>
        <v>Nepodkletene eno in dvostanovanjske stavbe, srednji standard</v>
      </c>
      <c r="D55" s="498"/>
      <c r="E55" s="498"/>
      <c r="F55" s="498"/>
      <c r="G55" s="498"/>
      <c r="H55" s="498"/>
      <c r="I55" s="498"/>
    </row>
    <row r="56" spans="1:9" s="77" customFormat="1" x14ac:dyDescent="0.2">
      <c r="A56" s="80"/>
      <c r="B56" s="202" t="s">
        <v>943</v>
      </c>
      <c r="C56" s="84">
        <f>'OSNOVNI PODATKI'!E79</f>
        <v>0</v>
      </c>
      <c r="D56" s="498"/>
      <c r="E56" s="498"/>
      <c r="F56" s="498"/>
      <c r="G56" s="498"/>
      <c r="H56" s="498"/>
      <c r="I56" s="498"/>
    </row>
    <row r="57" spans="1:9" s="77" customFormat="1" x14ac:dyDescent="0.2">
      <c r="A57" s="80"/>
      <c r="B57" s="202" t="s">
        <v>944</v>
      </c>
      <c r="C57" s="84">
        <f>IF($C$5=1,$C$6,C56)</f>
        <v>400</v>
      </c>
      <c r="D57" s="498"/>
      <c r="E57" s="498"/>
      <c r="F57" s="498"/>
      <c r="G57" s="498"/>
      <c r="H57" s="498"/>
      <c r="I57" s="498"/>
    </row>
    <row r="58" spans="1:9" s="77" customFormat="1" x14ac:dyDescent="0.2">
      <c r="A58" s="80"/>
      <c r="B58" s="538" t="s">
        <v>878</v>
      </c>
      <c r="C58" s="537">
        <f>'OSNOVNI PODATKI'!E89</f>
        <v>230.59999999999991</v>
      </c>
      <c r="D58" s="498"/>
      <c r="E58" s="498"/>
      <c r="F58" s="498"/>
      <c r="G58" s="498"/>
      <c r="H58" s="498"/>
      <c r="I58" s="498"/>
    </row>
    <row r="59" spans="1:9" s="77" customFormat="1" x14ac:dyDescent="0.2">
      <c r="A59" s="80"/>
      <c r="B59" s="538" t="s">
        <v>1033</v>
      </c>
      <c r="C59" s="1297">
        <f>IF((C68+C69+C70)&lt;25%*C67,C57*(1000+C58),(C67-37.5%*C67+50%)*C57*(1000+C58))</f>
        <v>492239.99999999994</v>
      </c>
      <c r="D59" s="498"/>
      <c r="E59" s="498"/>
      <c r="F59" s="498"/>
      <c r="G59" s="498"/>
      <c r="H59" s="498"/>
      <c r="I59" s="498"/>
    </row>
    <row r="60" spans="1:9" s="77" customFormat="1" x14ac:dyDescent="0.2">
      <c r="A60" s="80"/>
      <c r="B60" s="202" t="s">
        <v>116</v>
      </c>
      <c r="C60" s="84" t="str">
        <f>'OSNOVNI PODATKI'!E80</f>
        <v>Cenovni razred II</v>
      </c>
      <c r="D60" s="498"/>
      <c r="E60" s="498"/>
      <c r="F60" s="498"/>
      <c r="G60" s="498"/>
      <c r="H60" s="498"/>
      <c r="I60" s="498"/>
    </row>
    <row r="61" spans="1:9" s="77" customFormat="1" x14ac:dyDescent="0.2">
      <c r="A61" s="80"/>
      <c r="B61" s="530" t="s">
        <v>84</v>
      </c>
      <c r="C61" s="630">
        <f>IFERROR(0.005*POWER(C59,0.8868)/C57,"/")</f>
        <v>1.3955085117777422</v>
      </c>
      <c r="D61" s="532" t="s">
        <v>871</v>
      </c>
      <c r="E61" s="209"/>
      <c r="F61" s="209"/>
    </row>
    <row r="62" spans="1:9" s="77" customFormat="1" x14ac:dyDescent="0.2">
      <c r="A62" s="80"/>
      <c r="B62" s="533" t="s">
        <v>85</v>
      </c>
      <c r="C62" s="632">
        <f>IFERROR(0.0058*POWER(C59,0.8868)/C57,"/")</f>
        <v>1.6187898736621806</v>
      </c>
      <c r="D62" s="497" t="s">
        <v>871</v>
      </c>
      <c r="E62" s="209"/>
      <c r="F62" s="209"/>
    </row>
    <row r="63" spans="1:9" s="77" customFormat="1" x14ac:dyDescent="0.2">
      <c r="A63" s="80"/>
      <c r="B63" s="533" t="s">
        <v>86</v>
      </c>
      <c r="C63" s="632">
        <f>IFERROR(0.0069*POWER(C59,0.8868)/C57,"/")</f>
        <v>1.9258017462532839</v>
      </c>
      <c r="D63" s="497" t="s">
        <v>871</v>
      </c>
      <c r="E63" s="209"/>
      <c r="F63" s="209"/>
    </row>
    <row r="64" spans="1:9" s="77" customFormat="1" x14ac:dyDescent="0.2">
      <c r="A64" s="80"/>
      <c r="B64" s="533" t="s">
        <v>87</v>
      </c>
      <c r="C64" s="632">
        <f>IFERROR(0.0086*POWER(C59,0.8868)/C57,"/")</f>
        <v>2.4002746402577162</v>
      </c>
      <c r="D64" s="497" t="s">
        <v>871</v>
      </c>
      <c r="E64" s="209"/>
      <c r="F64" s="209"/>
    </row>
    <row r="65" spans="1:9" s="77" customFormat="1" x14ac:dyDescent="0.2">
      <c r="A65" s="80"/>
      <c r="B65" s="533" t="s">
        <v>88</v>
      </c>
      <c r="C65" s="632">
        <f>IFERROR(0.0097*POWER(C59,0.8868)/C57,"/")</f>
        <v>2.7072865128488193</v>
      </c>
      <c r="D65" s="497" t="s">
        <v>871</v>
      </c>
      <c r="E65" s="209"/>
      <c r="F65" s="209"/>
      <c r="G65" s="209"/>
      <c r="H65" s="209"/>
      <c r="I65" s="209"/>
    </row>
    <row r="66" spans="1:9" s="77" customFormat="1" x14ac:dyDescent="0.2">
      <c r="A66" s="80"/>
      <c r="B66" s="535" t="s">
        <v>877</v>
      </c>
      <c r="C66" s="634">
        <f>IFERROR(0.0105*POWER(C59,0.8868)/C57,"/")</f>
        <v>2.9305678747332586</v>
      </c>
      <c r="D66" s="495" t="s">
        <v>871</v>
      </c>
      <c r="E66" s="209"/>
      <c r="F66" s="209"/>
      <c r="G66" s="209"/>
      <c r="H66" s="209"/>
      <c r="I66" s="209"/>
    </row>
    <row r="67" spans="1:9" s="77" customFormat="1" x14ac:dyDescent="0.2">
      <c r="A67" s="80"/>
      <c r="B67" s="533" t="str">
        <f>'OSNOVNI PODATKI'!B100</f>
        <v>GRADBENO OBRTNIŠKA DELA (GO)</v>
      </c>
      <c r="C67" s="636">
        <f>'OSNOVNI PODATKI'!D100</f>
        <v>0.80800000000000005</v>
      </c>
      <c r="D67" s="635"/>
      <c r="E67" s="209"/>
      <c r="F67" s="209"/>
      <c r="G67" s="209"/>
      <c r="H67" s="209"/>
      <c r="I67" s="209"/>
    </row>
    <row r="68" spans="1:9" s="77" customFormat="1" x14ac:dyDescent="0.2">
      <c r="A68" s="80"/>
      <c r="B68" s="533" t="str">
        <f>'OSNOVNI PODATKI'!B101</f>
        <v>ELEKTRIČNE INŠTALACIJE (EI)</v>
      </c>
      <c r="C68" s="636">
        <f>'OSNOVNI PODATKI'!D101</f>
        <v>4.4544000000000007E-2</v>
      </c>
      <c r="D68" s="635"/>
      <c r="E68" s="209"/>
      <c r="F68" s="209"/>
      <c r="G68" s="209"/>
      <c r="H68" s="209"/>
      <c r="I68" s="209"/>
    </row>
    <row r="69" spans="1:9" s="77" customFormat="1" x14ac:dyDescent="0.2">
      <c r="A69" s="80"/>
      <c r="B69" s="533" t="str">
        <f>'OSNOVNI PODATKI'!B102</f>
        <v>STROJNE INŠTALACIJE (SI)</v>
      </c>
      <c r="C69" s="636">
        <f>'OSNOVNI PODATKI'!D102</f>
        <v>0.14764799999999997</v>
      </c>
      <c r="D69" s="635"/>
      <c r="E69" s="209"/>
      <c r="F69" s="209"/>
      <c r="G69" s="209"/>
      <c r="H69" s="209"/>
      <c r="I69" s="209"/>
    </row>
    <row r="70" spans="1:9" s="77" customFormat="1" x14ac:dyDescent="0.2">
      <c r="A70" s="80"/>
      <c r="B70" s="533" t="str">
        <f>'OSNOVNI PODATKI'!B103</f>
        <v>TEHNOLOGIJA (TH)</v>
      </c>
      <c r="C70" s="636">
        <f>'OSNOVNI PODATKI'!D103</f>
        <v>0</v>
      </c>
      <c r="D70" s="635"/>
      <c r="E70" s="209"/>
      <c r="F70" s="209"/>
      <c r="G70" s="209"/>
      <c r="H70" s="209"/>
      <c r="I70" s="209"/>
    </row>
    <row r="71" spans="1:9" s="77" customFormat="1" x14ac:dyDescent="0.2">
      <c r="A71" s="80"/>
      <c r="C71" s="84"/>
      <c r="D71" s="498"/>
      <c r="E71" s="209"/>
      <c r="F71" s="209"/>
      <c r="G71" s="209"/>
      <c r="H71" s="209"/>
      <c r="I71" s="209"/>
    </row>
    <row r="72" spans="1:9" s="77" customFormat="1" ht="14.25" x14ac:dyDescent="0.2">
      <c r="B72" s="84" t="s">
        <v>879</v>
      </c>
      <c r="C72" s="515">
        <f>IFERROR(LOOKUP(C60,B61:C65),"/")</f>
        <v>1.6187898736621806</v>
      </c>
      <c r="D72" s="384" t="s">
        <v>870</v>
      </c>
      <c r="E72" s="498"/>
      <c r="F72" s="498"/>
      <c r="G72" s="498"/>
      <c r="H72" s="498"/>
      <c r="I72" s="498"/>
    </row>
    <row r="73" spans="1:9" s="77" customFormat="1" ht="14.25" x14ac:dyDescent="0.2">
      <c r="B73" s="84" t="s">
        <v>880</v>
      </c>
      <c r="C73" s="515" cm="1">
        <f t="array" ref="C73">IFERROR(INDEX(C61:C66,MATCH(C60,B61:B65)+1),"/")</f>
        <v>1.9258017462532839</v>
      </c>
      <c r="D73" s="384" t="s">
        <v>870</v>
      </c>
      <c r="E73" s="498"/>
      <c r="F73" s="498"/>
      <c r="G73" s="498"/>
      <c r="H73" s="498"/>
      <c r="I73" s="498"/>
    </row>
    <row r="74" spans="1:9" s="77" customFormat="1" x14ac:dyDescent="0.2">
      <c r="B74" s="84" t="s">
        <v>732</v>
      </c>
      <c r="C74" s="539">
        <f>IFERROR(ROUND(C72*C56,0),0)</f>
        <v>0</v>
      </c>
      <c r="D74" s="384" t="s">
        <v>872</v>
      </c>
      <c r="E74" s="498"/>
      <c r="F74" s="498"/>
      <c r="G74" s="498"/>
      <c r="H74" s="498"/>
      <c r="I74" s="498"/>
    </row>
    <row r="75" spans="1:9" s="77" customFormat="1" x14ac:dyDescent="0.2">
      <c r="B75" s="84" t="s">
        <v>733</v>
      </c>
      <c r="C75" s="539">
        <f>IFERROR(ROUND(C73*C56,0),0)</f>
        <v>0</v>
      </c>
      <c r="D75" s="384" t="s">
        <v>872</v>
      </c>
      <c r="E75" s="498"/>
      <c r="F75" s="498"/>
      <c r="G75" s="498"/>
      <c r="H75" s="498"/>
      <c r="I75" s="498"/>
    </row>
    <row r="76" spans="1:9" s="77" customFormat="1" x14ac:dyDescent="0.2">
      <c r="A76" s="80"/>
      <c r="C76" s="209"/>
      <c r="D76" s="209"/>
      <c r="E76" s="209"/>
      <c r="F76" s="209"/>
    </row>
    <row r="77" spans="1:9" s="77" customFormat="1" x14ac:dyDescent="0.2">
      <c r="A77" s="80"/>
      <c r="B77" s="209" t="str">
        <f>'OSNOVNI PODATKI'!A108</f>
        <v>STAVBA 4 / DEL 4</v>
      </c>
      <c r="C77" s="541">
        <f>'OSNOVNI PODATKI'!E108</f>
        <v>0</v>
      </c>
      <c r="D77" s="209"/>
      <c r="E77" s="209"/>
      <c r="F77" s="209"/>
    </row>
    <row r="78" spans="1:9" s="77" customFormat="1" x14ac:dyDescent="0.2">
      <c r="A78" s="80"/>
      <c r="B78" s="202" t="s">
        <v>718</v>
      </c>
      <c r="C78" s="84" t="str">
        <f>'OSNOVNI PODATKI'!E109</f>
        <v>Nepodkletene eno in dvostanovanjske stavbe, srednji standard</v>
      </c>
      <c r="D78" s="498"/>
      <c r="E78" s="498"/>
      <c r="F78" s="498"/>
      <c r="G78" s="498"/>
      <c r="H78" s="498"/>
      <c r="I78" s="498"/>
    </row>
    <row r="79" spans="1:9" s="77" customFormat="1" x14ac:dyDescent="0.2">
      <c r="A79" s="80"/>
      <c r="B79" s="202" t="s">
        <v>943</v>
      </c>
      <c r="C79" s="84">
        <f>'OSNOVNI PODATKI'!E110</f>
        <v>0</v>
      </c>
      <c r="D79" s="498"/>
      <c r="E79" s="498"/>
      <c r="F79" s="498"/>
      <c r="G79" s="498"/>
      <c r="H79" s="498"/>
      <c r="I79" s="498"/>
    </row>
    <row r="80" spans="1:9" s="77" customFormat="1" x14ac:dyDescent="0.2">
      <c r="A80" s="80"/>
      <c r="B80" s="202" t="s">
        <v>944</v>
      </c>
      <c r="C80" s="84">
        <f>IF($C$5=1,$C$6,C79)</f>
        <v>400</v>
      </c>
      <c r="D80" s="498"/>
      <c r="E80" s="498"/>
      <c r="F80" s="498"/>
      <c r="G80" s="498"/>
      <c r="H80" s="498"/>
      <c r="I80" s="498"/>
    </row>
    <row r="81" spans="1:12" s="77" customFormat="1" x14ac:dyDescent="0.2">
      <c r="A81" s="80"/>
      <c r="B81" s="538" t="s">
        <v>878</v>
      </c>
      <c r="C81" s="537">
        <f>'OSNOVNI PODATKI'!E120</f>
        <v>230.59999999999991</v>
      </c>
      <c r="D81" s="498"/>
      <c r="E81" s="498"/>
      <c r="F81" s="498"/>
      <c r="G81" s="498"/>
      <c r="H81" s="498"/>
      <c r="I81" s="498"/>
    </row>
    <row r="82" spans="1:12" s="77" customFormat="1" x14ac:dyDescent="0.2">
      <c r="A82" s="80"/>
      <c r="B82" s="538" t="s">
        <v>1033</v>
      </c>
      <c r="C82" s="1297">
        <f>IF((C91+C92+C93)&lt;25%*C90,C80*(1000+C81),(C90-37.5%*C90+50%)*C80*(1000+C81))</f>
        <v>492239.99999999994</v>
      </c>
      <c r="D82" s="498"/>
      <c r="E82" s="498"/>
      <c r="F82" s="498"/>
      <c r="G82" s="498"/>
      <c r="H82" s="498"/>
      <c r="I82" s="498"/>
    </row>
    <row r="83" spans="1:12" s="77" customFormat="1" x14ac:dyDescent="0.2">
      <c r="A83" s="80"/>
      <c r="B83" s="202" t="s">
        <v>116</v>
      </c>
      <c r="C83" s="84" t="str">
        <f>'OSNOVNI PODATKI'!E111</f>
        <v>Cenovni razred II</v>
      </c>
      <c r="D83" s="498"/>
      <c r="E83" s="498"/>
      <c r="F83" s="498"/>
      <c r="G83" s="498"/>
      <c r="H83" s="498"/>
      <c r="I83" s="498"/>
    </row>
    <row r="84" spans="1:12" s="77" customFormat="1" x14ac:dyDescent="0.2">
      <c r="A84" s="80"/>
      <c r="B84" s="530" t="s">
        <v>84</v>
      </c>
      <c r="C84" s="630">
        <f>IFERROR(0.005*POWER(C82,0.8868)/C80,"/")</f>
        <v>1.3955085117777422</v>
      </c>
      <c r="D84" s="532" t="s">
        <v>871</v>
      </c>
      <c r="E84" s="209"/>
      <c r="F84" s="209"/>
    </row>
    <row r="85" spans="1:12" s="77" customFormat="1" x14ac:dyDescent="0.2">
      <c r="A85" s="80"/>
      <c r="B85" s="533" t="s">
        <v>85</v>
      </c>
      <c r="C85" s="632">
        <f>IFERROR(0.0058*POWER(C82,0.8868)/C80,"/")</f>
        <v>1.6187898736621806</v>
      </c>
      <c r="D85" s="497" t="s">
        <v>871</v>
      </c>
      <c r="E85" s="209"/>
      <c r="F85" s="209"/>
    </row>
    <row r="86" spans="1:12" s="77" customFormat="1" x14ac:dyDescent="0.2">
      <c r="A86" s="80"/>
      <c r="B86" s="533" t="s">
        <v>86</v>
      </c>
      <c r="C86" s="632">
        <f>IFERROR(0.0069*POWER(C82,0.8868)/C80,"/")</f>
        <v>1.9258017462532839</v>
      </c>
      <c r="D86" s="497" t="s">
        <v>871</v>
      </c>
      <c r="E86" s="209"/>
      <c r="F86" s="209"/>
      <c r="G86" s="209"/>
      <c r="H86" s="209"/>
      <c r="I86" s="209"/>
    </row>
    <row r="87" spans="1:12" s="77" customFormat="1" x14ac:dyDescent="0.2">
      <c r="A87" s="80"/>
      <c r="B87" s="533" t="s">
        <v>87</v>
      </c>
      <c r="C87" s="632">
        <f>IFERROR(0.0086*POWER(C82,0.8868)/C80,"/")</f>
        <v>2.4002746402577162</v>
      </c>
      <c r="D87" s="497" t="s">
        <v>871</v>
      </c>
      <c r="E87" s="209"/>
      <c r="F87" s="209"/>
      <c r="G87" s="209"/>
      <c r="H87" s="209"/>
      <c r="I87" s="209"/>
    </row>
    <row r="88" spans="1:12" s="77" customFormat="1" x14ac:dyDescent="0.2">
      <c r="A88" s="80"/>
      <c r="B88" s="533" t="s">
        <v>88</v>
      </c>
      <c r="C88" s="632">
        <f>IFERROR(0.0097*POWER(C82,0.8868)/C80,"/")</f>
        <v>2.7072865128488193</v>
      </c>
      <c r="D88" s="497" t="s">
        <v>871</v>
      </c>
      <c r="E88" s="209"/>
      <c r="F88" s="209"/>
      <c r="G88" s="209"/>
      <c r="H88" s="209"/>
      <c r="I88" s="209"/>
    </row>
    <row r="89" spans="1:12" s="77" customFormat="1" x14ac:dyDescent="0.2">
      <c r="A89" s="80"/>
      <c r="B89" s="535" t="s">
        <v>877</v>
      </c>
      <c r="C89" s="634">
        <f>IFERROR(0.0105*POWER(C82,0.8868)/C80,"/")</f>
        <v>2.9305678747332586</v>
      </c>
      <c r="D89" s="495" t="s">
        <v>871</v>
      </c>
      <c r="E89" s="209"/>
      <c r="F89" s="209"/>
      <c r="G89" s="209"/>
      <c r="H89" s="209"/>
      <c r="I89" s="209"/>
    </row>
    <row r="90" spans="1:12" s="77" customFormat="1" x14ac:dyDescent="0.2">
      <c r="A90" s="80"/>
      <c r="B90" s="533" t="str">
        <f>'OSNOVNI PODATKI'!B131</f>
        <v>GRADBENO OBRTNIŠKA DELA (GO)</v>
      </c>
      <c r="C90" s="636">
        <f>'OSNOVNI PODATKI'!D131</f>
        <v>0.80800000000000005</v>
      </c>
      <c r="D90" s="635"/>
      <c r="E90" s="209"/>
      <c r="F90" s="209"/>
      <c r="G90" s="209"/>
      <c r="H90" s="209"/>
      <c r="I90" s="209"/>
      <c r="L90" s="633"/>
    </row>
    <row r="91" spans="1:12" s="77" customFormat="1" x14ac:dyDescent="0.2">
      <c r="A91" s="80"/>
      <c r="B91" s="533" t="str">
        <f>'OSNOVNI PODATKI'!B132</f>
        <v>ELEKTRIČNE INŠTALACIJE (EI)</v>
      </c>
      <c r="C91" s="636">
        <f>'OSNOVNI PODATKI'!D132</f>
        <v>4.4544000000000007E-2</v>
      </c>
      <c r="D91" s="635"/>
      <c r="E91" s="209"/>
      <c r="F91" s="209"/>
      <c r="G91" s="209"/>
      <c r="H91" s="209"/>
      <c r="I91" s="209"/>
      <c r="L91" s="633"/>
    </row>
    <row r="92" spans="1:12" s="77" customFormat="1" x14ac:dyDescent="0.2">
      <c r="A92" s="80"/>
      <c r="B92" s="533" t="str">
        <f>'OSNOVNI PODATKI'!B133</f>
        <v>STROJNE INŠTALACIJE (SI)</v>
      </c>
      <c r="C92" s="636">
        <f>'OSNOVNI PODATKI'!D133</f>
        <v>0.14764799999999997</v>
      </c>
      <c r="D92" s="635"/>
      <c r="E92" s="209"/>
      <c r="F92" s="209"/>
      <c r="G92" s="209"/>
      <c r="H92" s="209"/>
      <c r="I92" s="209"/>
      <c r="L92" s="633"/>
    </row>
    <row r="93" spans="1:12" s="77" customFormat="1" x14ac:dyDescent="0.2">
      <c r="A93" s="80"/>
      <c r="B93" s="533" t="str">
        <f>'OSNOVNI PODATKI'!B134</f>
        <v>TEHNOLOGIJA (TH)</v>
      </c>
      <c r="C93" s="636">
        <f>'OSNOVNI PODATKI'!D134</f>
        <v>0</v>
      </c>
      <c r="D93" s="635"/>
      <c r="E93" s="209"/>
      <c r="F93" s="209"/>
      <c r="G93" s="209"/>
      <c r="H93" s="209"/>
      <c r="I93" s="209"/>
      <c r="L93" s="633"/>
    </row>
    <row r="94" spans="1:12" s="77" customFormat="1" x14ac:dyDescent="0.2">
      <c r="A94" s="80"/>
      <c r="C94" s="84"/>
      <c r="D94" s="498"/>
      <c r="E94" s="209"/>
      <c r="F94" s="209"/>
      <c r="G94" s="209"/>
      <c r="H94" s="209"/>
      <c r="I94" s="209"/>
    </row>
    <row r="95" spans="1:12" s="77" customFormat="1" ht="14.25" x14ac:dyDescent="0.2">
      <c r="B95" s="84" t="s">
        <v>879</v>
      </c>
      <c r="C95" s="515">
        <f>IFERROR(LOOKUP(C83,B84:C88),"/")</f>
        <v>1.6187898736621806</v>
      </c>
      <c r="D95" s="384" t="s">
        <v>870</v>
      </c>
      <c r="E95" s="498"/>
      <c r="F95" s="498"/>
      <c r="G95" s="498"/>
      <c r="H95" s="498"/>
      <c r="I95" s="498"/>
    </row>
    <row r="96" spans="1:12" s="77" customFormat="1" ht="14.25" x14ac:dyDescent="0.2">
      <c r="B96" s="84" t="s">
        <v>880</v>
      </c>
      <c r="C96" s="515" cm="1">
        <f t="array" ref="C96">IFERROR(INDEX(C84:C89,MATCH(C83,B84:B88)+1),"/")</f>
        <v>1.9258017462532839</v>
      </c>
      <c r="D96" s="384" t="s">
        <v>870</v>
      </c>
      <c r="E96" s="498"/>
      <c r="F96" s="498"/>
      <c r="G96" s="498"/>
      <c r="H96" s="498"/>
      <c r="I96" s="498"/>
    </row>
    <row r="97" spans="1:9" s="77" customFormat="1" x14ac:dyDescent="0.2">
      <c r="B97" s="84" t="s">
        <v>732</v>
      </c>
      <c r="C97" s="539">
        <f>IFERROR(ROUND(C95*C79,0),0)</f>
        <v>0</v>
      </c>
      <c r="D97" s="384" t="s">
        <v>872</v>
      </c>
      <c r="E97" s="498"/>
      <c r="F97" s="498"/>
      <c r="G97" s="498"/>
      <c r="H97" s="498"/>
      <c r="I97" s="498"/>
    </row>
    <row r="98" spans="1:9" s="77" customFormat="1" x14ac:dyDescent="0.2">
      <c r="B98" s="84" t="s">
        <v>733</v>
      </c>
      <c r="C98" s="539">
        <f>IFERROR(ROUND(C96*C79,0),0)</f>
        <v>0</v>
      </c>
      <c r="D98" s="384" t="s">
        <v>872</v>
      </c>
      <c r="E98" s="498"/>
      <c r="F98" s="498"/>
      <c r="G98" s="498"/>
      <c r="H98" s="498"/>
      <c r="I98" s="498"/>
    </row>
    <row r="99" spans="1:9" s="77" customFormat="1" x14ac:dyDescent="0.2">
      <c r="A99" s="80"/>
      <c r="C99" s="209"/>
      <c r="D99" s="209"/>
      <c r="E99" s="209"/>
      <c r="F99" s="209"/>
    </row>
    <row r="100" spans="1:9" s="77" customFormat="1" x14ac:dyDescent="0.2">
      <c r="A100" s="80"/>
      <c r="B100" s="209" t="str">
        <f>'OSNOVNI PODATKI'!A139</f>
        <v>STAVBA 5 / DEL 5</v>
      </c>
      <c r="C100" s="541">
        <f>'OSNOVNI PODATKI'!E139</f>
        <v>0</v>
      </c>
      <c r="D100" s="209"/>
      <c r="E100" s="209"/>
      <c r="F100" s="209"/>
    </row>
    <row r="101" spans="1:9" s="77" customFormat="1" x14ac:dyDescent="0.2">
      <c r="A101" s="80"/>
      <c r="B101" s="202" t="s">
        <v>718</v>
      </c>
      <c r="C101" s="84" t="str">
        <f>'OSNOVNI PODATKI'!E140</f>
        <v>Nepodkletene eno in dvostanovanjske stavbe, srednji standard</v>
      </c>
      <c r="D101" s="498"/>
      <c r="E101" s="498"/>
      <c r="F101" s="498"/>
      <c r="G101" s="498"/>
      <c r="H101" s="498"/>
      <c r="I101" s="498"/>
    </row>
    <row r="102" spans="1:9" s="77" customFormat="1" x14ac:dyDescent="0.2">
      <c r="A102" s="80"/>
      <c r="B102" s="202" t="s">
        <v>943</v>
      </c>
      <c r="C102" s="84">
        <f>'OSNOVNI PODATKI'!E141</f>
        <v>0</v>
      </c>
      <c r="D102" s="498"/>
      <c r="E102" s="498"/>
      <c r="F102" s="498"/>
      <c r="G102" s="498"/>
      <c r="H102" s="498"/>
      <c r="I102" s="498"/>
    </row>
    <row r="103" spans="1:9" s="77" customFormat="1" x14ac:dyDescent="0.2">
      <c r="A103" s="80"/>
      <c r="B103" s="202" t="s">
        <v>944</v>
      </c>
      <c r="C103" s="84">
        <f>IF($C$5=1,$C$6,C102)</f>
        <v>400</v>
      </c>
      <c r="D103" s="498"/>
      <c r="E103" s="498"/>
      <c r="F103" s="498"/>
      <c r="G103" s="498"/>
      <c r="H103" s="498"/>
      <c r="I103" s="498"/>
    </row>
    <row r="104" spans="1:9" s="77" customFormat="1" x14ac:dyDescent="0.2">
      <c r="A104" s="80"/>
      <c r="B104" s="538" t="s">
        <v>878</v>
      </c>
      <c r="C104" s="537">
        <f>'OSNOVNI PODATKI'!E151</f>
        <v>230.59999999999991</v>
      </c>
      <c r="D104" s="498"/>
      <c r="E104" s="498"/>
      <c r="F104" s="498"/>
      <c r="G104" s="498"/>
      <c r="H104" s="498"/>
      <c r="I104" s="498"/>
    </row>
    <row r="105" spans="1:9" s="77" customFormat="1" x14ac:dyDescent="0.2">
      <c r="A105" s="80"/>
      <c r="B105" s="538" t="s">
        <v>1033</v>
      </c>
      <c r="C105" s="1297">
        <f>IF((C114+C115+C116)&lt;25%*C113,C103*(1000+C104),(C113-37.5%*C113+50%)*C103*(1000+C104))</f>
        <v>492239.99999999994</v>
      </c>
      <c r="D105" s="498"/>
      <c r="E105" s="498"/>
      <c r="F105" s="498"/>
      <c r="G105" s="498"/>
      <c r="H105" s="498"/>
      <c r="I105" s="498"/>
    </row>
    <row r="106" spans="1:9" s="77" customFormat="1" x14ac:dyDescent="0.2">
      <c r="A106" s="80"/>
      <c r="B106" s="202" t="s">
        <v>116</v>
      </c>
      <c r="C106" s="84" t="str">
        <f>'OSNOVNI PODATKI'!E142</f>
        <v>Cenovni razred II</v>
      </c>
      <c r="D106" s="498"/>
      <c r="E106" s="498"/>
      <c r="F106" s="498"/>
      <c r="G106" s="498"/>
      <c r="H106" s="498"/>
      <c r="I106" s="498"/>
    </row>
    <row r="107" spans="1:9" s="77" customFormat="1" x14ac:dyDescent="0.2">
      <c r="A107" s="80"/>
      <c r="B107" s="530" t="s">
        <v>84</v>
      </c>
      <c r="C107" s="630">
        <f>IFERROR(0.005*POWER(C105,0.8868)/C103,"/")</f>
        <v>1.3955085117777422</v>
      </c>
      <c r="D107" s="532" t="s">
        <v>871</v>
      </c>
      <c r="E107" s="209"/>
      <c r="F107" s="209"/>
    </row>
    <row r="108" spans="1:9" s="77" customFormat="1" x14ac:dyDescent="0.2">
      <c r="A108" s="80"/>
      <c r="B108" s="533" t="s">
        <v>85</v>
      </c>
      <c r="C108" s="632">
        <f>IFERROR(0.0058*POWER(C105,0.8868)/C103,"/")</f>
        <v>1.6187898736621806</v>
      </c>
      <c r="D108" s="497" t="s">
        <v>871</v>
      </c>
      <c r="E108" s="209"/>
      <c r="F108" s="209"/>
    </row>
    <row r="109" spans="1:9" s="77" customFormat="1" x14ac:dyDescent="0.2">
      <c r="A109" s="80"/>
      <c r="B109" s="533" t="s">
        <v>86</v>
      </c>
      <c r="C109" s="632">
        <f>IFERROR(0.0069*POWER(C105,0.8868)/C103,"/")</f>
        <v>1.9258017462532839</v>
      </c>
      <c r="D109" s="497" t="s">
        <v>871</v>
      </c>
      <c r="E109" s="209"/>
      <c r="F109" s="209"/>
    </row>
    <row r="110" spans="1:9" s="77" customFormat="1" x14ac:dyDescent="0.2">
      <c r="A110" s="80"/>
      <c r="B110" s="533" t="s">
        <v>87</v>
      </c>
      <c r="C110" s="632">
        <f>IFERROR(0.0086*POWER(C105,0.8868)/C103,"/")</f>
        <v>2.4002746402577162</v>
      </c>
      <c r="D110" s="497" t="s">
        <v>871</v>
      </c>
      <c r="E110" s="209"/>
      <c r="F110" s="209"/>
      <c r="G110" s="209"/>
      <c r="H110" s="209"/>
      <c r="I110" s="209"/>
    </row>
    <row r="111" spans="1:9" s="77" customFormat="1" x14ac:dyDescent="0.2">
      <c r="A111" s="80"/>
      <c r="B111" s="533" t="s">
        <v>88</v>
      </c>
      <c r="C111" s="632">
        <f>IFERROR(0.0097*POWER(C105,0.8868)/C103,"/")</f>
        <v>2.7072865128488193</v>
      </c>
      <c r="D111" s="497" t="s">
        <v>871</v>
      </c>
      <c r="E111" s="209"/>
      <c r="F111" s="209"/>
      <c r="G111" s="209"/>
      <c r="H111" s="209"/>
      <c r="I111" s="209"/>
    </row>
    <row r="112" spans="1:9" s="77" customFormat="1" x14ac:dyDescent="0.2">
      <c r="A112" s="80"/>
      <c r="B112" s="535" t="s">
        <v>877</v>
      </c>
      <c r="C112" s="634">
        <f>IFERROR(0.0105*POWER(C105,0.8868)/C103,"/")</f>
        <v>2.9305678747332586</v>
      </c>
      <c r="D112" s="495" t="s">
        <v>871</v>
      </c>
      <c r="E112" s="209"/>
      <c r="F112" s="209"/>
      <c r="G112" s="209"/>
      <c r="H112" s="209"/>
      <c r="I112" s="209"/>
    </row>
    <row r="113" spans="1:25" s="77" customFormat="1" x14ac:dyDescent="0.2">
      <c r="A113" s="80"/>
      <c r="B113" s="533" t="str">
        <f>'OSNOVNI PODATKI'!B162</f>
        <v>GRADBENO OBRTNIŠKA DELA (GO)</v>
      </c>
      <c r="C113" s="636">
        <f>'OSNOVNI PODATKI'!D162</f>
        <v>0.80800000000000005</v>
      </c>
      <c r="D113" s="635"/>
      <c r="E113" s="209"/>
      <c r="F113" s="209"/>
      <c r="G113" s="209"/>
      <c r="H113" s="209"/>
      <c r="I113" s="209"/>
      <c r="L113" s="633"/>
    </row>
    <row r="114" spans="1:25" s="77" customFormat="1" x14ac:dyDescent="0.2">
      <c r="A114" s="80"/>
      <c r="B114" s="533" t="str">
        <f>'OSNOVNI PODATKI'!B158</f>
        <v>INFORMATIVNA OCENA STROŠKOV GRADNJE</v>
      </c>
      <c r="C114" s="636">
        <f>'OSNOVNI PODATKI'!D163</f>
        <v>4.4544000000000007E-2</v>
      </c>
      <c r="D114" s="635"/>
      <c r="E114" s="209"/>
      <c r="F114" s="209"/>
      <c r="G114" s="209"/>
      <c r="H114" s="209"/>
      <c r="I114" s="209"/>
      <c r="L114" s="633"/>
    </row>
    <row r="115" spans="1:25" s="77" customFormat="1" x14ac:dyDescent="0.2">
      <c r="A115" s="80"/>
      <c r="B115" s="533" t="str">
        <f>'OSNOVNI PODATKI'!B159</f>
        <v>INFORMATIVNA VREDNOST STROŠKOV GRADNJE EUR/m2 BTP</v>
      </c>
      <c r="C115" s="636">
        <f>'OSNOVNI PODATKI'!D164</f>
        <v>0.14764799999999997</v>
      </c>
      <c r="D115" s="635"/>
      <c r="E115" s="209"/>
      <c r="F115" s="209"/>
      <c r="G115" s="209"/>
      <c r="H115" s="209"/>
      <c r="I115" s="209"/>
      <c r="L115" s="633"/>
    </row>
    <row r="116" spans="1:25" s="77" customFormat="1" x14ac:dyDescent="0.2">
      <c r="A116" s="80"/>
      <c r="B116" s="533" t="str">
        <f>'OSNOVNI PODATKI'!B160</f>
        <v>IZBRANA VREDNOST STROŠKOV GRADNJE EUR/m2 BEP</v>
      </c>
      <c r="C116" s="636">
        <f>'OSNOVNI PODATKI'!D165</f>
        <v>0</v>
      </c>
      <c r="D116" s="635"/>
      <c r="E116" s="209"/>
      <c r="F116" s="209"/>
      <c r="G116" s="209"/>
      <c r="H116" s="209"/>
      <c r="I116" s="209"/>
      <c r="L116" s="633"/>
    </row>
    <row r="117" spans="1:25" s="77" customFormat="1" x14ac:dyDescent="0.2">
      <c r="A117" s="80"/>
      <c r="C117" s="84"/>
      <c r="D117" s="498"/>
      <c r="E117" s="209"/>
      <c r="F117" s="209"/>
      <c r="G117" s="209"/>
      <c r="H117" s="209"/>
      <c r="I117" s="209"/>
    </row>
    <row r="118" spans="1:25" s="77" customFormat="1" ht="14.25" x14ac:dyDescent="0.2">
      <c r="B118" s="84" t="s">
        <v>879</v>
      </c>
      <c r="C118" s="515">
        <f>IFERROR(LOOKUP(C106,B107:C111),"/")</f>
        <v>1.6187898736621806</v>
      </c>
      <c r="D118" s="384" t="s">
        <v>870</v>
      </c>
      <c r="E118" s="498"/>
      <c r="F118" s="498"/>
      <c r="G118" s="498"/>
      <c r="H118" s="498"/>
      <c r="I118" s="498"/>
    </row>
    <row r="119" spans="1:25" s="77" customFormat="1" ht="14.25" x14ac:dyDescent="0.2">
      <c r="B119" s="84" t="s">
        <v>880</v>
      </c>
      <c r="C119" s="515" cm="1">
        <f t="array" ref="C119">IFERROR(INDEX(C107:C112,MATCH(C106,B107:B111)+1),"/")</f>
        <v>1.9258017462532839</v>
      </c>
      <c r="D119" s="384" t="s">
        <v>870</v>
      </c>
      <c r="E119" s="498"/>
      <c r="F119" s="498"/>
      <c r="G119" s="498"/>
      <c r="H119" s="498"/>
      <c r="I119" s="498"/>
    </row>
    <row r="120" spans="1:25" s="77" customFormat="1" x14ac:dyDescent="0.2">
      <c r="B120" s="84" t="s">
        <v>732</v>
      </c>
      <c r="C120" s="539">
        <f>IFERROR(ROUND(C118*C102,0),0)</f>
        <v>0</v>
      </c>
      <c r="D120" s="384" t="s">
        <v>872</v>
      </c>
      <c r="E120" s="498"/>
      <c r="F120" s="498"/>
      <c r="G120" s="498"/>
      <c r="H120" s="498"/>
      <c r="I120" s="498"/>
    </row>
    <row r="121" spans="1:25" s="77" customFormat="1" x14ac:dyDescent="0.2">
      <c r="B121" s="84" t="s">
        <v>733</v>
      </c>
      <c r="C121" s="539">
        <f>IFERROR(ROUND(C119*C102,0),0)</f>
        <v>0</v>
      </c>
      <c r="D121" s="384" t="s">
        <v>872</v>
      </c>
      <c r="E121" s="498"/>
      <c r="F121" s="498"/>
      <c r="G121" s="498"/>
      <c r="H121" s="498"/>
      <c r="I121" s="498"/>
    </row>
    <row r="122" spans="1:25" s="77" customFormat="1" x14ac:dyDescent="0.2">
      <c r="A122" s="80"/>
      <c r="C122" s="209"/>
      <c r="D122" s="209"/>
      <c r="E122" s="209"/>
      <c r="F122" s="209"/>
    </row>
    <row r="123" spans="1:25" ht="13.5" thickBot="1" x14ac:dyDescent="0.25"/>
    <row r="124" spans="1:25" s="77" customFormat="1" ht="18.75" x14ac:dyDescent="0.2">
      <c r="A124" s="807" t="s">
        <v>216</v>
      </c>
      <c r="B124" s="805"/>
      <c r="C124" s="806"/>
      <c r="D124" s="806"/>
      <c r="E124" s="806"/>
      <c r="F124" s="806"/>
      <c r="G124" s="806"/>
      <c r="H124" s="805"/>
      <c r="I124" s="805"/>
      <c r="J124" s="805"/>
      <c r="K124" s="805"/>
      <c r="L124" s="805"/>
      <c r="M124" s="805"/>
      <c r="N124" s="805"/>
      <c r="O124" s="805"/>
      <c r="P124" s="805"/>
      <c r="Q124" s="805"/>
      <c r="R124" s="805"/>
      <c r="S124" s="805"/>
      <c r="T124" s="805"/>
      <c r="U124" s="805"/>
      <c r="V124" s="805"/>
      <c r="W124" s="805"/>
      <c r="X124" s="805"/>
      <c r="Y124" s="805"/>
    </row>
    <row r="125" spans="1:25" s="77" customFormat="1" x14ac:dyDescent="0.2">
      <c r="A125" s="209"/>
      <c r="B125" s="209"/>
      <c r="C125" s="209"/>
      <c r="D125" s="209"/>
      <c r="E125" s="209"/>
      <c r="H125" s="209"/>
    </row>
    <row r="126" spans="1:25" s="77" customFormat="1" x14ac:dyDescent="0.2">
      <c r="A126" s="209"/>
      <c r="B126" s="84" t="s">
        <v>868</v>
      </c>
      <c r="C126" s="209"/>
      <c r="D126" s="209"/>
      <c r="E126" s="209"/>
      <c r="F126" s="496">
        <f>'OSNOVNI PODATKI'!G368</f>
        <v>709.5</v>
      </c>
      <c r="G126" s="209"/>
      <c r="H126" s="209"/>
    </row>
    <row r="127" spans="1:25" s="77" customFormat="1" x14ac:dyDescent="0.2">
      <c r="A127" s="209"/>
      <c r="B127" s="84" t="s">
        <v>869</v>
      </c>
      <c r="C127" s="207"/>
      <c r="D127" s="83"/>
      <c r="E127" s="83"/>
      <c r="F127" s="482">
        <f>'ARHIGRAM 6'!I16</f>
        <v>55</v>
      </c>
      <c r="G127" s="207"/>
      <c r="H127" s="207"/>
    </row>
    <row r="128" spans="1:25" s="77" customFormat="1" x14ac:dyDescent="0.2">
      <c r="A128" s="209"/>
      <c r="B128" s="209"/>
      <c r="C128" s="209"/>
      <c r="D128" s="209"/>
      <c r="E128" s="209"/>
      <c r="G128" s="209"/>
      <c r="H128" s="209"/>
    </row>
    <row r="129" spans="1:25" s="77" customFormat="1" x14ac:dyDescent="0.2">
      <c r="B129" s="84" t="str">
        <f>'OSNOVNI PODATKI'!$B$384</f>
        <v>PRIBITEK ZA PRENOVO</v>
      </c>
      <c r="C129" s="207"/>
      <c r="D129" s="83"/>
      <c r="E129" s="83"/>
      <c r="F129" s="310">
        <f>'OSNOVNI PODATKI'!$F$384</f>
        <v>0</v>
      </c>
      <c r="G129" s="207" t="str">
        <f>'OSNOVNI PODATKI'!G384</f>
        <v>upošteva se v fazah od 1 do 4., samo za storitve projektiranja</v>
      </c>
      <c r="H129" s="207"/>
    </row>
    <row r="130" spans="1:25" s="77" customFormat="1" x14ac:dyDescent="0.2">
      <c r="B130" s="84" t="str">
        <f>'OSNOVNI PODATKI'!$B$385</f>
        <v>PRIBITEK ZA VKLJUČEVANJE DRUGIH IZVAJALCEV V POGODBO</v>
      </c>
      <c r="C130" s="207"/>
      <c r="D130" s="83"/>
      <c r="E130" s="83"/>
      <c r="F130" s="310">
        <f>'OSNOVNI PODATKI'!$F$385</f>
        <v>0</v>
      </c>
      <c r="G130" s="207" t="str">
        <f>'OSNOVNI PODATKI'!G385</f>
        <v>upošteva se v vseh fazah, samo za storitve vodenja in koordinacije</v>
      </c>
      <c r="H130" s="207"/>
    </row>
    <row r="131" spans="1:25" s="77" customFormat="1" x14ac:dyDescent="0.2">
      <c r="A131" s="209"/>
      <c r="B131" s="84" t="s">
        <v>958</v>
      </c>
      <c r="C131" s="207"/>
      <c r="D131" s="83"/>
      <c r="E131" s="83"/>
      <c r="F131" s="646" t="str">
        <f>IF('OSNOVNI PODATKI'!A366=TRUE,"DA","NE")</f>
        <v>DA</v>
      </c>
      <c r="G131" s="209"/>
      <c r="H131" s="209"/>
    </row>
    <row r="133" spans="1:25" x14ac:dyDescent="0.2">
      <c r="B133" s="210" t="s">
        <v>1050</v>
      </c>
      <c r="C133" s="210"/>
      <c r="D133" s="210"/>
      <c r="E133" s="210"/>
      <c r="F133" s="210"/>
      <c r="G133" s="210"/>
      <c r="H133" s="210"/>
      <c r="K133" s="210" t="s">
        <v>958</v>
      </c>
      <c r="L133" s="210"/>
      <c r="M133" s="210"/>
      <c r="N133" s="210"/>
      <c r="O133" s="210"/>
      <c r="P133" s="210"/>
      <c r="Q133" s="210"/>
      <c r="R133" s="210"/>
    </row>
    <row r="134" spans="1:25" s="12" customFormat="1" ht="38.25" x14ac:dyDescent="0.25">
      <c r="A134" s="105"/>
      <c r="B134" s="106"/>
      <c r="C134" s="106"/>
      <c r="D134" s="106"/>
      <c r="E134" s="107" t="s">
        <v>25</v>
      </c>
      <c r="F134" s="299" t="s">
        <v>908</v>
      </c>
      <c r="G134" s="606" t="s">
        <v>57</v>
      </c>
      <c r="H134" s="108" t="s">
        <v>70</v>
      </c>
      <c r="I134" s="411" t="s">
        <v>907</v>
      </c>
      <c r="J134" s="301"/>
      <c r="K134" s="105"/>
      <c r="L134" s="106"/>
      <c r="M134" s="106"/>
      <c r="N134" s="106"/>
      <c r="O134" s="107" t="s">
        <v>25</v>
      </c>
      <c r="P134" s="299" t="s">
        <v>908</v>
      </c>
      <c r="Q134" s="606" t="s">
        <v>57</v>
      </c>
      <c r="R134" s="108" t="s">
        <v>70</v>
      </c>
      <c r="S134" s="411" t="s">
        <v>907</v>
      </c>
      <c r="T134" s="411"/>
      <c r="U134" s="299" t="s">
        <v>1083</v>
      </c>
      <c r="V134" s="299" t="s">
        <v>1084</v>
      </c>
      <c r="W134" s="746" t="s">
        <v>1085</v>
      </c>
      <c r="X134" s="108" t="s">
        <v>1086</v>
      </c>
    </row>
    <row r="135" spans="1:25" s="13" customFormat="1" ht="14.25" x14ac:dyDescent="0.2">
      <c r="A135" s="101" t="s">
        <v>29</v>
      </c>
      <c r="B135" s="102" t="s">
        <v>30</v>
      </c>
      <c r="C135" s="102"/>
      <c r="D135" s="102"/>
      <c r="E135" s="103"/>
      <c r="F135" s="103"/>
      <c r="G135" s="607"/>
      <c r="H135" s="104"/>
      <c r="K135" s="101" t="s">
        <v>29</v>
      </c>
      <c r="L135" s="102" t="s">
        <v>30</v>
      </c>
      <c r="M135" s="102"/>
      <c r="N135" s="102"/>
      <c r="O135" s="103"/>
      <c r="P135" s="103"/>
      <c r="Q135" s="607"/>
      <c r="R135" s="104"/>
      <c r="U135" s="103"/>
      <c r="V135" s="103"/>
      <c r="W135" s="607"/>
      <c r="X135" s="103"/>
    </row>
    <row r="136" spans="1:25" s="13" customFormat="1" ht="14.25" x14ac:dyDescent="0.2">
      <c r="A136" s="85" t="s">
        <v>31</v>
      </c>
      <c r="B136" s="97" t="s">
        <v>65</v>
      </c>
      <c r="C136" s="97"/>
      <c r="D136" s="97"/>
      <c r="E136" s="86"/>
      <c r="F136" s="86"/>
      <c r="G136" s="608"/>
      <c r="H136" s="87"/>
      <c r="K136" s="85" t="s">
        <v>31</v>
      </c>
      <c r="L136" s="97" t="s">
        <v>65</v>
      </c>
      <c r="M136" s="97"/>
      <c r="N136" s="97"/>
      <c r="O136" s="86"/>
      <c r="P136" s="86"/>
      <c r="Q136" s="608"/>
      <c r="R136" s="87"/>
      <c r="U136" s="86"/>
      <c r="V136" s="86"/>
      <c r="W136" s="608"/>
      <c r="X136" s="86"/>
    </row>
    <row r="137" spans="1:25" s="13" customFormat="1" ht="14.25" x14ac:dyDescent="0.2">
      <c r="A137" s="110" t="s">
        <v>32</v>
      </c>
      <c r="B137" s="111" t="s">
        <v>66</v>
      </c>
      <c r="C137" s="111"/>
      <c r="D137" s="111"/>
      <c r="E137" s="112"/>
      <c r="F137" s="112"/>
      <c r="G137" s="609"/>
      <c r="H137" s="91"/>
      <c r="K137" s="110" t="s">
        <v>32</v>
      </c>
      <c r="L137" s="111" t="s">
        <v>66</v>
      </c>
      <c r="M137" s="111"/>
      <c r="N137" s="111"/>
      <c r="O137" s="112"/>
      <c r="P137" s="112"/>
      <c r="Q137" s="609"/>
      <c r="R137" s="91"/>
      <c r="U137" s="112"/>
      <c r="V137" s="112"/>
      <c r="W137" s="609"/>
      <c r="X137" s="112"/>
    </row>
    <row r="138" spans="1:25" s="13" customFormat="1" ht="14.25" x14ac:dyDescent="0.2">
      <c r="A138" s="109" t="s">
        <v>33</v>
      </c>
      <c r="B138" s="102" t="s">
        <v>34</v>
      </c>
      <c r="C138" s="102"/>
      <c r="D138" s="102"/>
      <c r="E138" s="302">
        <f>SUM(E139:E141)</f>
        <v>5.0000000000000001E-3</v>
      </c>
      <c r="F138" s="302">
        <f>SUM(F139:F141)</f>
        <v>5.0000000000000001E-3</v>
      </c>
      <c r="G138" s="613">
        <f>SUM(G139:G141)</f>
        <v>3.5474999999999999</v>
      </c>
      <c r="H138" s="104">
        <f>SUM(H139:H141)</f>
        <v>195.11249999999998</v>
      </c>
      <c r="I138" s="125">
        <f>IFERROR(H138/'OSNOVNI PODATKI'!$E$332,0)</f>
        <v>0</v>
      </c>
      <c r="K138" s="109" t="s">
        <v>33</v>
      </c>
      <c r="L138" s="102" t="s">
        <v>34</v>
      </c>
      <c r="M138" s="102"/>
      <c r="N138" s="102"/>
      <c r="O138" s="302">
        <f>SUM(O139:O141)</f>
        <v>1.4999999999999999E-2</v>
      </c>
      <c r="P138" s="302">
        <f>SUM(P139:P141)</f>
        <v>1.4999999999999999E-2</v>
      </c>
      <c r="Q138" s="613">
        <f>SUM(Q139:Q141)</f>
        <v>10.6425</v>
      </c>
      <c r="R138" s="104">
        <f>SUM(R139:R141)</f>
        <v>585.33749999999998</v>
      </c>
      <c r="S138" s="125">
        <f>IFERROR(R138/'OSNOVNI PODATKI'!$E$332,0)</f>
        <v>0</v>
      </c>
      <c r="T138" s="125"/>
      <c r="U138" s="302">
        <f>SUM(U139:U141)</f>
        <v>0.02</v>
      </c>
      <c r="V138" s="302">
        <f>SUM(V139:V141)</f>
        <v>0.02</v>
      </c>
      <c r="W138" s="613">
        <f>SUM(W139:W141)</f>
        <v>14.19</v>
      </c>
      <c r="X138" s="104">
        <f>SUM(X139:X141)</f>
        <v>780.44999999999993</v>
      </c>
      <c r="Y138" s="125">
        <f>IFERROR(X138/'OSNOVNI PODATKI'!$E$332,0)</f>
        <v>0</v>
      </c>
    </row>
    <row r="139" spans="1:25" s="13" customFormat="1" ht="14.25" x14ac:dyDescent="0.2">
      <c r="A139" s="88" t="s">
        <v>35</v>
      </c>
      <c r="B139" s="96" t="s">
        <v>67</v>
      </c>
      <c r="C139" s="96"/>
      <c r="D139" s="96"/>
      <c r="E139" s="300">
        <v>2.5000000000000001E-3</v>
      </c>
      <c r="F139" s="300">
        <f>E139*(100%+$F$129)</f>
        <v>2.5000000000000001E-3</v>
      </c>
      <c r="G139" s="614">
        <f>F139*$F$126</f>
        <v>1.7737499999999999</v>
      </c>
      <c r="H139" s="87">
        <f>+G139*$F$127</f>
        <v>97.556249999999991</v>
      </c>
      <c r="K139" s="88" t="s">
        <v>35</v>
      </c>
      <c r="L139" s="96" t="s">
        <v>67</v>
      </c>
      <c r="M139" s="96"/>
      <c r="N139" s="96"/>
      <c r="O139" s="300">
        <v>2.5000000000000001E-3</v>
      </c>
      <c r="P139" s="300">
        <f>O139*(100%+$F$130)</f>
        <v>2.5000000000000001E-3</v>
      </c>
      <c r="Q139" s="614">
        <f>IF($F$131="DA",P139*$F$126,0)</f>
        <v>1.7737499999999999</v>
      </c>
      <c r="R139" s="87">
        <f>+Q139*$F$127</f>
        <v>97.556249999999991</v>
      </c>
      <c r="U139" s="480">
        <f t="shared" ref="U139:V141" si="0">+E139+O139</f>
        <v>5.0000000000000001E-3</v>
      </c>
      <c r="V139" s="480">
        <f t="shared" si="0"/>
        <v>5.0000000000000001E-3</v>
      </c>
      <c r="W139" s="614">
        <f t="shared" ref="W139:X141" si="1">+G139+Q139</f>
        <v>3.5474999999999999</v>
      </c>
      <c r="X139" s="87">
        <f t="shared" si="1"/>
        <v>195.11249999999998</v>
      </c>
    </row>
    <row r="140" spans="1:25" s="13" customFormat="1" ht="14.25" x14ac:dyDescent="0.2">
      <c r="A140" s="88" t="s">
        <v>36</v>
      </c>
      <c r="B140" s="96" t="s">
        <v>68</v>
      </c>
      <c r="C140" s="96"/>
      <c r="D140" s="96"/>
      <c r="E140" s="300">
        <v>2.5000000000000001E-3</v>
      </c>
      <c r="F140" s="300">
        <f>E140*(100%+$F$129)</f>
        <v>2.5000000000000001E-3</v>
      </c>
      <c r="G140" s="614">
        <f>F140*$F$126</f>
        <v>1.7737499999999999</v>
      </c>
      <c r="H140" s="87">
        <f>+G140*$F$127</f>
        <v>97.556249999999991</v>
      </c>
      <c r="K140" s="88" t="s">
        <v>36</v>
      </c>
      <c r="L140" s="96" t="s">
        <v>68</v>
      </c>
      <c r="M140" s="96"/>
      <c r="N140" s="96"/>
      <c r="O140" s="300">
        <v>2.5000000000000001E-3</v>
      </c>
      <c r="P140" s="300">
        <f>O140*(100%+$F$130)</f>
        <v>2.5000000000000001E-3</v>
      </c>
      <c r="Q140" s="614">
        <f>IF($F$131="DA",P140*$F$126,0)</f>
        <v>1.7737499999999999</v>
      </c>
      <c r="R140" s="87">
        <f>+Q140*$F$127</f>
        <v>97.556249999999991</v>
      </c>
      <c r="U140" s="480">
        <f t="shared" si="0"/>
        <v>5.0000000000000001E-3</v>
      </c>
      <c r="V140" s="480">
        <f t="shared" si="0"/>
        <v>5.0000000000000001E-3</v>
      </c>
      <c r="W140" s="614">
        <f t="shared" si="1"/>
        <v>3.5474999999999999</v>
      </c>
      <c r="X140" s="87">
        <f t="shared" si="1"/>
        <v>195.11249999999998</v>
      </c>
    </row>
    <row r="141" spans="1:25" s="13" customFormat="1" ht="14.25" x14ac:dyDescent="0.2">
      <c r="A141" s="114" t="s">
        <v>37</v>
      </c>
      <c r="B141" s="115" t="s">
        <v>837</v>
      </c>
      <c r="C141" s="115"/>
      <c r="D141" s="115"/>
      <c r="E141" s="479"/>
      <c r="F141" s="479"/>
      <c r="G141" s="615"/>
      <c r="H141" s="91"/>
      <c r="K141" s="114" t="s">
        <v>37</v>
      </c>
      <c r="L141" s="115" t="s">
        <v>837</v>
      </c>
      <c r="M141" s="115"/>
      <c r="N141" s="115"/>
      <c r="O141" s="479">
        <v>0.01</v>
      </c>
      <c r="P141" s="479">
        <f>O141*(100%+$F$130)</f>
        <v>0.01</v>
      </c>
      <c r="Q141" s="615">
        <f>IF($F$131="DA",P141*$F$126,0)</f>
        <v>7.0949999999999998</v>
      </c>
      <c r="R141" s="91">
        <f>+Q141*$F$127</f>
        <v>390.22499999999997</v>
      </c>
      <c r="U141" s="481">
        <f t="shared" si="0"/>
        <v>0.01</v>
      </c>
      <c r="V141" s="481">
        <f t="shared" si="0"/>
        <v>0.01</v>
      </c>
      <c r="W141" s="615">
        <f t="shared" si="1"/>
        <v>7.0949999999999998</v>
      </c>
      <c r="X141" s="91">
        <f t="shared" si="1"/>
        <v>390.22499999999997</v>
      </c>
    </row>
    <row r="142" spans="1:25" s="13" customFormat="1" ht="14.25" x14ac:dyDescent="0.2">
      <c r="A142" s="113">
        <v>2</v>
      </c>
      <c r="B142" s="102" t="s">
        <v>38</v>
      </c>
      <c r="C142" s="102"/>
      <c r="D142" s="102"/>
      <c r="E142" s="302">
        <f>SUM(E143:E152)</f>
        <v>0.5</v>
      </c>
      <c r="F142" s="302">
        <f>SUM(F143:F152)</f>
        <v>0.5</v>
      </c>
      <c r="G142" s="616">
        <f>SUM(G143:G152)</f>
        <v>354.75</v>
      </c>
      <c r="H142" s="104">
        <f>SUM(H143:H152)</f>
        <v>19511.25</v>
      </c>
      <c r="I142" s="125">
        <f>IFERROR(H142/'OSNOVNI PODATKI'!$E$332,0)</f>
        <v>0</v>
      </c>
      <c r="K142" s="113">
        <v>2</v>
      </c>
      <c r="L142" s="102" t="s">
        <v>38</v>
      </c>
      <c r="M142" s="102"/>
      <c r="N142" s="102"/>
      <c r="O142" s="302">
        <f>SUM(O143:O152)</f>
        <v>0.1</v>
      </c>
      <c r="P142" s="302">
        <f>SUM(P143:P152)</f>
        <v>0.1</v>
      </c>
      <c r="Q142" s="616">
        <f>SUM(Q143:Q152)</f>
        <v>70.95</v>
      </c>
      <c r="R142" s="104">
        <f>SUM(R143:R152)</f>
        <v>3902.25</v>
      </c>
      <c r="S142" s="125">
        <f>IFERROR(R142/'OSNOVNI PODATKI'!$E$332,0)</f>
        <v>0</v>
      </c>
      <c r="T142" s="125"/>
      <c r="U142" s="302">
        <f>SUM(U143:U152)</f>
        <v>0.60000000000000009</v>
      </c>
      <c r="V142" s="302">
        <f>SUM(V143:V152)</f>
        <v>0.60000000000000009</v>
      </c>
      <c r="W142" s="616">
        <f>SUM(W143:W152)</f>
        <v>425.7</v>
      </c>
      <c r="X142" s="104">
        <f>SUM(X143:X152)</f>
        <v>23413.5</v>
      </c>
      <c r="Y142" s="125">
        <f>IFERROR(X142/'OSNOVNI PODATKI'!$E$332,0)</f>
        <v>0</v>
      </c>
    </row>
    <row r="143" spans="1:25" s="13" customFormat="1" ht="14.25" x14ac:dyDescent="0.2">
      <c r="A143" s="88" t="s">
        <v>51</v>
      </c>
      <c r="B143" s="96" t="s">
        <v>94</v>
      </c>
      <c r="C143" s="96"/>
      <c r="D143" s="96"/>
      <c r="E143" s="480">
        <v>4.7500000000000001E-2</v>
      </c>
      <c r="F143" s="300">
        <f>E143*(100%+$F$129)</f>
        <v>4.7500000000000001E-2</v>
      </c>
      <c r="G143" s="614">
        <f t="shared" ref="G143:G149" si="2">F143*$F$126</f>
        <v>33.701250000000002</v>
      </c>
      <c r="H143" s="87">
        <f t="shared" ref="H143:H149" si="3">+G143*$F$127</f>
        <v>1853.5687500000001</v>
      </c>
      <c r="K143" s="88" t="s">
        <v>51</v>
      </c>
      <c r="L143" s="96" t="s">
        <v>94</v>
      </c>
      <c r="M143" s="96"/>
      <c r="N143" s="96"/>
      <c r="O143" s="480">
        <v>2.5000000000000001E-3</v>
      </c>
      <c r="P143" s="300">
        <f t="shared" ref="P143:P150" si="4">O143*(100%+$F$130)</f>
        <v>2.5000000000000001E-3</v>
      </c>
      <c r="Q143" s="614">
        <f>IF($F$131="DA",P143*$F$126,0)</f>
        <v>1.7737499999999999</v>
      </c>
      <c r="R143" s="87">
        <f t="shared" ref="R143:R152" si="5">+Q143*$F$127</f>
        <v>97.556249999999991</v>
      </c>
      <c r="T143" s="125"/>
      <c r="U143" s="480">
        <f>+E143+O143</f>
        <v>0.05</v>
      </c>
      <c r="V143" s="480">
        <f>+F143+P143</f>
        <v>0.05</v>
      </c>
      <c r="W143" s="614">
        <f t="shared" ref="W143:X152" si="6">+G143+Q143</f>
        <v>35.475000000000001</v>
      </c>
      <c r="X143" s="87">
        <f t="shared" si="6"/>
        <v>1951.1250000000002</v>
      </c>
    </row>
    <row r="144" spans="1:25" s="13" customFormat="1" ht="14.25" x14ac:dyDescent="0.2">
      <c r="A144" s="89" t="s">
        <v>52</v>
      </c>
      <c r="B144" s="100" t="s">
        <v>737</v>
      </c>
      <c r="C144" s="100"/>
      <c r="D144" s="100"/>
      <c r="E144" s="480">
        <v>0.14249999999999999</v>
      </c>
      <c r="F144" s="300">
        <f>E144*(100%+$F$129)</f>
        <v>0.14249999999999999</v>
      </c>
      <c r="G144" s="614">
        <f t="shared" si="2"/>
        <v>101.10374999999999</v>
      </c>
      <c r="H144" s="87">
        <f t="shared" si="3"/>
        <v>5560.7062499999993</v>
      </c>
      <c r="K144" s="89" t="s">
        <v>52</v>
      </c>
      <c r="L144" s="100" t="s">
        <v>737</v>
      </c>
      <c r="M144" s="100"/>
      <c r="N144" s="100"/>
      <c r="O144" s="480">
        <v>7.4999999999999997E-3</v>
      </c>
      <c r="P144" s="300">
        <f t="shared" si="4"/>
        <v>7.4999999999999997E-3</v>
      </c>
      <c r="Q144" s="614">
        <f>IF($F$131="DA",P144*$F$126,0)</f>
        <v>5.32125</v>
      </c>
      <c r="R144" s="87">
        <f t="shared" si="5"/>
        <v>292.66874999999999</v>
      </c>
      <c r="T144" s="125"/>
      <c r="U144" s="480">
        <f t="shared" ref="U144:U152" si="7">+E144+O144</f>
        <v>0.15</v>
      </c>
      <c r="V144" s="480">
        <f t="shared" ref="V144:V152" si="8">+F144+P144</f>
        <v>0.15</v>
      </c>
      <c r="W144" s="614">
        <f t="shared" si="6"/>
        <v>106.425</v>
      </c>
      <c r="X144" s="87">
        <f t="shared" si="6"/>
        <v>5853.3749999999991</v>
      </c>
    </row>
    <row r="145" spans="1:25" s="13" customFormat="1" ht="14.25" x14ac:dyDescent="0.2">
      <c r="A145" s="89" t="s">
        <v>53</v>
      </c>
      <c r="B145" s="100" t="s">
        <v>841</v>
      </c>
      <c r="C145" s="100"/>
      <c r="D145" s="100"/>
      <c r="E145" s="480"/>
      <c r="F145" s="300"/>
      <c r="G145" s="614"/>
      <c r="H145" s="87"/>
      <c r="K145" s="89" t="s">
        <v>53</v>
      </c>
      <c r="L145" s="100" t="s">
        <v>841</v>
      </c>
      <c r="M145" s="100"/>
      <c r="N145" s="100"/>
      <c r="O145" s="480"/>
      <c r="P145" s="300"/>
      <c r="Q145" s="614"/>
      <c r="R145" s="87"/>
      <c r="T145" s="125"/>
      <c r="U145" s="480"/>
      <c r="V145" s="480"/>
      <c r="W145" s="614"/>
      <c r="X145" s="87"/>
    </row>
    <row r="146" spans="1:25" s="13" customFormat="1" ht="14.25" x14ac:dyDescent="0.2">
      <c r="A146" s="89"/>
      <c r="B146" s="100" t="s">
        <v>844</v>
      </c>
      <c r="C146" s="100"/>
      <c r="D146" s="100"/>
      <c r="E146" s="480"/>
      <c r="F146" s="300"/>
      <c r="G146" s="614"/>
      <c r="H146" s="87"/>
      <c r="K146" s="89"/>
      <c r="L146" s="100" t="s">
        <v>844</v>
      </c>
      <c r="M146" s="100"/>
      <c r="N146" s="100"/>
      <c r="O146" s="480">
        <v>6.0000000000000001E-3</v>
      </c>
      <c r="P146" s="300">
        <f t="shared" si="4"/>
        <v>6.0000000000000001E-3</v>
      </c>
      <c r="Q146" s="614">
        <f>IF($F$131="DA",P146*$F$126,0)</f>
        <v>4.2569999999999997</v>
      </c>
      <c r="R146" s="87">
        <f t="shared" si="5"/>
        <v>234.13499999999999</v>
      </c>
      <c r="T146" s="125"/>
      <c r="U146" s="480">
        <f t="shared" si="7"/>
        <v>6.0000000000000001E-3</v>
      </c>
      <c r="V146" s="480">
        <f t="shared" si="8"/>
        <v>6.0000000000000001E-3</v>
      </c>
      <c r="W146" s="614">
        <f t="shared" si="6"/>
        <v>4.2569999999999997</v>
      </c>
      <c r="X146" s="87">
        <f t="shared" si="6"/>
        <v>234.13499999999999</v>
      </c>
    </row>
    <row r="147" spans="1:25" s="13" customFormat="1" ht="14.25" x14ac:dyDescent="0.2">
      <c r="A147" s="89"/>
      <c r="B147" s="100" t="s">
        <v>845</v>
      </c>
      <c r="C147" s="100"/>
      <c r="D147" s="100"/>
      <c r="E147" s="480"/>
      <c r="F147" s="300"/>
      <c r="G147" s="614"/>
      <c r="H147" s="87"/>
      <c r="K147" s="89"/>
      <c r="L147" s="100" t="s">
        <v>845</v>
      </c>
      <c r="M147" s="100"/>
      <c r="N147" s="100"/>
      <c r="O147" s="480">
        <v>2.4E-2</v>
      </c>
      <c r="P147" s="300">
        <f t="shared" si="4"/>
        <v>2.4E-2</v>
      </c>
      <c r="Q147" s="614">
        <f>IF($F$131="DA",P147*$F$126,0)</f>
        <v>17.027999999999999</v>
      </c>
      <c r="R147" s="87">
        <f t="shared" si="5"/>
        <v>936.54</v>
      </c>
      <c r="T147" s="125"/>
      <c r="U147" s="480">
        <f t="shared" si="7"/>
        <v>2.4E-2</v>
      </c>
      <c r="V147" s="480">
        <f t="shared" si="8"/>
        <v>2.4E-2</v>
      </c>
      <c r="W147" s="614">
        <f t="shared" si="6"/>
        <v>17.027999999999999</v>
      </c>
      <c r="X147" s="87">
        <f t="shared" si="6"/>
        <v>936.54</v>
      </c>
    </row>
    <row r="148" spans="1:25" s="777" customFormat="1" ht="14.25" x14ac:dyDescent="0.2">
      <c r="A148" s="772"/>
      <c r="B148" s="773" t="s">
        <v>1032</v>
      </c>
      <c r="C148" s="773"/>
      <c r="D148" s="773"/>
      <c r="E148" s="771"/>
      <c r="F148" s="774"/>
      <c r="G148" s="614"/>
      <c r="H148" s="776"/>
      <c r="J148" s="13"/>
      <c r="K148" s="772"/>
      <c r="L148" s="773" t="s">
        <v>1032</v>
      </c>
      <c r="M148" s="773"/>
      <c r="N148" s="773"/>
      <c r="O148" s="771">
        <v>0.02</v>
      </c>
      <c r="P148" s="778">
        <f t="shared" si="4"/>
        <v>0.02</v>
      </c>
      <c r="Q148" s="821">
        <f>IF($F$131="DA",P148*$F$126,0)</f>
        <v>14.19</v>
      </c>
      <c r="R148" s="780">
        <f t="shared" si="5"/>
        <v>780.44999999999993</v>
      </c>
      <c r="T148" s="125"/>
      <c r="U148" s="771">
        <f t="shared" si="7"/>
        <v>0.02</v>
      </c>
      <c r="V148" s="771">
        <f t="shared" si="8"/>
        <v>0.02</v>
      </c>
      <c r="W148" s="823">
        <f t="shared" si="6"/>
        <v>14.19</v>
      </c>
      <c r="X148" s="780">
        <f t="shared" si="6"/>
        <v>780.44999999999993</v>
      </c>
    </row>
    <row r="149" spans="1:25" s="13" customFormat="1" ht="14.25" x14ac:dyDescent="0.2">
      <c r="A149" s="89" t="s">
        <v>95</v>
      </c>
      <c r="B149" s="100" t="s">
        <v>738</v>
      </c>
      <c r="C149" s="100"/>
      <c r="D149" s="100"/>
      <c r="E149" s="480">
        <v>0.23499999999999999</v>
      </c>
      <c r="F149" s="300">
        <f>E149*(100%+$F$129)</f>
        <v>0.23499999999999999</v>
      </c>
      <c r="G149" s="614">
        <f t="shared" si="2"/>
        <v>166.73249999999999</v>
      </c>
      <c r="H149" s="87">
        <f t="shared" si="3"/>
        <v>9170.2874999999985</v>
      </c>
      <c r="K149" s="89" t="s">
        <v>95</v>
      </c>
      <c r="L149" s="100" t="s">
        <v>738</v>
      </c>
      <c r="M149" s="100"/>
      <c r="N149" s="100"/>
      <c r="O149" s="480">
        <v>1.4999999999999999E-2</v>
      </c>
      <c r="P149" s="300">
        <f t="shared" si="4"/>
        <v>1.4999999999999999E-2</v>
      </c>
      <c r="Q149" s="614">
        <f>IF($F$131="DA",P149*$F$126,0)</f>
        <v>10.6425</v>
      </c>
      <c r="R149" s="87">
        <f t="shared" si="5"/>
        <v>585.33749999999998</v>
      </c>
      <c r="T149" s="125"/>
      <c r="U149" s="480">
        <f t="shared" si="7"/>
        <v>0.25</v>
      </c>
      <c r="V149" s="480">
        <f t="shared" si="8"/>
        <v>0.25</v>
      </c>
      <c r="W149" s="614">
        <f t="shared" si="6"/>
        <v>177.375</v>
      </c>
      <c r="X149" s="87">
        <f t="shared" si="6"/>
        <v>9755.6249999999982</v>
      </c>
    </row>
    <row r="150" spans="1:25" s="13" customFormat="1" ht="14.25" x14ac:dyDescent="0.2">
      <c r="A150" s="89" t="s">
        <v>96</v>
      </c>
      <c r="B150" s="100" t="s">
        <v>838</v>
      </c>
      <c r="C150" s="100"/>
      <c r="D150" s="100"/>
      <c r="E150" s="480">
        <v>5.5E-2</v>
      </c>
      <c r="F150" s="300">
        <f>E150*(100%+$F$129)</f>
        <v>5.5E-2</v>
      </c>
      <c r="G150" s="820">
        <f>F150*$F$126</f>
        <v>39.022500000000001</v>
      </c>
      <c r="H150" s="721">
        <f>+G150*$F$127</f>
        <v>2146.2375000000002</v>
      </c>
      <c r="K150" s="89" t="s">
        <v>96</v>
      </c>
      <c r="L150" s="100" t="s">
        <v>838</v>
      </c>
      <c r="M150" s="100"/>
      <c r="N150" s="100"/>
      <c r="O150" s="480">
        <v>5.0000000000000001E-3</v>
      </c>
      <c r="P150" s="300">
        <f t="shared" si="4"/>
        <v>5.0000000000000001E-3</v>
      </c>
      <c r="Q150" s="614">
        <f>IF($F$131="DA",P150*$F$126,0)</f>
        <v>3.5474999999999999</v>
      </c>
      <c r="R150" s="87">
        <f t="shared" si="5"/>
        <v>195.11249999999998</v>
      </c>
      <c r="T150" s="125"/>
      <c r="U150" s="480">
        <f t="shared" si="7"/>
        <v>0.06</v>
      </c>
      <c r="V150" s="480">
        <f t="shared" si="8"/>
        <v>0.06</v>
      </c>
      <c r="W150" s="614">
        <f t="shared" si="6"/>
        <v>42.57</v>
      </c>
      <c r="X150" s="87">
        <f t="shared" si="6"/>
        <v>2341.3500000000004</v>
      </c>
    </row>
    <row r="151" spans="1:25" s="777" customFormat="1" ht="14.25" x14ac:dyDescent="0.2">
      <c r="A151" s="781"/>
      <c r="B151" s="782" t="s">
        <v>954</v>
      </c>
      <c r="C151" s="782"/>
      <c r="D151" s="782"/>
      <c r="E151" s="783">
        <v>0.02</v>
      </c>
      <c r="F151" s="784">
        <f>E151*(100%+$F$129)</f>
        <v>0.02</v>
      </c>
      <c r="G151" s="821">
        <f>F151*$F$126</f>
        <v>14.19</v>
      </c>
      <c r="H151" s="780">
        <f>+G151*$F$127</f>
        <v>780.44999999999993</v>
      </c>
      <c r="J151" s="13"/>
      <c r="K151" s="781"/>
      <c r="L151" s="782" t="s">
        <v>954</v>
      </c>
      <c r="M151" s="782"/>
      <c r="N151" s="782"/>
      <c r="O151" s="783"/>
      <c r="P151" s="785"/>
      <c r="Q151" s="786"/>
      <c r="R151" s="787"/>
      <c r="T151" s="125"/>
      <c r="U151" s="771">
        <f t="shared" si="7"/>
        <v>0.02</v>
      </c>
      <c r="V151" s="771">
        <f t="shared" si="8"/>
        <v>0.02</v>
      </c>
      <c r="W151" s="824">
        <f t="shared" si="6"/>
        <v>14.19</v>
      </c>
      <c r="X151" s="787">
        <f t="shared" si="6"/>
        <v>780.44999999999993</v>
      </c>
    </row>
    <row r="152" spans="1:25" s="777" customFormat="1" ht="14.25" x14ac:dyDescent="0.2">
      <c r="A152" s="788"/>
      <c r="B152" s="789" t="s">
        <v>1021</v>
      </c>
      <c r="C152" s="789"/>
      <c r="D152" s="789"/>
      <c r="E152" s="790"/>
      <c r="F152" s="791"/>
      <c r="G152" s="615"/>
      <c r="H152" s="793"/>
      <c r="J152" s="13"/>
      <c r="K152" s="788"/>
      <c r="L152" s="789" t="s">
        <v>1021</v>
      </c>
      <c r="M152" s="789"/>
      <c r="N152" s="789"/>
      <c r="O152" s="790">
        <v>0.02</v>
      </c>
      <c r="P152" s="794">
        <f>O152*(100%+$F$130)</f>
        <v>0.02</v>
      </c>
      <c r="Q152" s="822">
        <f>IF($F$131="DA",P152*$F$126,0)</f>
        <v>14.19</v>
      </c>
      <c r="R152" s="819">
        <f t="shared" si="5"/>
        <v>780.44999999999993</v>
      </c>
      <c r="T152" s="125"/>
      <c r="U152" s="790">
        <f t="shared" si="7"/>
        <v>0.02</v>
      </c>
      <c r="V152" s="790">
        <f t="shared" si="8"/>
        <v>0.02</v>
      </c>
      <c r="W152" s="825">
        <f t="shared" si="6"/>
        <v>14.19</v>
      </c>
      <c r="X152" s="819">
        <f t="shared" si="6"/>
        <v>780.44999999999993</v>
      </c>
    </row>
    <row r="153" spans="1:25" s="13" customFormat="1" ht="14.25" x14ac:dyDescent="0.2">
      <c r="A153" s="116" t="s">
        <v>39</v>
      </c>
      <c r="B153" s="102" t="s">
        <v>121</v>
      </c>
      <c r="C153" s="102"/>
      <c r="D153" s="102"/>
      <c r="E153" s="302">
        <f>SUM(E154:E156)</f>
        <v>0.01</v>
      </c>
      <c r="F153" s="302">
        <f>SUM(F154:F156)</f>
        <v>0.01</v>
      </c>
      <c r="G153" s="613">
        <f>SUM(G154:G157)</f>
        <v>7.0949999999999998</v>
      </c>
      <c r="H153" s="104">
        <f>SUM(H154:H157)</f>
        <v>390.22499999999997</v>
      </c>
      <c r="I153" s="125">
        <f>IFERROR(H153/'OSNOVNI PODATKI'!$E$332,0)</f>
        <v>0</v>
      </c>
      <c r="K153" s="116" t="s">
        <v>39</v>
      </c>
      <c r="L153" s="102" t="s">
        <v>121</v>
      </c>
      <c r="M153" s="102"/>
      <c r="N153" s="102"/>
      <c r="O153" s="302">
        <f>SUM(O154:O157)</f>
        <v>3.0000000000000002E-2</v>
      </c>
      <c r="P153" s="302">
        <f>SUM(P154:P157)</f>
        <v>3.0000000000000002E-2</v>
      </c>
      <c r="Q153" s="613">
        <f>SUM(Q154:Q157)</f>
        <v>21.285000000000004</v>
      </c>
      <c r="R153" s="104">
        <f>SUM(R154:R157)</f>
        <v>1170.675</v>
      </c>
      <c r="S153" s="125">
        <f>IFERROR(R153/'OSNOVNI PODATKI'!$E$332,0)</f>
        <v>0</v>
      </c>
      <c r="T153" s="125"/>
      <c r="U153" s="302">
        <f>SUM(U154:U157)</f>
        <v>0.04</v>
      </c>
      <c r="V153" s="302">
        <f>SUM(V154:V157)</f>
        <v>0.04</v>
      </c>
      <c r="W153" s="613">
        <f>SUM(W154:W157)</f>
        <v>28.380000000000003</v>
      </c>
      <c r="X153" s="104">
        <f>SUM(X154:X157)</f>
        <v>1560.9</v>
      </c>
      <c r="Y153" s="125">
        <f>IFERROR(X153/'OSNOVNI PODATKI'!$E$332,0)</f>
        <v>0</v>
      </c>
    </row>
    <row r="154" spans="1:25" s="13" customFormat="1" ht="14.25" x14ac:dyDescent="0.2">
      <c r="A154" s="89" t="s">
        <v>40</v>
      </c>
      <c r="B154" s="95" t="s">
        <v>839</v>
      </c>
      <c r="C154" s="95"/>
      <c r="D154" s="95"/>
      <c r="E154" s="300">
        <v>5.0000000000000001E-3</v>
      </c>
      <c r="F154" s="300">
        <f>E154*(100%+$F$129)</f>
        <v>5.0000000000000001E-3</v>
      </c>
      <c r="G154" s="614">
        <f>F154*$F$126</f>
        <v>3.5474999999999999</v>
      </c>
      <c r="H154" s="87">
        <f>+G154*$F$127</f>
        <v>195.11249999999998</v>
      </c>
      <c r="K154" s="89" t="s">
        <v>40</v>
      </c>
      <c r="L154" s="95" t="s">
        <v>839</v>
      </c>
      <c r="M154" s="95"/>
      <c r="N154" s="95"/>
      <c r="O154" s="300">
        <v>2.5000000000000001E-3</v>
      </c>
      <c r="P154" s="300">
        <f>O154*(100%+$F$130)</f>
        <v>2.5000000000000001E-3</v>
      </c>
      <c r="Q154" s="614">
        <f>IF($F$131="DA",P154*$F$126,0)</f>
        <v>1.7737499999999999</v>
      </c>
      <c r="R154" s="87">
        <f>+Q154*$F$127</f>
        <v>97.556249999999991</v>
      </c>
      <c r="T154" s="125"/>
      <c r="U154" s="480">
        <f t="shared" ref="U154:V157" si="9">+E154+O154</f>
        <v>7.4999999999999997E-3</v>
      </c>
      <c r="V154" s="480">
        <f t="shared" si="9"/>
        <v>7.4999999999999997E-3</v>
      </c>
      <c r="W154" s="614">
        <f t="shared" ref="W154:X157" si="10">+G154+Q154</f>
        <v>5.32125</v>
      </c>
      <c r="X154" s="87">
        <f t="shared" si="10"/>
        <v>292.66874999999999</v>
      </c>
    </row>
    <row r="155" spans="1:25" s="777" customFormat="1" ht="14.25" x14ac:dyDescent="0.2">
      <c r="A155" s="781"/>
      <c r="B155" s="782" t="s">
        <v>1022</v>
      </c>
      <c r="C155" s="782"/>
      <c r="D155" s="782"/>
      <c r="E155" s="783"/>
      <c r="F155" s="784"/>
      <c r="G155" s="804"/>
      <c r="H155" s="787"/>
      <c r="K155" s="772"/>
      <c r="L155" s="782" t="s">
        <v>1022</v>
      </c>
      <c r="M155" s="773"/>
      <c r="N155" s="773"/>
      <c r="O155" s="771">
        <v>7.4999999999999997E-3</v>
      </c>
      <c r="P155" s="778">
        <f>O155*(100%+$F$130)</f>
        <v>7.4999999999999997E-3</v>
      </c>
      <c r="Q155" s="821">
        <f>IF($F$131="DA",P155*$F$126,0)</f>
        <v>5.32125</v>
      </c>
      <c r="R155" s="780">
        <f>+Q155*$F$127</f>
        <v>292.66874999999999</v>
      </c>
      <c r="T155" s="125"/>
      <c r="U155" s="771">
        <f t="shared" si="9"/>
        <v>7.4999999999999997E-3</v>
      </c>
      <c r="V155" s="771">
        <f t="shared" si="9"/>
        <v>7.4999999999999997E-3</v>
      </c>
      <c r="W155" s="823">
        <f t="shared" si="10"/>
        <v>5.32125</v>
      </c>
      <c r="X155" s="780">
        <f t="shared" si="10"/>
        <v>292.66874999999999</v>
      </c>
    </row>
    <row r="156" spans="1:25" s="13" customFormat="1" ht="14.25" x14ac:dyDescent="0.2">
      <c r="A156" s="89" t="s">
        <v>41</v>
      </c>
      <c r="B156" s="95" t="s">
        <v>201</v>
      </c>
      <c r="C156" s="95"/>
      <c r="D156" s="95"/>
      <c r="E156" s="300">
        <v>5.0000000000000001E-3</v>
      </c>
      <c r="F156" s="300">
        <f>E156*(100%+$F$129)</f>
        <v>5.0000000000000001E-3</v>
      </c>
      <c r="G156" s="614">
        <f>F156*$F$126</f>
        <v>3.5474999999999999</v>
      </c>
      <c r="H156" s="87">
        <f>+G156*$F$127</f>
        <v>195.11249999999998</v>
      </c>
      <c r="K156" s="89" t="s">
        <v>41</v>
      </c>
      <c r="L156" s="95" t="s">
        <v>201</v>
      </c>
      <c r="M156" s="95"/>
      <c r="N156" s="95"/>
      <c r="O156" s="300">
        <v>2.5000000000000001E-3</v>
      </c>
      <c r="P156" s="300">
        <f>O156*(100%+$F$130)</f>
        <v>2.5000000000000001E-3</v>
      </c>
      <c r="Q156" s="614">
        <f>IF($F$131="DA",P156*$F$126,0)</f>
        <v>1.7737499999999999</v>
      </c>
      <c r="R156" s="87">
        <f>+Q156*$F$127</f>
        <v>97.556249999999991</v>
      </c>
      <c r="U156" s="480">
        <f t="shared" si="9"/>
        <v>7.4999999999999997E-3</v>
      </c>
      <c r="V156" s="480">
        <f t="shared" si="9"/>
        <v>7.4999999999999997E-3</v>
      </c>
      <c r="W156" s="614">
        <f t="shared" si="10"/>
        <v>5.32125</v>
      </c>
      <c r="X156" s="87">
        <f t="shared" si="10"/>
        <v>292.66874999999999</v>
      </c>
    </row>
    <row r="157" spans="1:25" s="777" customFormat="1" ht="14.25" x14ac:dyDescent="0.2">
      <c r="A157" s="788"/>
      <c r="B157" s="789" t="s">
        <v>1022</v>
      </c>
      <c r="C157" s="789"/>
      <c r="D157" s="789"/>
      <c r="E157" s="790"/>
      <c r="F157" s="794"/>
      <c r="G157" s="615"/>
      <c r="H157" s="793"/>
      <c r="K157" s="788"/>
      <c r="L157" s="789" t="s">
        <v>1022</v>
      </c>
      <c r="M157" s="789"/>
      <c r="N157" s="789"/>
      <c r="O157" s="790">
        <v>1.7500000000000002E-2</v>
      </c>
      <c r="P157" s="794">
        <f>O157*(100%+$F$130)</f>
        <v>1.7500000000000002E-2</v>
      </c>
      <c r="Q157" s="822">
        <f>IF($F$131="DA",P157*$F$126,0)</f>
        <v>12.416250000000002</v>
      </c>
      <c r="R157" s="819">
        <f>+Q157*$F$127</f>
        <v>682.89375000000007</v>
      </c>
      <c r="U157" s="790">
        <f t="shared" si="9"/>
        <v>1.7500000000000002E-2</v>
      </c>
      <c r="V157" s="790">
        <f t="shared" si="9"/>
        <v>1.7500000000000002E-2</v>
      </c>
      <c r="W157" s="825">
        <f t="shared" si="10"/>
        <v>12.416250000000002</v>
      </c>
      <c r="X157" s="819">
        <f t="shared" si="10"/>
        <v>682.89375000000007</v>
      </c>
    </row>
    <row r="158" spans="1:25" s="13" customFormat="1" ht="14.25" x14ac:dyDescent="0.2">
      <c r="A158" s="120">
        <v>4</v>
      </c>
      <c r="B158" s="102" t="s">
        <v>60</v>
      </c>
      <c r="C158" s="102"/>
      <c r="D158" s="102"/>
      <c r="E158" s="302">
        <f>SUM(E159:E166)</f>
        <v>0.28000000000000003</v>
      </c>
      <c r="F158" s="302">
        <f>SUM(F159:F166)</f>
        <v>0.28000000000000003</v>
      </c>
      <c r="G158" s="613">
        <f>SUM(G159:G166)</f>
        <v>198.66</v>
      </c>
      <c r="H158" s="104">
        <f>SUM(H159:H166)</f>
        <v>10926.300000000001</v>
      </c>
      <c r="I158" s="125">
        <f>IFERROR(H158/'OSNOVNI PODATKI'!$E$332,0)</f>
        <v>0</v>
      </c>
      <c r="K158" s="120">
        <v>4</v>
      </c>
      <c r="L158" s="102" t="s">
        <v>60</v>
      </c>
      <c r="M158" s="102"/>
      <c r="N158" s="102"/>
      <c r="O158" s="302">
        <f>SUM(O159:O166)</f>
        <v>0.04</v>
      </c>
      <c r="P158" s="302">
        <f>SUM(P159:P166)</f>
        <v>0.04</v>
      </c>
      <c r="Q158" s="613">
        <f>SUM(Q159:Q166)</f>
        <v>28.38</v>
      </c>
      <c r="R158" s="104">
        <f>SUM(R159:R166)</f>
        <v>1560.9</v>
      </c>
      <c r="S158" s="125">
        <f>IFERROR(R158/'OSNOVNI PODATKI'!$E$332,0)</f>
        <v>0</v>
      </c>
      <c r="T158" s="125"/>
      <c r="U158" s="302">
        <f>SUM(U159:U166)</f>
        <v>0.32000000000000006</v>
      </c>
      <c r="V158" s="302">
        <f>SUM(V159:V166)</f>
        <v>0.32000000000000006</v>
      </c>
      <c r="W158" s="613">
        <f>SUM(W159:W166)</f>
        <v>227.04000000000005</v>
      </c>
      <c r="X158" s="104">
        <f>SUM(X159:X166)</f>
        <v>12487.199999999995</v>
      </c>
      <c r="Y158" s="125">
        <f>IFERROR(X158/'OSNOVNI PODATKI'!$E$332,0)</f>
        <v>0</v>
      </c>
    </row>
    <row r="159" spans="1:25" s="13" customFormat="1" ht="14.25" x14ac:dyDescent="0.2">
      <c r="A159" s="89" t="s">
        <v>42</v>
      </c>
      <c r="B159" s="95" t="s">
        <v>202</v>
      </c>
      <c r="C159" s="95"/>
      <c r="D159" s="95"/>
      <c r="E159" s="300"/>
      <c r="F159" s="300"/>
      <c r="G159" s="614"/>
      <c r="H159" s="87">
        <f t="shared" ref="H159:H166" si="11">+G159*$F$127</f>
        <v>0</v>
      </c>
      <c r="K159" s="89" t="s">
        <v>42</v>
      </c>
      <c r="L159" s="95" t="s">
        <v>202</v>
      </c>
      <c r="M159" s="95"/>
      <c r="N159" s="95"/>
      <c r="O159" s="300">
        <v>0.01</v>
      </c>
      <c r="P159" s="300">
        <f t="shared" ref="P159:P166" si="12">O159*(100%+$F$130)</f>
        <v>0.01</v>
      </c>
      <c r="Q159" s="614">
        <f t="shared" ref="Q159:Q166" si="13">IF($F$131="DA",P159*$F$126,0)</f>
        <v>7.0949999999999998</v>
      </c>
      <c r="R159" s="87">
        <f t="shared" ref="R159:R166" si="14">+Q159*$F$127</f>
        <v>390.22499999999997</v>
      </c>
      <c r="U159" s="480">
        <f t="shared" ref="U159:V166" si="15">+E159+O159</f>
        <v>0.01</v>
      </c>
      <c r="V159" s="480">
        <f t="shared" si="15"/>
        <v>0.01</v>
      </c>
      <c r="W159" s="614">
        <f t="shared" ref="W159:W166" si="16">+G159+Q159</f>
        <v>7.0949999999999998</v>
      </c>
      <c r="X159" s="87">
        <f t="shared" ref="X159:X166" si="17">+H159+R159</f>
        <v>390.22499999999997</v>
      </c>
    </row>
    <row r="160" spans="1:25" s="13" customFormat="1" ht="14.25" x14ac:dyDescent="0.2">
      <c r="A160" s="89" t="s">
        <v>43</v>
      </c>
      <c r="B160" s="95" t="s">
        <v>858</v>
      </c>
      <c r="C160" s="95"/>
      <c r="D160" s="95"/>
      <c r="E160" s="300">
        <v>5.5E-2</v>
      </c>
      <c r="F160" s="300">
        <f t="shared" ref="F160:F166" si="18">E160*(100%+$F$129)</f>
        <v>5.5E-2</v>
      </c>
      <c r="G160" s="614">
        <f t="shared" ref="G160:G166" si="19">F160*$F$126</f>
        <v>39.022500000000001</v>
      </c>
      <c r="H160" s="87">
        <f t="shared" si="11"/>
        <v>2146.2375000000002</v>
      </c>
      <c r="K160" s="89" t="s">
        <v>43</v>
      </c>
      <c r="L160" s="95" t="s">
        <v>858</v>
      </c>
      <c r="M160" s="95"/>
      <c r="N160" s="95"/>
      <c r="O160" s="300">
        <v>5.0000000000000001E-3</v>
      </c>
      <c r="P160" s="300">
        <f t="shared" si="12"/>
        <v>5.0000000000000001E-3</v>
      </c>
      <c r="Q160" s="614">
        <f t="shared" si="13"/>
        <v>3.5474999999999999</v>
      </c>
      <c r="R160" s="87">
        <f t="shared" si="14"/>
        <v>195.11249999999998</v>
      </c>
      <c r="U160" s="480">
        <f t="shared" si="15"/>
        <v>0.06</v>
      </c>
      <c r="V160" s="480">
        <f t="shared" si="15"/>
        <v>0.06</v>
      </c>
      <c r="W160" s="614">
        <f t="shared" si="16"/>
        <v>42.57</v>
      </c>
      <c r="X160" s="87">
        <f t="shared" si="17"/>
        <v>2341.3500000000004</v>
      </c>
    </row>
    <row r="161" spans="1:25" s="777" customFormat="1" ht="14.25" x14ac:dyDescent="0.2">
      <c r="A161" s="772"/>
      <c r="B161" s="773" t="s">
        <v>502</v>
      </c>
      <c r="C161" s="773"/>
      <c r="D161" s="773"/>
      <c r="E161" s="771">
        <v>0.185</v>
      </c>
      <c r="F161" s="778">
        <f t="shared" si="18"/>
        <v>0.185</v>
      </c>
      <c r="G161" s="821">
        <f t="shared" si="19"/>
        <v>131.25749999999999</v>
      </c>
      <c r="H161" s="780">
        <f t="shared" si="11"/>
        <v>7219.1624999999995</v>
      </c>
      <c r="K161" s="772"/>
      <c r="L161" s="773" t="s">
        <v>502</v>
      </c>
      <c r="M161" s="773"/>
      <c r="N161" s="773"/>
      <c r="O161" s="771">
        <v>1.4999999999999999E-2</v>
      </c>
      <c r="P161" s="778">
        <f t="shared" si="12"/>
        <v>1.4999999999999999E-2</v>
      </c>
      <c r="Q161" s="821">
        <f t="shared" si="13"/>
        <v>10.6425</v>
      </c>
      <c r="R161" s="780">
        <f t="shared" si="14"/>
        <v>585.33749999999998</v>
      </c>
      <c r="U161" s="771">
        <f t="shared" si="15"/>
        <v>0.2</v>
      </c>
      <c r="V161" s="771">
        <f t="shared" si="15"/>
        <v>0.2</v>
      </c>
      <c r="W161" s="823">
        <f t="shared" si="16"/>
        <v>141.9</v>
      </c>
      <c r="X161" s="780">
        <f t="shared" si="17"/>
        <v>7804.4999999999991</v>
      </c>
    </row>
    <row r="162" spans="1:25" s="13" customFormat="1" ht="14.25" x14ac:dyDescent="0.2">
      <c r="A162" s="89" t="s">
        <v>44</v>
      </c>
      <c r="B162" s="95" t="s">
        <v>953</v>
      </c>
      <c r="C162" s="95"/>
      <c r="D162" s="95"/>
      <c r="E162" s="300">
        <v>4.0000000000000001E-3</v>
      </c>
      <c r="F162" s="300">
        <f t="shared" si="18"/>
        <v>4.0000000000000001E-3</v>
      </c>
      <c r="G162" s="614">
        <f t="shared" si="19"/>
        <v>2.8380000000000001</v>
      </c>
      <c r="H162" s="87">
        <f t="shared" si="11"/>
        <v>156.09</v>
      </c>
      <c r="K162" s="89" t="s">
        <v>44</v>
      </c>
      <c r="L162" s="95" t="s">
        <v>953</v>
      </c>
      <c r="M162" s="95"/>
      <c r="N162" s="95"/>
      <c r="O162" s="300">
        <v>1E-3</v>
      </c>
      <c r="P162" s="300">
        <f t="shared" si="12"/>
        <v>1E-3</v>
      </c>
      <c r="Q162" s="614">
        <f t="shared" si="13"/>
        <v>0.70950000000000002</v>
      </c>
      <c r="R162" s="87">
        <f t="shared" si="14"/>
        <v>39.022500000000001</v>
      </c>
      <c r="U162" s="480">
        <f t="shared" si="15"/>
        <v>5.0000000000000001E-3</v>
      </c>
      <c r="V162" s="480">
        <f t="shared" si="15"/>
        <v>5.0000000000000001E-3</v>
      </c>
      <c r="W162" s="614">
        <f t="shared" si="16"/>
        <v>3.5475000000000003</v>
      </c>
      <c r="X162" s="87">
        <f t="shared" si="17"/>
        <v>195.11250000000001</v>
      </c>
    </row>
    <row r="163" spans="1:25" s="777" customFormat="1" ht="14.25" x14ac:dyDescent="0.2">
      <c r="A163" s="772"/>
      <c r="B163" s="773" t="s">
        <v>502</v>
      </c>
      <c r="C163" s="773"/>
      <c r="D163" s="773"/>
      <c r="E163" s="771">
        <v>3.5000000000000001E-3</v>
      </c>
      <c r="F163" s="778">
        <f t="shared" si="18"/>
        <v>3.5000000000000001E-3</v>
      </c>
      <c r="G163" s="821">
        <f t="shared" si="19"/>
        <v>2.48325</v>
      </c>
      <c r="H163" s="780">
        <f t="shared" si="11"/>
        <v>136.57874999999999</v>
      </c>
      <c r="K163" s="772"/>
      <c r="L163" s="773" t="s">
        <v>502</v>
      </c>
      <c r="M163" s="773"/>
      <c r="N163" s="773"/>
      <c r="O163" s="771">
        <v>1.5E-3</v>
      </c>
      <c r="P163" s="778">
        <f t="shared" si="12"/>
        <v>1.5E-3</v>
      </c>
      <c r="Q163" s="821">
        <f t="shared" si="13"/>
        <v>1.0642499999999999</v>
      </c>
      <c r="R163" s="780">
        <f t="shared" si="14"/>
        <v>58.533749999999998</v>
      </c>
      <c r="U163" s="771">
        <f t="shared" si="15"/>
        <v>5.0000000000000001E-3</v>
      </c>
      <c r="V163" s="771">
        <f t="shared" si="15"/>
        <v>5.0000000000000001E-3</v>
      </c>
      <c r="W163" s="823">
        <f t="shared" si="16"/>
        <v>3.5474999999999999</v>
      </c>
      <c r="X163" s="780">
        <f t="shared" si="17"/>
        <v>195.11249999999998</v>
      </c>
    </row>
    <row r="164" spans="1:25" s="13" customFormat="1" ht="14.25" x14ac:dyDescent="0.2">
      <c r="A164" s="89" t="s">
        <v>45</v>
      </c>
      <c r="B164" s="95" t="s">
        <v>859</v>
      </c>
      <c r="C164" s="95"/>
      <c r="D164" s="95"/>
      <c r="E164" s="300">
        <v>4.0000000000000001E-3</v>
      </c>
      <c r="F164" s="300">
        <f t="shared" si="18"/>
        <v>4.0000000000000001E-3</v>
      </c>
      <c r="G164" s="614">
        <f t="shared" si="19"/>
        <v>2.8380000000000001</v>
      </c>
      <c r="H164" s="87">
        <f t="shared" si="11"/>
        <v>156.09</v>
      </c>
      <c r="K164" s="89" t="s">
        <v>45</v>
      </c>
      <c r="L164" s="95" t="s">
        <v>859</v>
      </c>
      <c r="M164" s="95"/>
      <c r="N164" s="95"/>
      <c r="O164" s="300">
        <v>1E-3</v>
      </c>
      <c r="P164" s="300">
        <f t="shared" si="12"/>
        <v>1E-3</v>
      </c>
      <c r="Q164" s="614">
        <f t="shared" si="13"/>
        <v>0.70950000000000002</v>
      </c>
      <c r="R164" s="87">
        <f t="shared" si="14"/>
        <v>39.022500000000001</v>
      </c>
      <c r="U164" s="480">
        <f t="shared" si="15"/>
        <v>5.0000000000000001E-3</v>
      </c>
      <c r="V164" s="480">
        <f t="shared" si="15"/>
        <v>5.0000000000000001E-3</v>
      </c>
      <c r="W164" s="614">
        <f t="shared" si="16"/>
        <v>3.5475000000000003</v>
      </c>
      <c r="X164" s="87">
        <f t="shared" si="17"/>
        <v>195.11250000000001</v>
      </c>
    </row>
    <row r="165" spans="1:25" s="777" customFormat="1" ht="14.25" x14ac:dyDescent="0.2">
      <c r="A165" s="772"/>
      <c r="B165" s="773" t="s">
        <v>502</v>
      </c>
      <c r="C165" s="773"/>
      <c r="D165" s="773"/>
      <c r="E165" s="771">
        <v>3.5000000000000001E-3</v>
      </c>
      <c r="F165" s="778">
        <f t="shared" si="18"/>
        <v>3.5000000000000001E-3</v>
      </c>
      <c r="G165" s="821">
        <f t="shared" si="19"/>
        <v>2.48325</v>
      </c>
      <c r="H165" s="780">
        <f t="shared" si="11"/>
        <v>136.57874999999999</v>
      </c>
      <c r="K165" s="772"/>
      <c r="L165" s="773" t="s">
        <v>502</v>
      </c>
      <c r="M165" s="773"/>
      <c r="N165" s="773"/>
      <c r="O165" s="771">
        <v>1.5E-3</v>
      </c>
      <c r="P165" s="778">
        <f t="shared" si="12"/>
        <v>1.5E-3</v>
      </c>
      <c r="Q165" s="821">
        <f t="shared" si="13"/>
        <v>1.0642499999999999</v>
      </c>
      <c r="R165" s="780">
        <f t="shared" si="14"/>
        <v>58.533749999999998</v>
      </c>
      <c r="U165" s="771">
        <f t="shared" si="15"/>
        <v>5.0000000000000001E-3</v>
      </c>
      <c r="V165" s="771">
        <f t="shared" si="15"/>
        <v>5.0000000000000001E-3</v>
      </c>
      <c r="W165" s="823">
        <f t="shared" si="16"/>
        <v>3.5474999999999999</v>
      </c>
      <c r="X165" s="780">
        <f t="shared" si="17"/>
        <v>195.11249999999998</v>
      </c>
    </row>
    <row r="166" spans="1:25" s="13" customFormat="1" ht="14.25" x14ac:dyDescent="0.2">
      <c r="A166" s="117" t="s">
        <v>46</v>
      </c>
      <c r="B166" s="90" t="s">
        <v>840</v>
      </c>
      <c r="C166" s="90"/>
      <c r="D166" s="90"/>
      <c r="E166" s="479">
        <v>2.5000000000000001E-2</v>
      </c>
      <c r="F166" s="300">
        <f t="shared" si="18"/>
        <v>2.5000000000000001E-2</v>
      </c>
      <c r="G166" s="615">
        <f t="shared" si="19"/>
        <v>17.737500000000001</v>
      </c>
      <c r="H166" s="91">
        <f t="shared" si="11"/>
        <v>975.5625</v>
      </c>
      <c r="K166" s="117" t="s">
        <v>46</v>
      </c>
      <c r="L166" s="90" t="s">
        <v>840</v>
      </c>
      <c r="M166" s="90"/>
      <c r="N166" s="90"/>
      <c r="O166" s="479">
        <v>5.0000000000000001E-3</v>
      </c>
      <c r="P166" s="300">
        <f t="shared" si="12"/>
        <v>5.0000000000000001E-3</v>
      </c>
      <c r="Q166" s="615">
        <f t="shared" si="13"/>
        <v>3.5474999999999999</v>
      </c>
      <c r="R166" s="91">
        <f t="shared" si="14"/>
        <v>195.11249999999998</v>
      </c>
      <c r="U166" s="481">
        <f t="shared" si="15"/>
        <v>3.0000000000000002E-2</v>
      </c>
      <c r="V166" s="481">
        <f t="shared" si="15"/>
        <v>3.0000000000000002E-2</v>
      </c>
      <c r="W166" s="615">
        <f t="shared" si="16"/>
        <v>21.285</v>
      </c>
      <c r="X166" s="91">
        <f t="shared" si="17"/>
        <v>1170.675</v>
      </c>
    </row>
    <row r="167" spans="1:25" s="13" customFormat="1" ht="14.25" x14ac:dyDescent="0.2">
      <c r="A167" s="121">
        <v>5</v>
      </c>
      <c r="B167" s="102" t="s">
        <v>47</v>
      </c>
      <c r="C167" s="102"/>
      <c r="D167" s="102"/>
      <c r="E167" s="302">
        <f>SUM(E168:E169)</f>
        <v>1.4999999999999999E-2</v>
      </c>
      <c r="F167" s="304">
        <f>SUM(F168:F169)</f>
        <v>1.4999999999999999E-2</v>
      </c>
      <c r="G167" s="613">
        <f>SUM(G168:G169)</f>
        <v>10.6425</v>
      </c>
      <c r="H167" s="104">
        <f>SUM(H168:H169)</f>
        <v>585.33749999999998</v>
      </c>
      <c r="I167" s="125">
        <f>IFERROR(H167/'OSNOVNI PODATKI'!$E$332,0)</f>
        <v>0</v>
      </c>
      <c r="K167" s="121">
        <v>5</v>
      </c>
      <c r="L167" s="102" t="s">
        <v>47</v>
      </c>
      <c r="M167" s="102"/>
      <c r="N167" s="102"/>
      <c r="O167" s="302">
        <f>SUM(O168:O169)</f>
        <v>5.0000000000000001E-3</v>
      </c>
      <c r="P167" s="304">
        <f>SUM(P168:P169)</f>
        <v>5.0000000000000001E-3</v>
      </c>
      <c r="Q167" s="613">
        <f>SUM(Q168:Q169)</f>
        <v>3.5474999999999999</v>
      </c>
      <c r="R167" s="104">
        <f>SUM(R168:R169)</f>
        <v>195.11249999999998</v>
      </c>
      <c r="S167" s="125">
        <f>IFERROR(R167/'OSNOVNI PODATKI'!$E$332,0)</f>
        <v>0</v>
      </c>
      <c r="T167" s="125"/>
      <c r="U167" s="302">
        <f>SUM(U168:U169)</f>
        <v>0.02</v>
      </c>
      <c r="V167" s="302">
        <f>SUM(V168:V169)</f>
        <v>0.02</v>
      </c>
      <c r="W167" s="613">
        <f>SUM(W168:W169)</f>
        <v>14.19</v>
      </c>
      <c r="X167" s="104">
        <f>SUM(X168:X169)</f>
        <v>780.44999999999993</v>
      </c>
      <c r="Y167" s="125">
        <f>IFERROR(X167/'OSNOVNI PODATKI'!$E$332,0)</f>
        <v>0</v>
      </c>
    </row>
    <row r="168" spans="1:25" s="13" customFormat="1" ht="14.25" x14ac:dyDescent="0.2">
      <c r="A168" s="89" t="s">
        <v>48</v>
      </c>
      <c r="B168" s="98" t="s">
        <v>204</v>
      </c>
      <c r="C168" s="98"/>
      <c r="D168" s="98"/>
      <c r="E168" s="300">
        <v>7.4999999999999997E-3</v>
      </c>
      <c r="F168" s="300">
        <f>E168</f>
        <v>7.4999999999999997E-3</v>
      </c>
      <c r="G168" s="614">
        <f>F168*$F$126</f>
        <v>5.32125</v>
      </c>
      <c r="H168" s="87">
        <f>+G168*$F$127</f>
        <v>292.66874999999999</v>
      </c>
      <c r="K168" s="89" t="s">
        <v>48</v>
      </c>
      <c r="L168" s="98" t="s">
        <v>204</v>
      </c>
      <c r="M168" s="98"/>
      <c r="N168" s="98"/>
      <c r="O168" s="300">
        <v>2.5000000000000001E-3</v>
      </c>
      <c r="P168" s="300">
        <f>O168*(100%+$F$130)</f>
        <v>2.5000000000000001E-3</v>
      </c>
      <c r="Q168" s="614">
        <f>IF($F$131="DA",P168*$F$126,0)</f>
        <v>1.7737499999999999</v>
      </c>
      <c r="R168" s="87">
        <f>+Q168*$F$127</f>
        <v>97.556249999999991</v>
      </c>
      <c r="U168" s="480">
        <f t="shared" ref="U168:X169" si="20">+E168+O168</f>
        <v>0.01</v>
      </c>
      <c r="V168" s="480">
        <f t="shared" si="20"/>
        <v>0.01</v>
      </c>
      <c r="W168" s="614">
        <f t="shared" si="20"/>
        <v>7.0949999999999998</v>
      </c>
      <c r="X168" s="87">
        <f t="shared" si="20"/>
        <v>390.22499999999997</v>
      </c>
    </row>
    <row r="169" spans="1:25" s="13" customFormat="1" ht="14.25" x14ac:dyDescent="0.2">
      <c r="A169" s="117" t="s">
        <v>49</v>
      </c>
      <c r="B169" s="123" t="s">
        <v>205</v>
      </c>
      <c r="C169" s="123"/>
      <c r="D169" s="123"/>
      <c r="E169" s="479">
        <v>7.4999999999999997E-3</v>
      </c>
      <c r="F169" s="303">
        <f>E169</f>
        <v>7.4999999999999997E-3</v>
      </c>
      <c r="G169" s="615">
        <f>F169*$F$126</f>
        <v>5.32125</v>
      </c>
      <c r="H169" s="91">
        <f>+G169*$F$127</f>
        <v>292.66874999999999</v>
      </c>
      <c r="K169" s="117" t="s">
        <v>49</v>
      </c>
      <c r="L169" s="123" t="s">
        <v>205</v>
      </c>
      <c r="M169" s="123"/>
      <c r="N169" s="123"/>
      <c r="O169" s="479">
        <v>2.5000000000000001E-3</v>
      </c>
      <c r="P169" s="303">
        <f>O169*(100%+$F$130)</f>
        <v>2.5000000000000001E-3</v>
      </c>
      <c r="Q169" s="615">
        <f>IF($F$131="DA",P169*$F$126,0)</f>
        <v>1.7737499999999999</v>
      </c>
      <c r="R169" s="91">
        <f>+Q169*$F$127</f>
        <v>97.556249999999991</v>
      </c>
      <c r="U169" s="481">
        <f t="shared" si="20"/>
        <v>0.01</v>
      </c>
      <c r="V169" s="481">
        <f t="shared" si="20"/>
        <v>0.01</v>
      </c>
      <c r="W169" s="615">
        <f t="shared" si="20"/>
        <v>7.0949999999999998</v>
      </c>
      <c r="X169" s="91">
        <f t="shared" si="20"/>
        <v>390.22499999999997</v>
      </c>
    </row>
    <row r="170" spans="1:25" s="13" customFormat="1" ht="14.25" x14ac:dyDescent="0.2">
      <c r="A170" s="122">
        <v>6</v>
      </c>
      <c r="B170" s="102" t="s">
        <v>50</v>
      </c>
      <c r="C170" s="102"/>
      <c r="D170" s="102"/>
      <c r="E170" s="103"/>
      <c r="F170" s="305"/>
      <c r="G170" s="607"/>
      <c r="H170" s="104"/>
      <c r="K170" s="122">
        <v>6</v>
      </c>
      <c r="L170" s="102" t="s">
        <v>50</v>
      </c>
      <c r="M170" s="102"/>
      <c r="N170" s="102"/>
      <c r="O170" s="103"/>
      <c r="P170" s="305"/>
      <c r="Q170" s="607"/>
      <c r="R170" s="104"/>
      <c r="U170" s="103"/>
      <c r="V170" s="103"/>
      <c r="W170" s="607"/>
      <c r="X170" s="104"/>
    </row>
    <row r="171" spans="1:25" s="13" customFormat="1" ht="14.25" x14ac:dyDescent="0.2">
      <c r="A171" s="89" t="s">
        <v>54</v>
      </c>
      <c r="B171" s="98" t="s">
        <v>206</v>
      </c>
      <c r="C171" s="98"/>
      <c r="D171" s="98"/>
      <c r="E171" s="86"/>
      <c r="F171" s="86"/>
      <c r="G171" s="608"/>
      <c r="H171" s="87"/>
      <c r="K171" s="89" t="s">
        <v>54</v>
      </c>
      <c r="L171" s="98" t="s">
        <v>206</v>
      </c>
      <c r="M171" s="98"/>
      <c r="N171" s="98"/>
      <c r="O171" s="86"/>
      <c r="P171" s="86"/>
      <c r="Q171" s="608"/>
      <c r="R171" s="87"/>
      <c r="U171" s="86"/>
      <c r="V171" s="86"/>
      <c r="W171" s="608"/>
      <c r="X171" s="87"/>
    </row>
    <row r="172" spans="1:25" s="13" customFormat="1" ht="14.25" x14ac:dyDescent="0.2">
      <c r="A172" s="89" t="s">
        <v>55</v>
      </c>
      <c r="B172" s="98" t="s">
        <v>207</v>
      </c>
      <c r="C172" s="98"/>
      <c r="D172" s="98"/>
      <c r="E172" s="86"/>
      <c r="F172" s="86"/>
      <c r="G172" s="608"/>
      <c r="H172" s="87"/>
      <c r="K172" s="89" t="s">
        <v>55</v>
      </c>
      <c r="L172" s="98" t="s">
        <v>207</v>
      </c>
      <c r="M172" s="98"/>
      <c r="N172" s="98"/>
      <c r="O172" s="86"/>
      <c r="P172" s="86"/>
      <c r="Q172" s="608"/>
      <c r="R172" s="87"/>
      <c r="U172" s="86"/>
      <c r="V172" s="86"/>
      <c r="W172" s="608"/>
      <c r="X172" s="87"/>
    </row>
    <row r="173" spans="1:25" s="13" customFormat="1" ht="14.25" x14ac:dyDescent="0.2">
      <c r="A173" s="117" t="s">
        <v>56</v>
      </c>
      <c r="B173" s="123" t="s">
        <v>208</v>
      </c>
      <c r="C173" s="123"/>
      <c r="D173" s="123"/>
      <c r="E173" s="112"/>
      <c r="F173" s="112"/>
      <c r="G173" s="609"/>
      <c r="H173" s="91"/>
      <c r="K173" s="117" t="s">
        <v>56</v>
      </c>
      <c r="L173" s="123" t="s">
        <v>208</v>
      </c>
      <c r="M173" s="123"/>
      <c r="N173" s="123"/>
      <c r="O173" s="112"/>
      <c r="P173" s="112"/>
      <c r="Q173" s="609"/>
      <c r="R173" s="91"/>
      <c r="U173" s="112"/>
      <c r="V173" s="112"/>
      <c r="W173" s="609"/>
      <c r="X173" s="91"/>
    </row>
    <row r="174" spans="1:25" s="13" customFormat="1" ht="14.25" x14ac:dyDescent="0.2">
      <c r="A174" s="92"/>
      <c r="B174" s="93"/>
      <c r="C174" s="93"/>
      <c r="D174" s="93"/>
      <c r="E174" s="94"/>
      <c r="F174" s="94"/>
      <c r="G174" s="610"/>
      <c r="H174" s="93"/>
      <c r="K174" s="92"/>
      <c r="L174" s="93"/>
      <c r="M174" s="93"/>
      <c r="N174" s="93"/>
      <c r="O174" s="94"/>
      <c r="P174" s="94"/>
      <c r="Q174" s="610"/>
      <c r="R174" s="93"/>
      <c r="U174" s="94"/>
      <c r="V174" s="94"/>
      <c r="W174" s="610"/>
      <c r="X174" s="93"/>
    </row>
    <row r="175" spans="1:25" s="13" customFormat="1" ht="14.25" x14ac:dyDescent="0.2">
      <c r="A175" s="126"/>
      <c r="B175" s="127" t="s">
        <v>0</v>
      </c>
      <c r="C175" s="127"/>
      <c r="D175" s="127"/>
      <c r="E175" s="128">
        <f>E135+E138+E142+E153+E158+E167+E170</f>
        <v>0.81</v>
      </c>
      <c r="F175" s="128">
        <f>F135+F138+F142+F153+F158+F167+F170</f>
        <v>0.81</v>
      </c>
      <c r="G175" s="611">
        <f>G135+G138+G142+G153+G158+G167+G170</f>
        <v>574.69500000000005</v>
      </c>
      <c r="H175" s="129">
        <f>H135+H138+H142+H153+H158+H167+H170</f>
        <v>31608.224999999999</v>
      </c>
      <c r="I175" s="125">
        <f>IFERROR(H175/'OSNOVNI PODATKI'!$E$332,0)</f>
        <v>0</v>
      </c>
      <c r="K175" s="126"/>
      <c r="L175" s="127" t="s">
        <v>0</v>
      </c>
      <c r="M175" s="127"/>
      <c r="N175" s="127"/>
      <c r="O175" s="128">
        <f>O135+O138+O142+O153+O158+O167+O170</f>
        <v>0.19000000000000003</v>
      </c>
      <c r="P175" s="128">
        <f>P135+P138+P142+P153+P158+P167+P170</f>
        <v>0.19000000000000003</v>
      </c>
      <c r="Q175" s="611">
        <f>Q135+Q138+Q142+Q153+Q158+Q167+Q170</f>
        <v>134.80500000000001</v>
      </c>
      <c r="R175" s="129">
        <f>R135+R138+R142+R153+R158+R167+R170</f>
        <v>7414.2750000000005</v>
      </c>
      <c r="S175" s="125">
        <f>IFERROR(R175/'OSNOVNI PODATKI'!$E$332,0)</f>
        <v>0</v>
      </c>
      <c r="T175" s="125"/>
      <c r="U175" s="128">
        <f>U135+U138+U142+U153+U158+U167+U170</f>
        <v>1.0000000000000002</v>
      </c>
      <c r="V175" s="128">
        <f>V135+V138+V142+V153+V158+V167+V170</f>
        <v>1.0000000000000002</v>
      </c>
      <c r="W175" s="611">
        <f>W135+W138+W142+W153+W158+W167+W170</f>
        <v>709.50000000000011</v>
      </c>
      <c r="X175" s="129">
        <f>X135+X138+X142+X153+X158+X167+X170</f>
        <v>39022.499999999993</v>
      </c>
      <c r="Y175" s="125">
        <f>IFERROR(X175/'OSNOVNI PODATKI'!$E$332,0)</f>
        <v>0</v>
      </c>
    </row>
    <row r="176" spans="1:25" s="13" customFormat="1" ht="14.25" x14ac:dyDescent="0.2">
      <c r="A176" s="29"/>
      <c r="B176" s="124"/>
      <c r="E176" s="30"/>
      <c r="G176" s="30"/>
    </row>
    <row r="177" spans="1:14" s="13" customFormat="1" ht="14.25" x14ac:dyDescent="0.2">
      <c r="A177" s="29"/>
      <c r="B177" s="124"/>
      <c r="E177" s="30"/>
      <c r="G177" s="30"/>
      <c r="H177" s="125"/>
    </row>
    <row r="178" spans="1:14" x14ac:dyDescent="0.2">
      <c r="H178" s="647"/>
    </row>
    <row r="179" spans="1:14" x14ac:dyDescent="0.2">
      <c r="H179" s="647"/>
    </row>
    <row r="180" spans="1:14" x14ac:dyDescent="0.2">
      <c r="H180" s="647"/>
      <c r="J180" s="647"/>
    </row>
    <row r="183" spans="1:14" x14ac:dyDescent="0.2">
      <c r="J183" s="647"/>
    </row>
    <row r="184" spans="1:14" x14ac:dyDescent="0.2">
      <c r="N184" s="649"/>
    </row>
  </sheetData>
  <sheetProtection algorithmName="SHA-512" hashValue="jaLVOy7sdEKjaa7gPDs8nDHOaWAE5U/8xaWBRoZmDfjKM3A50bFt9Wv2pAy1hCub75aBcQJqwpCOBjI+sYtIiw==" saltValue="aHMFVMsAhJG7kuMHNFZO1g==" spinCount="100000" sheet="1" objects="1" scenarios="1"/>
  <pageMargins left="0.7" right="0.7" top="0.75" bottom="0.75" header="0.3" footer="0.3"/>
  <ignoredErrors>
    <ignoredError sqref="P15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1B51-2710-474D-B87B-F56FC0A6714C}">
  <sheetPr codeName="Sheet9"/>
  <dimension ref="A1:Z230"/>
  <sheetViews>
    <sheetView topLeftCell="A166" zoomScale="115" zoomScaleNormal="115" workbookViewId="0">
      <selection activeCell="T206" sqref="T206"/>
    </sheetView>
  </sheetViews>
  <sheetFormatPr defaultRowHeight="12.75" x14ac:dyDescent="0.2"/>
  <cols>
    <col min="2" max="2" width="28.42578125" customWidth="1"/>
    <col min="3" max="4" width="11.7109375" customWidth="1"/>
    <col min="5" max="5" width="17.42578125" customWidth="1"/>
    <col min="6" max="7" width="11.7109375" customWidth="1"/>
    <col min="8" max="8" width="14.140625" customWidth="1"/>
    <col min="9" max="9" width="11.7109375" customWidth="1"/>
    <col min="10" max="10" width="18.5703125" customWidth="1"/>
    <col min="11" max="11" width="15.42578125" customWidth="1"/>
    <col min="12" max="12" width="11.7109375" customWidth="1"/>
    <col min="14" max="14" width="28.85546875" customWidth="1"/>
    <col min="15" max="19" width="12" customWidth="1"/>
    <col min="20" max="20" width="10.85546875" style="478" bestFit="1" customWidth="1"/>
    <col min="21" max="21" width="13.7109375" style="478" customWidth="1"/>
    <col min="22" max="22" width="13" style="478" customWidth="1"/>
    <col min="23" max="23" width="11.28515625" style="478" customWidth="1"/>
    <col min="24" max="24" width="15" style="478" customWidth="1"/>
    <col min="25" max="26" width="8.85546875" style="478"/>
  </cols>
  <sheetData>
    <row r="1" spans="2:26" ht="23.25" x14ac:dyDescent="0.35">
      <c r="B1" s="723" t="s">
        <v>1090</v>
      </c>
      <c r="C1" s="724"/>
      <c r="D1" s="724"/>
      <c r="E1" s="724"/>
      <c r="F1" s="724"/>
      <c r="G1" s="724"/>
      <c r="H1" s="724"/>
      <c r="I1" s="725"/>
      <c r="J1" s="725"/>
      <c r="K1" s="725"/>
      <c r="L1" s="725"/>
      <c r="T1"/>
      <c r="U1"/>
      <c r="V1"/>
      <c r="W1"/>
      <c r="X1"/>
      <c r="Y1"/>
      <c r="Z1"/>
    </row>
    <row r="2" spans="2:26" ht="14.25" x14ac:dyDescent="0.25">
      <c r="B2" s="10"/>
      <c r="C2" s="8"/>
      <c r="D2" s="8"/>
      <c r="E2" s="8"/>
      <c r="F2" s="8"/>
      <c r="G2" s="8"/>
      <c r="H2" s="8"/>
      <c r="I2" s="9"/>
      <c r="J2" s="9"/>
      <c r="K2" s="9"/>
      <c r="L2" s="9"/>
      <c r="T2"/>
      <c r="U2"/>
      <c r="V2"/>
      <c r="W2"/>
      <c r="X2"/>
      <c r="Y2"/>
      <c r="Z2"/>
    </row>
    <row r="3" spans="2:26" s="2" customFormat="1" ht="14.25" x14ac:dyDescent="0.25">
      <c r="B3" s="7"/>
      <c r="C3" s="7"/>
      <c r="D3" s="7"/>
      <c r="E3" s="7"/>
      <c r="F3" s="7"/>
      <c r="G3" s="7"/>
      <c r="H3" s="7"/>
      <c r="I3" s="7"/>
      <c r="J3" s="7"/>
      <c r="K3" s="7"/>
      <c r="L3" s="9"/>
    </row>
    <row r="4" spans="2:26" s="2" customFormat="1" ht="25.5" x14ac:dyDescent="0.2">
      <c r="B4" s="1320" t="s">
        <v>71</v>
      </c>
      <c r="C4" s="1286" t="s">
        <v>72</v>
      </c>
      <c r="D4" s="1286" t="s">
        <v>73</v>
      </c>
      <c r="E4" s="1286" t="s">
        <v>74</v>
      </c>
      <c r="F4" s="1286" t="s">
        <v>75</v>
      </c>
      <c r="G4" s="1286" t="s">
        <v>76</v>
      </c>
      <c r="H4" s="1286"/>
    </row>
    <row r="5" spans="2:26" s="2" customFormat="1" x14ac:dyDescent="0.2">
      <c r="B5" s="1321"/>
      <c r="C5" s="199" t="s">
        <v>77</v>
      </c>
      <c r="D5" s="199" t="s">
        <v>78</v>
      </c>
      <c r="E5" s="199" t="s">
        <v>79</v>
      </c>
      <c r="F5" s="199" t="s">
        <v>80</v>
      </c>
      <c r="G5" s="199" t="s">
        <v>81</v>
      </c>
      <c r="H5" s="199"/>
    </row>
    <row r="6" spans="2:26" s="2" customFormat="1" x14ac:dyDescent="0.2">
      <c r="B6" s="200"/>
      <c r="C6" s="200"/>
      <c r="D6" s="200"/>
      <c r="E6" s="200"/>
      <c r="F6" s="200"/>
      <c r="G6" s="200"/>
      <c r="H6" s="200"/>
    </row>
    <row r="7" spans="2:26" s="2" customFormat="1" x14ac:dyDescent="0.2">
      <c r="B7" s="84">
        <v>25000</v>
      </c>
      <c r="C7" s="84">
        <v>39</v>
      </c>
      <c r="D7" s="84">
        <v>46</v>
      </c>
      <c r="E7" s="84">
        <v>54</v>
      </c>
      <c r="F7" s="84">
        <v>68</v>
      </c>
      <c r="G7" s="84">
        <v>76</v>
      </c>
      <c r="H7" s="84">
        <v>83</v>
      </c>
    </row>
    <row r="8" spans="2:26" s="2" customFormat="1" x14ac:dyDescent="0.2">
      <c r="B8" s="84">
        <v>35000</v>
      </c>
      <c r="C8" s="84">
        <v>53</v>
      </c>
      <c r="D8" s="84">
        <v>62</v>
      </c>
      <c r="E8" s="84">
        <v>73</v>
      </c>
      <c r="F8" s="84">
        <v>91</v>
      </c>
      <c r="G8" s="84">
        <v>103</v>
      </c>
      <c r="H8" s="84">
        <v>112</v>
      </c>
    </row>
    <row r="9" spans="2:26" s="2" customFormat="1" x14ac:dyDescent="0.2">
      <c r="B9" s="84">
        <v>50000</v>
      </c>
      <c r="C9" s="84">
        <v>73</v>
      </c>
      <c r="D9" s="84">
        <v>85</v>
      </c>
      <c r="E9" s="84">
        <v>101</v>
      </c>
      <c r="F9" s="84">
        <v>126</v>
      </c>
      <c r="G9" s="84">
        <v>142</v>
      </c>
      <c r="H9" s="84">
        <v>154</v>
      </c>
    </row>
    <row r="10" spans="2:26" s="2" customFormat="1" x14ac:dyDescent="0.2">
      <c r="B10" s="84">
        <v>75000</v>
      </c>
      <c r="C10" s="84">
        <v>104</v>
      </c>
      <c r="D10" s="84">
        <v>122</v>
      </c>
      <c r="E10" s="84">
        <v>145</v>
      </c>
      <c r="F10" s="84">
        <v>181</v>
      </c>
      <c r="G10" s="84">
        <v>204</v>
      </c>
      <c r="H10" s="84">
        <v>222</v>
      </c>
    </row>
    <row r="11" spans="2:26" s="2" customFormat="1" x14ac:dyDescent="0.2">
      <c r="B11" s="84">
        <v>100000</v>
      </c>
      <c r="C11" s="84">
        <v>135</v>
      </c>
      <c r="D11" s="84">
        <v>158</v>
      </c>
      <c r="E11" s="84">
        <v>188</v>
      </c>
      <c r="F11" s="84">
        <v>234</v>
      </c>
      <c r="G11" s="84">
        <v>263</v>
      </c>
      <c r="H11" s="84">
        <v>287</v>
      </c>
    </row>
    <row r="12" spans="2:26" s="2" customFormat="1" x14ac:dyDescent="0.2">
      <c r="B12" s="84">
        <v>150000</v>
      </c>
      <c r="C12" s="84">
        <v>194</v>
      </c>
      <c r="D12" s="84">
        <v>227</v>
      </c>
      <c r="E12" s="84">
        <v>269</v>
      </c>
      <c r="F12" s="84">
        <v>336</v>
      </c>
      <c r="G12" s="84">
        <v>378</v>
      </c>
      <c r="H12" s="84">
        <v>412</v>
      </c>
    </row>
    <row r="13" spans="2:26" s="2" customFormat="1" x14ac:dyDescent="0.2">
      <c r="B13" s="84">
        <v>200000</v>
      </c>
      <c r="C13" s="84">
        <v>250</v>
      </c>
      <c r="D13" s="84">
        <v>294</v>
      </c>
      <c r="E13" s="84">
        <v>348</v>
      </c>
      <c r="F13" s="84">
        <v>434</v>
      </c>
      <c r="G13" s="84">
        <v>489</v>
      </c>
      <c r="H13" s="84">
        <v>532</v>
      </c>
    </row>
    <row r="14" spans="2:26" s="2" customFormat="1" x14ac:dyDescent="0.2">
      <c r="B14" s="84">
        <v>300000</v>
      </c>
      <c r="C14" s="84">
        <v>359</v>
      </c>
      <c r="D14" s="84">
        <v>421</v>
      </c>
      <c r="E14" s="84">
        <v>500</v>
      </c>
      <c r="F14" s="84">
        <v>623</v>
      </c>
      <c r="G14" s="84">
        <v>702</v>
      </c>
      <c r="H14" s="84">
        <v>764</v>
      </c>
    </row>
    <row r="15" spans="2:26" s="2" customFormat="1" x14ac:dyDescent="0.2">
      <c r="B15" s="84">
        <v>500000</v>
      </c>
      <c r="C15" s="84">
        <v>565</v>
      </c>
      <c r="D15" s="84">
        <v>663</v>
      </c>
      <c r="E15" s="84">
        <v>786</v>
      </c>
      <c r="F15" s="84">
        <v>981</v>
      </c>
      <c r="G15" s="84">
        <v>1104</v>
      </c>
      <c r="H15" s="84">
        <v>1201</v>
      </c>
    </row>
    <row r="16" spans="2:26" s="2" customFormat="1" x14ac:dyDescent="0.2">
      <c r="B16" s="84">
        <v>750000</v>
      </c>
      <c r="C16" s="84">
        <v>808</v>
      </c>
      <c r="D16" s="84">
        <v>947</v>
      </c>
      <c r="E16" s="84">
        <v>1124</v>
      </c>
      <c r="F16" s="84">
        <v>1402</v>
      </c>
      <c r="G16" s="84">
        <v>1579</v>
      </c>
      <c r="H16" s="84">
        <v>1718</v>
      </c>
    </row>
    <row r="17" spans="2:24" s="2" customFormat="1" x14ac:dyDescent="0.2">
      <c r="B17" s="84">
        <v>1000000</v>
      </c>
      <c r="C17" s="84">
        <v>1040</v>
      </c>
      <c r="D17" s="84">
        <v>1218</v>
      </c>
      <c r="E17" s="84">
        <v>1446</v>
      </c>
      <c r="F17" s="84">
        <v>1803</v>
      </c>
      <c r="G17" s="84">
        <v>2031</v>
      </c>
      <c r="H17" s="84">
        <v>2210</v>
      </c>
    </row>
    <row r="18" spans="2:24" s="2" customFormat="1" x14ac:dyDescent="0.2">
      <c r="B18" s="84">
        <v>1500000</v>
      </c>
      <c r="C18" s="84">
        <v>1491</v>
      </c>
      <c r="D18" s="84">
        <v>1748</v>
      </c>
      <c r="E18" s="84">
        <v>2074</v>
      </c>
      <c r="F18" s="84">
        <v>2587</v>
      </c>
      <c r="G18" s="84">
        <v>2913</v>
      </c>
      <c r="H18" s="84">
        <v>3169</v>
      </c>
    </row>
    <row r="19" spans="2:24" s="2" customFormat="1" x14ac:dyDescent="0.2">
      <c r="B19" s="84">
        <v>2000000</v>
      </c>
      <c r="C19" s="84">
        <v>1925</v>
      </c>
      <c r="D19" s="84">
        <v>2255</v>
      </c>
      <c r="E19" s="84">
        <v>2676</v>
      </c>
      <c r="F19" s="84">
        <v>3338</v>
      </c>
      <c r="G19" s="84">
        <v>3759</v>
      </c>
      <c r="H19" s="84">
        <v>4090</v>
      </c>
    </row>
    <row r="20" spans="2:24" s="2" customFormat="1" x14ac:dyDescent="0.2">
      <c r="B20" s="84">
        <v>3000000</v>
      </c>
      <c r="C20" s="84">
        <v>2752</v>
      </c>
      <c r="D20" s="84">
        <v>3225</v>
      </c>
      <c r="E20" s="84">
        <v>3827</v>
      </c>
      <c r="F20" s="84">
        <v>4773</v>
      </c>
      <c r="G20" s="84">
        <v>5375</v>
      </c>
      <c r="H20" s="84">
        <v>5848</v>
      </c>
    </row>
    <row r="21" spans="2:24" s="2" customFormat="1" x14ac:dyDescent="0.2">
      <c r="B21" s="84">
        <v>5000000</v>
      </c>
      <c r="C21" s="84">
        <v>4298</v>
      </c>
      <c r="D21" s="84">
        <v>5037</v>
      </c>
      <c r="E21" s="84">
        <v>5978</v>
      </c>
      <c r="F21" s="84">
        <v>7455</v>
      </c>
      <c r="G21" s="84">
        <v>8396</v>
      </c>
      <c r="H21" s="84">
        <v>9134</v>
      </c>
    </row>
    <row r="22" spans="2:24" s="2" customFormat="1" x14ac:dyDescent="0.2">
      <c r="B22" s="84">
        <v>7500000</v>
      </c>
      <c r="C22" s="84">
        <v>6174</v>
      </c>
      <c r="D22" s="84">
        <v>7235</v>
      </c>
      <c r="E22" s="84">
        <v>8586</v>
      </c>
      <c r="F22" s="84">
        <v>10708</v>
      </c>
      <c r="G22" s="84">
        <v>12059</v>
      </c>
      <c r="H22" s="84">
        <v>13120</v>
      </c>
    </row>
    <row r="23" spans="2:24" s="2" customFormat="1" x14ac:dyDescent="0.2">
      <c r="B23" s="84">
        <v>10000000</v>
      </c>
      <c r="C23" s="84">
        <v>7978</v>
      </c>
      <c r="D23" s="84">
        <v>9350</v>
      </c>
      <c r="E23" s="84">
        <v>11095</v>
      </c>
      <c r="F23" s="84">
        <v>13838</v>
      </c>
      <c r="G23" s="84">
        <v>15583</v>
      </c>
      <c r="H23" s="84">
        <v>16954</v>
      </c>
    </row>
    <row r="24" spans="2:24" s="2" customFormat="1" x14ac:dyDescent="0.2">
      <c r="B24" s="84">
        <v>15000000</v>
      </c>
      <c r="C24" s="84">
        <v>11439</v>
      </c>
      <c r="D24" s="84">
        <v>13405</v>
      </c>
      <c r="E24" s="84">
        <v>15908</v>
      </c>
      <c r="F24" s="84">
        <v>19840</v>
      </c>
      <c r="G24" s="84">
        <v>22342</v>
      </c>
      <c r="H24" s="84">
        <v>24308</v>
      </c>
    </row>
    <row r="25" spans="2:24" s="2" customFormat="1" x14ac:dyDescent="0.2">
      <c r="B25" s="84">
        <v>20000000</v>
      </c>
      <c r="C25" s="84">
        <v>14755</v>
      </c>
      <c r="D25" s="84">
        <v>17291</v>
      </c>
      <c r="E25" s="84">
        <v>20519</v>
      </c>
      <c r="F25" s="84">
        <v>25591</v>
      </c>
      <c r="G25" s="84">
        <v>28819</v>
      </c>
      <c r="H25" s="84">
        <v>31355</v>
      </c>
    </row>
    <row r="26" spans="2:24" s="2" customFormat="1" x14ac:dyDescent="0.2">
      <c r="B26" s="84">
        <v>25000000</v>
      </c>
      <c r="C26" s="84">
        <v>17961</v>
      </c>
      <c r="D26" s="84">
        <v>21048</v>
      </c>
      <c r="E26" s="84">
        <v>24977</v>
      </c>
      <c r="F26" s="84">
        <v>31151</v>
      </c>
      <c r="G26" s="84">
        <v>35080</v>
      </c>
      <c r="H26" s="84">
        <v>38167</v>
      </c>
    </row>
    <row r="27" spans="2:24" s="2" customFormat="1" x14ac:dyDescent="0.2">
      <c r="B27" s="84">
        <v>50000000</v>
      </c>
      <c r="C27" s="84">
        <v>29640</v>
      </c>
      <c r="D27" s="84">
        <v>34960</v>
      </c>
      <c r="E27" s="84">
        <v>41040</v>
      </c>
      <c r="F27" s="84">
        <v>51680</v>
      </c>
      <c r="G27" s="84">
        <v>57760</v>
      </c>
      <c r="H27" s="84">
        <v>63080</v>
      </c>
    </row>
    <row r="28" spans="2:24" s="2" customFormat="1" x14ac:dyDescent="0.2">
      <c r="B28" s="84">
        <v>100000000</v>
      </c>
      <c r="C28" s="84">
        <v>46800</v>
      </c>
      <c r="D28" s="84">
        <v>55200</v>
      </c>
      <c r="E28" s="84">
        <v>64800</v>
      </c>
      <c r="F28" s="84">
        <v>81600</v>
      </c>
      <c r="G28" s="84">
        <v>91200</v>
      </c>
      <c r="H28" s="84">
        <v>99600</v>
      </c>
    </row>
    <row r="29" spans="2:24" s="2" customFormat="1" x14ac:dyDescent="0.2">
      <c r="B29" s="84">
        <v>150000000</v>
      </c>
      <c r="C29" s="84">
        <v>60840</v>
      </c>
      <c r="D29" s="84">
        <v>71760</v>
      </c>
      <c r="E29" s="84">
        <v>84240</v>
      </c>
      <c r="F29" s="84">
        <v>106080</v>
      </c>
      <c r="G29" s="84">
        <v>118560</v>
      </c>
      <c r="H29" s="84">
        <v>129480</v>
      </c>
    </row>
    <row r="30" spans="2:24" s="2" customFormat="1" x14ac:dyDescent="0.2">
      <c r="B30" s="84">
        <v>200000000</v>
      </c>
      <c r="C30" s="84">
        <v>68640</v>
      </c>
      <c r="D30" s="84">
        <v>80960</v>
      </c>
      <c r="E30" s="84">
        <v>95040</v>
      </c>
      <c r="F30" s="84">
        <v>119680</v>
      </c>
      <c r="G30" s="84">
        <v>133760</v>
      </c>
      <c r="H30" s="84">
        <v>146080</v>
      </c>
    </row>
    <row r="31" spans="2:24" s="80" customFormat="1" x14ac:dyDescent="0.2">
      <c r="B31" s="79"/>
      <c r="C31" s="79"/>
      <c r="D31" s="79"/>
      <c r="E31" s="79"/>
      <c r="F31" s="79"/>
      <c r="G31" s="79"/>
      <c r="H31" s="79"/>
      <c r="I31" s="79"/>
      <c r="J31" s="79"/>
      <c r="K31" s="79"/>
      <c r="L31" s="79"/>
      <c r="M31" s="2"/>
      <c r="N31" s="2"/>
      <c r="O31" s="2"/>
      <c r="P31" s="2"/>
      <c r="Q31" s="2"/>
      <c r="R31" s="2"/>
      <c r="S31" s="2"/>
      <c r="T31" s="2"/>
      <c r="U31" s="2"/>
      <c r="V31" s="2"/>
      <c r="W31" s="2"/>
      <c r="X31" s="2"/>
    </row>
    <row r="32" spans="2:24" s="80" customFormat="1" x14ac:dyDescent="0.2">
      <c r="B32" s="79"/>
      <c r="C32" s="79"/>
      <c r="D32" s="79"/>
      <c r="E32" s="79"/>
      <c r="F32" s="79"/>
      <c r="G32" s="79"/>
      <c r="H32" s="79"/>
      <c r="I32" s="79"/>
      <c r="J32" s="79"/>
      <c r="K32" s="79"/>
      <c r="L32" s="79"/>
    </row>
    <row r="33" spans="1:12" s="80" customFormat="1" ht="13.5" thickBot="1" x14ac:dyDescent="0.25">
      <c r="B33" s="726"/>
      <c r="C33" s="79"/>
      <c r="D33" s="79"/>
      <c r="E33" s="727"/>
      <c r="F33" s="79"/>
      <c r="G33" s="79"/>
      <c r="H33" s="79"/>
      <c r="I33" s="79"/>
      <c r="J33" s="79"/>
      <c r="K33" s="79"/>
      <c r="L33" s="79"/>
    </row>
    <row r="34" spans="1:12" s="77" customFormat="1" ht="18.75" x14ac:dyDescent="0.2">
      <c r="A34" s="807" t="s">
        <v>1092</v>
      </c>
      <c r="B34" s="807"/>
      <c r="C34" s="807"/>
      <c r="D34" s="807"/>
      <c r="E34" s="807"/>
      <c r="F34" s="807"/>
      <c r="G34" s="807"/>
      <c r="H34" s="807"/>
      <c r="I34" s="807"/>
      <c r="J34" s="807"/>
    </row>
    <row r="35" spans="1:12" s="77" customFormat="1" x14ac:dyDescent="0.2">
      <c r="B35" s="209"/>
      <c r="C35" s="209"/>
      <c r="D35" s="209"/>
      <c r="E35" s="209"/>
      <c r="F35" s="209"/>
      <c r="J35" s="626"/>
    </row>
    <row r="36" spans="1:12" s="77" customFormat="1" x14ac:dyDescent="0.2">
      <c r="A36" s="80"/>
      <c r="B36" s="538" t="s">
        <v>941</v>
      </c>
      <c r="C36" s="641">
        <f>'OSNOVNI PODATKI'!H172</f>
        <v>1</v>
      </c>
      <c r="D36" s="538" t="str">
        <f>IF(C36=1,'OSNOVNI PODATKI'!B172,'OSNOVNI PODATKI'!B173)</f>
        <v>ENA STAVBA Z RAZLIČNIMI DELI (PRI IZRAČUNU POTREBNIH NU SE UPOŠTEVA SEŠTEVEK POVRŠIN VSEH DELOV)</v>
      </c>
      <c r="E36" s="498"/>
      <c r="F36" s="498"/>
      <c r="G36" s="207"/>
      <c r="H36" s="207"/>
      <c r="I36" s="207"/>
      <c r="J36" s="626"/>
    </row>
    <row r="37" spans="1:12" s="77" customFormat="1" x14ac:dyDescent="0.2">
      <c r="A37" s="80"/>
      <c r="B37" s="538" t="s">
        <v>893</v>
      </c>
      <c r="C37" s="207"/>
      <c r="D37" s="741">
        <f>'OSNOVNI PODATKI'!E343</f>
        <v>0</v>
      </c>
      <c r="E37" s="498"/>
      <c r="F37" s="498"/>
      <c r="G37" s="207"/>
      <c r="H37" s="207"/>
      <c r="I37" s="207"/>
      <c r="J37" s="626"/>
    </row>
    <row r="38" spans="1:12" s="77" customFormat="1" x14ac:dyDescent="0.2">
      <c r="A38" s="80"/>
      <c r="B38" s="854" t="s">
        <v>1045</v>
      </c>
      <c r="C38" s="626"/>
      <c r="D38" s="855">
        <f>'OSNOVNI PODATKI'!E340</f>
        <v>0</v>
      </c>
      <c r="E38" s="729"/>
      <c r="F38" s="729"/>
      <c r="G38" s="626"/>
      <c r="H38" s="626"/>
      <c r="I38" s="626"/>
      <c r="J38" s="626"/>
    </row>
    <row r="39" spans="1:12" s="77" customFormat="1" x14ac:dyDescent="0.2">
      <c r="A39" s="80"/>
      <c r="B39" s="730"/>
      <c r="C39" s="728"/>
      <c r="D39" s="730"/>
      <c r="E39" s="209"/>
      <c r="F39" s="209"/>
    </row>
    <row r="40" spans="1:12" s="77" customFormat="1" x14ac:dyDescent="0.2">
      <c r="A40" s="80"/>
      <c r="B40" s="210" t="str">
        <f>'OSNOVNI PODATKI'!A176</f>
        <v>NOTRANJA OPREMA / DEL 1</v>
      </c>
      <c r="C40" s="733">
        <f>'OSNOVNI PODATKI'!E176</f>
        <v>0</v>
      </c>
      <c r="D40" s="210"/>
      <c r="E40" s="210"/>
      <c r="F40" s="210"/>
    </row>
    <row r="41" spans="1:12" s="77" customFormat="1" x14ac:dyDescent="0.2">
      <c r="A41" s="80"/>
      <c r="B41" s="624" t="s">
        <v>718</v>
      </c>
      <c r="C41" s="198" t="str">
        <f>'OSNOVNI PODATKI'!E177</f>
        <v>Stanovanjski prostori s povprečnimi zahtevami, serijsko opremljene kuhinje</v>
      </c>
      <c r="D41" s="729"/>
      <c r="E41" s="729"/>
      <c r="F41" s="729"/>
    </row>
    <row r="42" spans="1:12" s="77" customFormat="1" x14ac:dyDescent="0.2">
      <c r="A42" s="80"/>
      <c r="B42" s="202" t="s">
        <v>1036</v>
      </c>
      <c r="D42" s="735"/>
      <c r="E42" s="735"/>
      <c r="F42" s="296">
        <f>'OSNOVNI PODATKI'!E178</f>
        <v>0</v>
      </c>
    </row>
    <row r="43" spans="1:12" s="77" customFormat="1" x14ac:dyDescent="0.2">
      <c r="A43" s="80"/>
      <c r="B43" s="202" t="s">
        <v>1034</v>
      </c>
      <c r="D43" s="209"/>
      <c r="E43" s="209"/>
      <c r="F43" s="204">
        <f>'OSNOVNI PODATKI'!E181</f>
        <v>0</v>
      </c>
    </row>
    <row r="44" spans="1:12" s="77" customFormat="1" x14ac:dyDescent="0.2">
      <c r="B44" s="538" t="s">
        <v>1033</v>
      </c>
      <c r="C44" s="626"/>
      <c r="D44" s="626"/>
      <c r="E44" s="736"/>
      <c r="F44" s="722">
        <f>+F42*F43</f>
        <v>0</v>
      </c>
    </row>
    <row r="45" spans="1:12" s="77" customFormat="1" x14ac:dyDescent="0.2">
      <c r="B45" s="538" t="s">
        <v>1044</v>
      </c>
      <c r="E45" s="740"/>
      <c r="F45" s="722">
        <f>IF($C$36=1,$D$37,F44)</f>
        <v>0</v>
      </c>
    </row>
    <row r="46" spans="1:12" s="77" customFormat="1" x14ac:dyDescent="0.2">
      <c r="B46" s="203" t="s">
        <v>116</v>
      </c>
      <c r="C46" s="285"/>
      <c r="D46" s="285"/>
      <c r="E46" s="734"/>
      <c r="F46" s="737" t="str">
        <f>'OSNOVNI PODATKI'!E179</f>
        <v>Cenovni razred III</v>
      </c>
    </row>
    <row r="47" spans="1:12" s="77" customFormat="1" x14ac:dyDescent="0.2">
      <c r="B47" s="851" t="s">
        <v>26</v>
      </c>
      <c r="C47" s="626"/>
      <c r="D47" s="200"/>
      <c r="E47" s="200"/>
      <c r="F47" s="738">
        <f>IFERROR(MATCH(F46,$C$4:$H$4),"/")</f>
        <v>3</v>
      </c>
    </row>
    <row r="48" spans="1:12" s="77" customFormat="1" x14ac:dyDescent="0.2">
      <c r="B48" s="852" t="s">
        <v>117</v>
      </c>
      <c r="C48" s="207"/>
      <c r="D48" s="83"/>
      <c r="E48" s="83"/>
      <c r="F48" s="569">
        <f>IFERROR(F47+1,"/")</f>
        <v>4</v>
      </c>
    </row>
    <row r="49" spans="2:6" s="77" customFormat="1" x14ac:dyDescent="0.2">
      <c r="B49" s="852" t="s">
        <v>27</v>
      </c>
      <c r="C49" s="207"/>
      <c r="D49" s="83"/>
      <c r="E49" s="83"/>
      <c r="F49" s="569" t="str">
        <f>IF(OR(F45&gt;$B$30,F45&lt;$B$7),"/",IFERROR(MATCH(F45,$B$7:$B$30),"/"))</f>
        <v>/</v>
      </c>
    </row>
    <row r="50" spans="2:6" s="77" customFormat="1" x14ac:dyDescent="0.2">
      <c r="B50" s="852" t="s">
        <v>28</v>
      </c>
      <c r="C50" s="207"/>
      <c r="D50" s="83"/>
      <c r="E50" s="83"/>
      <c r="F50" s="569" t="str">
        <f>IFERROR((F49+1),"/")</f>
        <v>/</v>
      </c>
    </row>
    <row r="51" spans="2:6" s="77" customFormat="1" x14ac:dyDescent="0.2">
      <c r="B51" s="852" t="s">
        <v>1038</v>
      </c>
      <c r="C51" s="207"/>
      <c r="D51" s="83"/>
      <c r="E51" s="83"/>
      <c r="F51" s="569">
        <f>IFERROR(INDEX($B$7:$B$30,F49),0)</f>
        <v>0</v>
      </c>
    </row>
    <row r="52" spans="2:6" s="77" customFormat="1" x14ac:dyDescent="0.2">
      <c r="B52" s="852" t="s">
        <v>1039</v>
      </c>
      <c r="C52" s="207"/>
      <c r="D52" s="83"/>
      <c r="E52" s="83"/>
      <c r="F52" s="569">
        <f>IFERROR(INDEX($B$7:$B$30,F50),0)</f>
        <v>0</v>
      </c>
    </row>
    <row r="53" spans="2:6" s="77" customFormat="1" x14ac:dyDescent="0.2">
      <c r="B53" s="538"/>
      <c r="C53" s="207"/>
      <c r="D53" s="83"/>
      <c r="E53" s="83"/>
      <c r="F53" s="83"/>
    </row>
    <row r="54" spans="2:6" s="77" customFormat="1" x14ac:dyDescent="0.2">
      <c r="B54" s="732" t="s">
        <v>1042</v>
      </c>
      <c r="C54" s="285"/>
      <c r="D54" s="199"/>
      <c r="E54" s="199"/>
      <c r="F54" s="199"/>
    </row>
    <row r="55" spans="2:6" s="77" customFormat="1" x14ac:dyDescent="0.2">
      <c r="B55" s="851" t="s">
        <v>1040</v>
      </c>
      <c r="C55" s="626"/>
      <c r="D55" s="200"/>
      <c r="E55" s="200"/>
      <c r="F55" s="569">
        <f>IFERROR(INDEX($C$7:$H$30,F49,F47),0)</f>
        <v>0</v>
      </c>
    </row>
    <row r="56" spans="2:6" s="77" customFormat="1" x14ac:dyDescent="0.2">
      <c r="B56" s="852" t="s">
        <v>1041</v>
      </c>
      <c r="C56" s="207"/>
      <c r="D56" s="83"/>
      <c r="E56" s="83"/>
      <c r="F56" s="569">
        <f>IFERROR(INDEX($C$7:$H$30,F50,F47),0)</f>
        <v>0</v>
      </c>
    </row>
    <row r="57" spans="2:6" s="77" customFormat="1" x14ac:dyDescent="0.2">
      <c r="B57" s="853" t="s">
        <v>119</v>
      </c>
      <c r="C57" s="297"/>
      <c r="D57" s="298"/>
      <c r="E57" s="298"/>
      <c r="F57" s="569">
        <f>IFERROR(FORECAST(F45,F55:F56,F51:F52),0)</f>
        <v>0</v>
      </c>
    </row>
    <row r="58" spans="2:6" s="77" customFormat="1" x14ac:dyDescent="0.2">
      <c r="B58" s="306" t="s">
        <v>1046</v>
      </c>
      <c r="C58" s="307"/>
      <c r="D58" s="308"/>
      <c r="E58" s="308"/>
      <c r="F58" s="309">
        <f>IF(F49="/",0,F57/$D$38*F42)</f>
        <v>0</v>
      </c>
    </row>
    <row r="59" spans="2:6" s="77" customFormat="1" x14ac:dyDescent="0.2">
      <c r="B59" s="204"/>
      <c r="D59" s="78"/>
      <c r="E59" s="78"/>
      <c r="F59" s="82"/>
    </row>
    <row r="60" spans="2:6" s="77" customFormat="1" x14ac:dyDescent="0.2">
      <c r="B60" s="731" t="s">
        <v>1043</v>
      </c>
      <c r="D60" s="78"/>
      <c r="E60" s="78"/>
      <c r="F60" s="739"/>
    </row>
    <row r="61" spans="2:6" s="77" customFormat="1" x14ac:dyDescent="0.2">
      <c r="B61" s="851" t="s">
        <v>118</v>
      </c>
      <c r="C61" s="206"/>
      <c r="D61" s="208"/>
      <c r="E61" s="208"/>
      <c r="F61" s="738">
        <f>IFERROR(INDEX($C$7:$H$30,F49,F48),0)</f>
        <v>0</v>
      </c>
    </row>
    <row r="62" spans="2:6" s="77" customFormat="1" x14ac:dyDescent="0.2">
      <c r="B62" s="852" t="s">
        <v>90</v>
      </c>
      <c r="C62" s="207"/>
      <c r="D62" s="83"/>
      <c r="E62" s="83"/>
      <c r="F62" s="569">
        <f>IFERROR(INDEX($C$7:$H$30,F50,F48),0)</f>
        <v>0</v>
      </c>
    </row>
    <row r="63" spans="2:6" s="77" customFormat="1" x14ac:dyDescent="0.2">
      <c r="B63" s="853" t="s">
        <v>120</v>
      </c>
      <c r="C63" s="297"/>
      <c r="D63" s="298"/>
      <c r="E63" s="298"/>
      <c r="F63" s="569">
        <f>IFERROR(FORECAST(F45,F61:F62,F51:F52),0)</f>
        <v>0</v>
      </c>
    </row>
    <row r="64" spans="2:6" s="77" customFormat="1" x14ac:dyDescent="0.2">
      <c r="B64" s="306" t="s">
        <v>1047</v>
      </c>
      <c r="C64" s="307"/>
      <c r="D64" s="308"/>
      <c r="E64" s="308"/>
      <c r="F64" s="309">
        <f>IF(F49="/",0,F63/$D$38*F42)</f>
        <v>0</v>
      </c>
    </row>
    <row r="65" spans="1:26" x14ac:dyDescent="0.2">
      <c r="B65" s="440"/>
      <c r="C65" s="513"/>
      <c r="D65" s="513"/>
      <c r="E65" s="513"/>
      <c r="F65" s="513"/>
      <c r="G65" s="77"/>
      <c r="H65" s="77"/>
      <c r="I65" s="77"/>
      <c r="J65" s="77"/>
      <c r="T65"/>
      <c r="U65"/>
      <c r="V65"/>
      <c r="W65"/>
      <c r="X65"/>
      <c r="Y65"/>
      <c r="Z65"/>
    </row>
    <row r="66" spans="1:26" s="77" customFormat="1" x14ac:dyDescent="0.2">
      <c r="A66" s="80"/>
      <c r="B66" s="210" t="str">
        <f>'OSNOVNI PODATKI'!A187</f>
        <v>NOTRANJA OPREMA / DEL 2</v>
      </c>
      <c r="C66" s="733">
        <f>'OSNOVNI PODATKI'!E187</f>
        <v>0</v>
      </c>
      <c r="D66" s="210"/>
      <c r="E66" s="210"/>
      <c r="F66" s="210"/>
    </row>
    <row r="67" spans="1:26" s="77" customFormat="1" x14ac:dyDescent="0.2">
      <c r="A67" s="80"/>
      <c r="B67" s="624" t="s">
        <v>718</v>
      </c>
      <c r="C67" s="198" t="str">
        <f>'OSNOVNI PODATKI'!E188</f>
        <v>Stanovanjski prostori s povprečnimi zahtevami, serijsko opremljene kuhinje</v>
      </c>
      <c r="D67" s="729"/>
      <c r="E67" s="729"/>
      <c r="F67" s="729"/>
    </row>
    <row r="68" spans="1:26" s="77" customFormat="1" x14ac:dyDescent="0.2">
      <c r="A68" s="80"/>
      <c r="B68" s="202" t="s">
        <v>1036</v>
      </c>
      <c r="D68" s="735"/>
      <c r="E68" s="735"/>
      <c r="F68" s="296">
        <f>'OSNOVNI PODATKI'!E189</f>
        <v>0</v>
      </c>
    </row>
    <row r="69" spans="1:26" s="77" customFormat="1" x14ac:dyDescent="0.2">
      <c r="A69" s="80"/>
      <c r="B69" s="202" t="s">
        <v>1034</v>
      </c>
      <c r="D69" s="209"/>
      <c r="E69" s="209"/>
      <c r="F69" s="204">
        <f>'OSNOVNI PODATKI'!E192</f>
        <v>0</v>
      </c>
    </row>
    <row r="70" spans="1:26" s="77" customFormat="1" x14ac:dyDescent="0.2">
      <c r="B70" s="538" t="s">
        <v>1033</v>
      </c>
      <c r="C70" s="626"/>
      <c r="D70" s="626"/>
      <c r="E70" s="736"/>
      <c r="F70" s="722">
        <f>+F68*F69</f>
        <v>0</v>
      </c>
    </row>
    <row r="71" spans="1:26" s="77" customFormat="1" x14ac:dyDescent="0.2">
      <c r="B71" s="538" t="s">
        <v>1044</v>
      </c>
      <c r="E71" s="740"/>
      <c r="F71" s="722">
        <f>IF($C$36=1,$D$37,F70)</f>
        <v>0</v>
      </c>
    </row>
    <row r="72" spans="1:26" s="77" customFormat="1" x14ac:dyDescent="0.2">
      <c r="B72" s="203" t="s">
        <v>116</v>
      </c>
      <c r="C72" s="285"/>
      <c r="D72" s="285"/>
      <c r="E72" s="734"/>
      <c r="F72" s="737" t="str">
        <f>'OSNOVNI PODATKI'!E190</f>
        <v>Cenovni razred II</v>
      </c>
    </row>
    <row r="73" spans="1:26" s="77" customFormat="1" x14ac:dyDescent="0.2">
      <c r="B73" s="851" t="s">
        <v>26</v>
      </c>
      <c r="C73" s="626"/>
      <c r="D73" s="200"/>
      <c r="E73" s="200"/>
      <c r="F73" s="738">
        <f>IFERROR(MATCH(F72,$C$4:$H$4),"/")</f>
        <v>2</v>
      </c>
    </row>
    <row r="74" spans="1:26" s="77" customFormat="1" x14ac:dyDescent="0.2">
      <c r="B74" s="852" t="s">
        <v>117</v>
      </c>
      <c r="C74" s="207"/>
      <c r="D74" s="83"/>
      <c r="E74" s="83"/>
      <c r="F74" s="569">
        <f>IFERROR(F73+1,"/")</f>
        <v>3</v>
      </c>
    </row>
    <row r="75" spans="1:26" s="77" customFormat="1" x14ac:dyDescent="0.2">
      <c r="B75" s="852" t="s">
        <v>27</v>
      </c>
      <c r="C75" s="207"/>
      <c r="D75" s="83"/>
      <c r="E75" s="83"/>
      <c r="F75" s="569" t="str">
        <f>IF(OR(F71&gt;$B$30,F71&lt;$B$7),"/",IFERROR(MATCH(F71,$B$7:$B$30),"/"))</f>
        <v>/</v>
      </c>
    </row>
    <row r="76" spans="1:26" s="77" customFormat="1" x14ac:dyDescent="0.2">
      <c r="B76" s="852" t="s">
        <v>28</v>
      </c>
      <c r="C76" s="207"/>
      <c r="D76" s="83"/>
      <c r="E76" s="83"/>
      <c r="F76" s="569" t="str">
        <f>IFERROR((F75+1),"/")</f>
        <v>/</v>
      </c>
    </row>
    <row r="77" spans="1:26" s="77" customFormat="1" x14ac:dyDescent="0.2">
      <c r="B77" s="852" t="s">
        <v>1038</v>
      </c>
      <c r="C77" s="207"/>
      <c r="D77" s="83"/>
      <c r="E77" s="83"/>
      <c r="F77" s="569">
        <f>IFERROR(INDEX($B$7:$B$30,F75),0)</f>
        <v>0</v>
      </c>
    </row>
    <row r="78" spans="1:26" s="77" customFormat="1" x14ac:dyDescent="0.2">
      <c r="B78" s="852" t="s">
        <v>1039</v>
      </c>
      <c r="C78" s="207"/>
      <c r="D78" s="83"/>
      <c r="E78" s="83"/>
      <c r="F78" s="569">
        <f>IFERROR(INDEX($B$7:$B$30,F76),0)</f>
        <v>0</v>
      </c>
    </row>
    <row r="79" spans="1:26" s="77" customFormat="1" x14ac:dyDescent="0.2">
      <c r="B79" s="538"/>
      <c r="C79" s="207"/>
      <c r="D79" s="83"/>
      <c r="E79" s="83"/>
      <c r="F79" s="83"/>
    </row>
    <row r="80" spans="1:26" s="77" customFormat="1" x14ac:dyDescent="0.2">
      <c r="B80" s="732" t="s">
        <v>1042</v>
      </c>
      <c r="C80" s="285"/>
      <c r="D80" s="199"/>
      <c r="E80" s="199"/>
      <c r="F80" s="199"/>
    </row>
    <row r="81" spans="1:26" s="77" customFormat="1" x14ac:dyDescent="0.2">
      <c r="B81" s="851" t="s">
        <v>1040</v>
      </c>
      <c r="C81" s="626"/>
      <c r="D81" s="200"/>
      <c r="E81" s="200"/>
      <c r="F81" s="569">
        <f>IFERROR(INDEX($C$7:$H$30,F75,F73),0)</f>
        <v>0</v>
      </c>
    </row>
    <row r="82" spans="1:26" s="77" customFormat="1" x14ac:dyDescent="0.2">
      <c r="B82" s="852" t="s">
        <v>1041</v>
      </c>
      <c r="C82" s="207"/>
      <c r="D82" s="83"/>
      <c r="E82" s="83"/>
      <c r="F82" s="569">
        <f>IFERROR(INDEX($C$7:$H$30,F76,F73),0)</f>
        <v>0</v>
      </c>
    </row>
    <row r="83" spans="1:26" s="77" customFormat="1" x14ac:dyDescent="0.2">
      <c r="B83" s="853" t="s">
        <v>119</v>
      </c>
      <c r="C83" s="297"/>
      <c r="D83" s="298"/>
      <c r="E83" s="298"/>
      <c r="F83" s="569">
        <f>IFERROR(FORECAST(F71,F81:F82,F77:F78),0)</f>
        <v>0</v>
      </c>
    </row>
    <row r="84" spans="1:26" s="77" customFormat="1" x14ac:dyDescent="0.2">
      <c r="B84" s="306" t="s">
        <v>1046</v>
      </c>
      <c r="C84" s="307"/>
      <c r="D84" s="308"/>
      <c r="E84" s="308"/>
      <c r="F84" s="309">
        <f>IF(F75="/",0,F83/$D$38*F68)</f>
        <v>0</v>
      </c>
    </row>
    <row r="85" spans="1:26" s="77" customFormat="1" x14ac:dyDescent="0.2">
      <c r="B85" s="204"/>
      <c r="D85" s="78"/>
      <c r="E85" s="78"/>
      <c r="F85" s="82"/>
    </row>
    <row r="86" spans="1:26" s="77" customFormat="1" x14ac:dyDescent="0.2">
      <c r="B86" s="731" t="s">
        <v>1043</v>
      </c>
      <c r="D86" s="78"/>
      <c r="E86" s="78"/>
      <c r="F86" s="739"/>
    </row>
    <row r="87" spans="1:26" s="77" customFormat="1" x14ac:dyDescent="0.2">
      <c r="B87" s="851" t="s">
        <v>118</v>
      </c>
      <c r="C87" s="206"/>
      <c r="D87" s="208"/>
      <c r="E87" s="208"/>
      <c r="F87" s="738">
        <f>IFERROR(INDEX($C$7:$H$30,F75,F74),0)</f>
        <v>0</v>
      </c>
    </row>
    <row r="88" spans="1:26" s="77" customFormat="1" x14ac:dyDescent="0.2">
      <c r="B88" s="852" t="s">
        <v>90</v>
      </c>
      <c r="C88" s="207"/>
      <c r="D88" s="83"/>
      <c r="E88" s="83"/>
      <c r="F88" s="569">
        <f>IFERROR(INDEX($C$7:$H$30,F76,F74),0)</f>
        <v>0</v>
      </c>
    </row>
    <row r="89" spans="1:26" s="77" customFormat="1" x14ac:dyDescent="0.2">
      <c r="B89" s="853" t="s">
        <v>120</v>
      </c>
      <c r="C89" s="297"/>
      <c r="D89" s="298"/>
      <c r="E89" s="298"/>
      <c r="F89" s="569">
        <f>IFERROR(FORECAST(F71,F87:F88,F77:F78),0)</f>
        <v>0</v>
      </c>
    </row>
    <row r="90" spans="1:26" s="77" customFormat="1" x14ac:dyDescent="0.2">
      <c r="B90" s="306" t="s">
        <v>1047</v>
      </c>
      <c r="C90" s="307"/>
      <c r="D90" s="308"/>
      <c r="E90" s="308"/>
      <c r="F90" s="309">
        <f>IF(F75="/",0,F89/$D$38*F68)</f>
        <v>0</v>
      </c>
    </row>
    <row r="91" spans="1:26" x14ac:dyDescent="0.2">
      <c r="T91"/>
      <c r="U91"/>
      <c r="V91"/>
      <c r="W91"/>
      <c r="X91"/>
      <c r="Y91"/>
      <c r="Z91"/>
    </row>
    <row r="92" spans="1:26" s="77" customFormat="1" x14ac:dyDescent="0.2">
      <c r="A92" s="80"/>
      <c r="B92" s="210" t="str">
        <f>'OSNOVNI PODATKI'!A198</f>
        <v>NOTRANJA OPREMA / DEL 3</v>
      </c>
      <c r="C92" s="733">
        <f>'OSNOVNI PODATKI'!E198</f>
        <v>0</v>
      </c>
      <c r="D92" s="210"/>
      <c r="E92" s="210"/>
      <c r="F92" s="210"/>
    </row>
    <row r="93" spans="1:26" s="77" customFormat="1" x14ac:dyDescent="0.2">
      <c r="A93" s="80"/>
      <c r="B93" s="624" t="s">
        <v>718</v>
      </c>
      <c r="C93" s="198" t="str">
        <f>'OSNOVNI PODATKI'!E199</f>
        <v>Stanovanjski prostori s povprečnimi zahtevami, serijsko opremljene kuhinje</v>
      </c>
      <c r="D93" s="729"/>
      <c r="E93" s="729"/>
      <c r="F93" s="729"/>
    </row>
    <row r="94" spans="1:26" s="77" customFormat="1" x14ac:dyDescent="0.2">
      <c r="A94" s="80"/>
      <c r="B94" s="202" t="s">
        <v>1036</v>
      </c>
      <c r="D94" s="735"/>
      <c r="E94" s="735"/>
      <c r="F94" s="296">
        <f>'OSNOVNI PODATKI'!E200</f>
        <v>0</v>
      </c>
    </row>
    <row r="95" spans="1:26" s="77" customFormat="1" x14ac:dyDescent="0.2">
      <c r="A95" s="80"/>
      <c r="B95" s="202" t="s">
        <v>1034</v>
      </c>
      <c r="D95" s="209"/>
      <c r="E95" s="209"/>
      <c r="F95" s="204">
        <f>'OSNOVNI PODATKI'!E203</f>
        <v>0</v>
      </c>
    </row>
    <row r="96" spans="1:26" s="77" customFormat="1" x14ac:dyDescent="0.2">
      <c r="B96" s="538" t="s">
        <v>1033</v>
      </c>
      <c r="C96" s="626"/>
      <c r="D96" s="626"/>
      <c r="E96" s="736"/>
      <c r="F96" s="722">
        <f>+F94*F95</f>
        <v>0</v>
      </c>
    </row>
    <row r="97" spans="2:6" s="77" customFormat="1" x14ac:dyDescent="0.2">
      <c r="B97" s="538" t="s">
        <v>1044</v>
      </c>
      <c r="E97" s="740"/>
      <c r="F97" s="722">
        <f>IF($C$36=1,$D$37,F96)</f>
        <v>0</v>
      </c>
    </row>
    <row r="98" spans="2:6" s="77" customFormat="1" x14ac:dyDescent="0.2">
      <c r="B98" s="203" t="s">
        <v>116</v>
      </c>
      <c r="C98" s="285"/>
      <c r="D98" s="285"/>
      <c r="E98" s="734"/>
      <c r="F98" s="737" t="str">
        <f>'OSNOVNI PODATKI'!E201</f>
        <v>Cenovni razred II</v>
      </c>
    </row>
    <row r="99" spans="2:6" s="77" customFormat="1" x14ac:dyDescent="0.2">
      <c r="B99" s="851" t="s">
        <v>26</v>
      </c>
      <c r="C99" s="626"/>
      <c r="D99" s="200"/>
      <c r="E99" s="200"/>
      <c r="F99" s="738">
        <f>IFERROR(MATCH(F98,$C$4:$H$4),"/")</f>
        <v>2</v>
      </c>
    </row>
    <row r="100" spans="2:6" s="77" customFormat="1" x14ac:dyDescent="0.2">
      <c r="B100" s="852" t="s">
        <v>117</v>
      </c>
      <c r="C100" s="207"/>
      <c r="D100" s="83"/>
      <c r="E100" s="83"/>
      <c r="F100" s="569">
        <f>IFERROR(F99+1,"/")</f>
        <v>3</v>
      </c>
    </row>
    <row r="101" spans="2:6" s="77" customFormat="1" x14ac:dyDescent="0.2">
      <c r="B101" s="852" t="s">
        <v>27</v>
      </c>
      <c r="C101" s="207"/>
      <c r="D101" s="83"/>
      <c r="E101" s="83"/>
      <c r="F101" s="569" t="str">
        <f>IF(OR(F96&gt;$B$30,F96&lt;$B$7),"/",IFERROR(MATCH(F96,$B$7:$B$30),"/"))</f>
        <v>/</v>
      </c>
    </row>
    <row r="102" spans="2:6" s="77" customFormat="1" x14ac:dyDescent="0.2">
      <c r="B102" s="852" t="s">
        <v>28</v>
      </c>
      <c r="C102" s="207"/>
      <c r="D102" s="83"/>
      <c r="E102" s="83"/>
      <c r="F102" s="569" t="str">
        <f>IFERROR((F101+1),"/")</f>
        <v>/</v>
      </c>
    </row>
    <row r="103" spans="2:6" s="77" customFormat="1" x14ac:dyDescent="0.2">
      <c r="B103" s="852" t="s">
        <v>1038</v>
      </c>
      <c r="C103" s="207"/>
      <c r="D103" s="83"/>
      <c r="E103" s="83"/>
      <c r="F103" s="569">
        <f>IFERROR(INDEX($B$7:$B$30,F101),0)</f>
        <v>0</v>
      </c>
    </row>
    <row r="104" spans="2:6" s="77" customFormat="1" x14ac:dyDescent="0.2">
      <c r="B104" s="852" t="s">
        <v>1039</v>
      </c>
      <c r="C104" s="207"/>
      <c r="D104" s="83"/>
      <c r="E104" s="83"/>
      <c r="F104" s="569">
        <f>IFERROR(INDEX($B$7:$B$30,F102),0)</f>
        <v>0</v>
      </c>
    </row>
    <row r="105" spans="2:6" s="77" customFormat="1" x14ac:dyDescent="0.2">
      <c r="B105" s="538"/>
      <c r="C105" s="207"/>
      <c r="D105" s="83"/>
      <c r="E105" s="83"/>
      <c r="F105" s="83"/>
    </row>
    <row r="106" spans="2:6" s="77" customFormat="1" x14ac:dyDescent="0.2">
      <c r="B106" s="732" t="s">
        <v>1042</v>
      </c>
      <c r="C106" s="285"/>
      <c r="D106" s="199"/>
      <c r="E106" s="199"/>
      <c r="F106" s="199"/>
    </row>
    <row r="107" spans="2:6" s="77" customFormat="1" x14ac:dyDescent="0.2">
      <c r="B107" s="851" t="s">
        <v>1040</v>
      </c>
      <c r="C107" s="626"/>
      <c r="D107" s="200"/>
      <c r="E107" s="200"/>
      <c r="F107" s="569">
        <f>IFERROR(INDEX($C$7:$H$30,F101,F99),0)</f>
        <v>0</v>
      </c>
    </row>
    <row r="108" spans="2:6" s="77" customFormat="1" x14ac:dyDescent="0.2">
      <c r="B108" s="852" t="s">
        <v>1041</v>
      </c>
      <c r="C108" s="207"/>
      <c r="D108" s="83"/>
      <c r="E108" s="83"/>
      <c r="F108" s="569">
        <f>IFERROR(INDEX($C$7:$H$30,F102,F99),0)</f>
        <v>0</v>
      </c>
    </row>
    <row r="109" spans="2:6" s="77" customFormat="1" x14ac:dyDescent="0.2">
      <c r="B109" s="853" t="s">
        <v>119</v>
      </c>
      <c r="C109" s="297"/>
      <c r="D109" s="298"/>
      <c r="E109" s="298"/>
      <c r="F109" s="569">
        <f>IFERROR(FORECAST(F96,F107:F108,F103:F104),0)</f>
        <v>0</v>
      </c>
    </row>
    <row r="110" spans="2:6" s="77" customFormat="1" x14ac:dyDescent="0.2">
      <c r="B110" s="306" t="s">
        <v>1046</v>
      </c>
      <c r="C110" s="307"/>
      <c r="D110" s="308"/>
      <c r="E110" s="308"/>
      <c r="F110" s="309">
        <f>IF(F101="/",0,F109/$D$38*F94)</f>
        <v>0</v>
      </c>
    </row>
    <row r="111" spans="2:6" s="77" customFormat="1" x14ac:dyDescent="0.2">
      <c r="B111" s="204"/>
      <c r="D111" s="78"/>
      <c r="E111" s="78"/>
      <c r="F111" s="82"/>
    </row>
    <row r="112" spans="2:6" s="77" customFormat="1" x14ac:dyDescent="0.2">
      <c r="B112" s="731" t="s">
        <v>1043</v>
      </c>
      <c r="D112" s="78"/>
      <c r="E112" s="78"/>
      <c r="F112" s="739"/>
    </row>
    <row r="113" spans="1:26" s="77" customFormat="1" x14ac:dyDescent="0.2">
      <c r="B113" s="851" t="s">
        <v>118</v>
      </c>
      <c r="C113" s="206"/>
      <c r="D113" s="208"/>
      <c r="E113" s="208"/>
      <c r="F113" s="738">
        <f>IFERROR(INDEX($C$7:$H$30,F101,F100),0)</f>
        <v>0</v>
      </c>
    </row>
    <row r="114" spans="1:26" s="77" customFormat="1" x14ac:dyDescent="0.2">
      <c r="B114" s="852" t="s">
        <v>90</v>
      </c>
      <c r="C114" s="207"/>
      <c r="D114" s="83"/>
      <c r="E114" s="83"/>
      <c r="F114" s="569">
        <f>IFERROR(INDEX($C$7:$H$30,F102,F100),0)</f>
        <v>0</v>
      </c>
    </row>
    <row r="115" spans="1:26" s="77" customFormat="1" x14ac:dyDescent="0.2">
      <c r="B115" s="853" t="s">
        <v>120</v>
      </c>
      <c r="C115" s="297"/>
      <c r="D115" s="298"/>
      <c r="E115" s="298"/>
      <c r="F115" s="569">
        <f>IFERROR(FORECAST(F96,F113:F114,F103:F104),0)</f>
        <v>0</v>
      </c>
    </row>
    <row r="116" spans="1:26" s="77" customFormat="1" x14ac:dyDescent="0.2">
      <c r="B116" s="306" t="s">
        <v>1047</v>
      </c>
      <c r="C116" s="307"/>
      <c r="D116" s="308"/>
      <c r="E116" s="308"/>
      <c r="F116" s="309">
        <f>IF(F101="/",0,F115/$D$38*F94)</f>
        <v>0</v>
      </c>
    </row>
    <row r="117" spans="1:26" x14ac:dyDescent="0.2">
      <c r="G117" s="77"/>
      <c r="H117" s="77"/>
      <c r="I117" s="77"/>
      <c r="J117" s="77"/>
      <c r="T117"/>
      <c r="U117"/>
      <c r="V117"/>
      <c r="W117"/>
      <c r="X117"/>
      <c r="Y117"/>
      <c r="Z117"/>
    </row>
    <row r="118" spans="1:26" s="77" customFormat="1" x14ac:dyDescent="0.2">
      <c r="A118" s="80"/>
      <c r="B118" s="210" t="str">
        <f>'OSNOVNI PODATKI'!A209</f>
        <v>NOTRANJA OPREMA / DEL 4</v>
      </c>
      <c r="C118" s="733">
        <f>'OSNOVNI PODATKI'!E209</f>
        <v>0</v>
      </c>
      <c r="D118" s="210"/>
      <c r="E118" s="210"/>
      <c r="F118" s="210"/>
    </row>
    <row r="119" spans="1:26" s="77" customFormat="1" x14ac:dyDescent="0.2">
      <c r="A119" s="80"/>
      <c r="B119" s="624" t="s">
        <v>718</v>
      </c>
      <c r="C119" s="198" t="str">
        <f>'OSNOVNI PODATKI'!E210</f>
        <v>Stanovanjski prostori s povprečnimi zahtevami, serijsko opremljene kuhinje</v>
      </c>
      <c r="D119" s="729"/>
      <c r="E119" s="729"/>
      <c r="F119" s="729"/>
    </row>
    <row r="120" spans="1:26" s="77" customFormat="1" x14ac:dyDescent="0.2">
      <c r="A120" s="80"/>
      <c r="B120" s="202" t="s">
        <v>1036</v>
      </c>
      <c r="D120" s="735"/>
      <c r="E120" s="735"/>
      <c r="F120" s="296">
        <f>'OSNOVNI PODATKI'!E211</f>
        <v>0</v>
      </c>
    </row>
    <row r="121" spans="1:26" s="77" customFormat="1" x14ac:dyDescent="0.2">
      <c r="A121" s="80"/>
      <c r="B121" s="202" t="s">
        <v>1034</v>
      </c>
      <c r="D121" s="209"/>
      <c r="E121" s="209"/>
      <c r="F121" s="204">
        <f>'OSNOVNI PODATKI'!E214</f>
        <v>0</v>
      </c>
    </row>
    <row r="122" spans="1:26" s="77" customFormat="1" x14ac:dyDescent="0.2">
      <c r="B122" s="538" t="s">
        <v>1033</v>
      </c>
      <c r="C122" s="626"/>
      <c r="D122" s="626"/>
      <c r="E122" s="736"/>
      <c r="F122" s="722">
        <f>+F120*F121</f>
        <v>0</v>
      </c>
    </row>
    <row r="123" spans="1:26" s="77" customFormat="1" x14ac:dyDescent="0.2">
      <c r="B123" s="538" t="s">
        <v>1044</v>
      </c>
      <c r="E123" s="740"/>
      <c r="F123" s="722">
        <f>IF($C$36=1,$D$37,F122)</f>
        <v>0</v>
      </c>
    </row>
    <row r="124" spans="1:26" s="77" customFormat="1" x14ac:dyDescent="0.2">
      <c r="B124" s="203" t="s">
        <v>116</v>
      </c>
      <c r="C124" s="285"/>
      <c r="D124" s="285"/>
      <c r="E124" s="734"/>
      <c r="F124" s="737" t="str">
        <f>'OSNOVNI PODATKI'!E212</f>
        <v>Cenovni razred II</v>
      </c>
    </row>
    <row r="125" spans="1:26" s="77" customFormat="1" x14ac:dyDescent="0.2">
      <c r="B125" s="851" t="s">
        <v>26</v>
      </c>
      <c r="C125" s="626"/>
      <c r="D125" s="200"/>
      <c r="E125" s="200"/>
      <c r="F125" s="738">
        <f>IFERROR(MATCH(F124,$C$4:$H$4),"/")</f>
        <v>2</v>
      </c>
    </row>
    <row r="126" spans="1:26" s="77" customFormat="1" x14ac:dyDescent="0.2">
      <c r="B126" s="852" t="s">
        <v>117</v>
      </c>
      <c r="C126" s="207"/>
      <c r="D126" s="83"/>
      <c r="E126" s="83"/>
      <c r="F126" s="569">
        <f>IFERROR(F125+1,"/")</f>
        <v>3</v>
      </c>
    </row>
    <row r="127" spans="1:26" s="77" customFormat="1" x14ac:dyDescent="0.2">
      <c r="B127" s="852" t="s">
        <v>27</v>
      </c>
      <c r="C127" s="207"/>
      <c r="D127" s="83"/>
      <c r="E127" s="83"/>
      <c r="F127" s="569" t="str">
        <f>IF(OR(F122&gt;$B$30,F122&lt;$B$7),"/",IFERROR(MATCH(F122,$B$7:$B$30),"/"))</f>
        <v>/</v>
      </c>
    </row>
    <row r="128" spans="1:26" s="77" customFormat="1" x14ac:dyDescent="0.2">
      <c r="B128" s="852" t="s">
        <v>28</v>
      </c>
      <c r="C128" s="207"/>
      <c r="D128" s="83"/>
      <c r="E128" s="83"/>
      <c r="F128" s="569" t="str">
        <f>IFERROR((F127+1),"/")</f>
        <v>/</v>
      </c>
    </row>
    <row r="129" spans="1:26" s="77" customFormat="1" x14ac:dyDescent="0.2">
      <c r="B129" s="852" t="s">
        <v>1038</v>
      </c>
      <c r="C129" s="207"/>
      <c r="D129" s="83"/>
      <c r="E129" s="83"/>
      <c r="F129" s="569">
        <f>IFERROR(INDEX($B$7:$B$30,F127),0)</f>
        <v>0</v>
      </c>
    </row>
    <row r="130" spans="1:26" s="77" customFormat="1" x14ac:dyDescent="0.2">
      <c r="B130" s="852" t="s">
        <v>1039</v>
      </c>
      <c r="C130" s="207"/>
      <c r="D130" s="83"/>
      <c r="E130" s="83"/>
      <c r="F130" s="569">
        <f>IFERROR(INDEX($B$7:$B$30,F128),0)</f>
        <v>0</v>
      </c>
    </row>
    <row r="131" spans="1:26" s="77" customFormat="1" x14ac:dyDescent="0.2">
      <c r="B131" s="538"/>
      <c r="C131" s="207"/>
      <c r="D131" s="83"/>
      <c r="E131" s="83"/>
      <c r="F131" s="83"/>
    </row>
    <row r="132" spans="1:26" s="77" customFormat="1" x14ac:dyDescent="0.2">
      <c r="B132" s="732" t="s">
        <v>1042</v>
      </c>
      <c r="C132" s="285"/>
      <c r="D132" s="199"/>
      <c r="E132" s="199"/>
      <c r="F132" s="199"/>
    </row>
    <row r="133" spans="1:26" s="77" customFormat="1" x14ac:dyDescent="0.2">
      <c r="B133" s="851" t="s">
        <v>1040</v>
      </c>
      <c r="C133" s="626"/>
      <c r="D133" s="200"/>
      <c r="E133" s="200"/>
      <c r="F133" s="569">
        <f>IFERROR(INDEX($C$7:$H$30,F127,F125),0)</f>
        <v>0</v>
      </c>
    </row>
    <row r="134" spans="1:26" s="77" customFormat="1" x14ac:dyDescent="0.2">
      <c r="B134" s="852" t="s">
        <v>1041</v>
      </c>
      <c r="C134" s="207"/>
      <c r="D134" s="83"/>
      <c r="E134" s="83"/>
      <c r="F134" s="569">
        <f>IFERROR(INDEX($C$7:$H$30,F128,F125),0)</f>
        <v>0</v>
      </c>
    </row>
    <row r="135" spans="1:26" s="77" customFormat="1" x14ac:dyDescent="0.2">
      <c r="B135" s="853" t="s">
        <v>119</v>
      </c>
      <c r="C135" s="297"/>
      <c r="D135" s="298"/>
      <c r="E135" s="298"/>
      <c r="F135" s="569">
        <f>IFERROR(FORECAST(F122,F133:F134,F129:F130),0)</f>
        <v>0</v>
      </c>
    </row>
    <row r="136" spans="1:26" s="77" customFormat="1" x14ac:dyDescent="0.2">
      <c r="B136" s="306" t="s">
        <v>1046</v>
      </c>
      <c r="C136" s="307"/>
      <c r="D136" s="308"/>
      <c r="E136" s="308"/>
      <c r="F136" s="309">
        <f>IF(F127="/",0,F135/$D$38*F120)</f>
        <v>0</v>
      </c>
    </row>
    <row r="137" spans="1:26" s="77" customFormat="1" x14ac:dyDescent="0.2">
      <c r="B137" s="204"/>
      <c r="D137" s="78"/>
      <c r="E137" s="78"/>
      <c r="F137" s="82"/>
    </row>
    <row r="138" spans="1:26" s="77" customFormat="1" x14ac:dyDescent="0.2">
      <c r="B138" s="731" t="s">
        <v>1043</v>
      </c>
      <c r="D138" s="78"/>
      <c r="E138" s="78"/>
      <c r="F138" s="739"/>
    </row>
    <row r="139" spans="1:26" s="77" customFormat="1" x14ac:dyDescent="0.2">
      <c r="B139" s="851" t="s">
        <v>118</v>
      </c>
      <c r="C139" s="206"/>
      <c r="D139" s="208"/>
      <c r="E139" s="208"/>
      <c r="F139" s="738">
        <f>IFERROR(INDEX($C$7:$H$30,F127,F126),0)</f>
        <v>0</v>
      </c>
    </row>
    <row r="140" spans="1:26" s="77" customFormat="1" x14ac:dyDescent="0.2">
      <c r="B140" s="852" t="s">
        <v>90</v>
      </c>
      <c r="C140" s="207"/>
      <c r="D140" s="83"/>
      <c r="E140" s="83"/>
      <c r="F140" s="569">
        <f>IFERROR(INDEX($C$7:$H$30,F128,F126),0)</f>
        <v>0</v>
      </c>
    </row>
    <row r="141" spans="1:26" s="77" customFormat="1" x14ac:dyDescent="0.2">
      <c r="B141" s="853" t="s">
        <v>120</v>
      </c>
      <c r="C141" s="297"/>
      <c r="D141" s="298"/>
      <c r="E141" s="298"/>
      <c r="F141" s="569">
        <f>IFERROR(FORECAST(F122,F139:F140,F129:F130),0)</f>
        <v>0</v>
      </c>
    </row>
    <row r="142" spans="1:26" s="77" customFormat="1" x14ac:dyDescent="0.2">
      <c r="B142" s="306" t="s">
        <v>1047</v>
      </c>
      <c r="C142" s="307"/>
      <c r="D142" s="308"/>
      <c r="E142" s="308"/>
      <c r="F142" s="309">
        <f>IF(F127="/",0,F141/$D$38*F120)</f>
        <v>0</v>
      </c>
    </row>
    <row r="143" spans="1:26" x14ac:dyDescent="0.2">
      <c r="G143" s="77"/>
      <c r="H143" s="77"/>
      <c r="I143" s="77"/>
      <c r="J143" s="77"/>
      <c r="T143"/>
      <c r="U143"/>
      <c r="V143"/>
      <c r="W143"/>
      <c r="X143"/>
      <c r="Y143"/>
      <c r="Z143"/>
    </row>
    <row r="144" spans="1:26" s="77" customFormat="1" x14ac:dyDescent="0.2">
      <c r="A144" s="80"/>
      <c r="B144" s="210" t="str">
        <f>'OSNOVNI PODATKI'!A220</f>
        <v>NOTRANJA OPREMA / DEL 5</v>
      </c>
      <c r="C144" s="733">
        <f>'OSNOVNI PODATKI'!E220</f>
        <v>0</v>
      </c>
      <c r="D144" s="210"/>
      <c r="E144" s="210"/>
      <c r="F144" s="210"/>
    </row>
    <row r="145" spans="1:6" s="77" customFormat="1" x14ac:dyDescent="0.2">
      <c r="A145" s="80"/>
      <c r="B145" s="624" t="s">
        <v>718</v>
      </c>
      <c r="C145" s="198" t="str">
        <f>'OSNOVNI PODATKI'!E221</f>
        <v>Stanovanjski prostori s povprečnimi zahtevami, serijsko opremljene kuhinje</v>
      </c>
      <c r="D145" s="729"/>
      <c r="E145" s="729"/>
      <c r="F145" s="729"/>
    </row>
    <row r="146" spans="1:6" s="77" customFormat="1" x14ac:dyDescent="0.2">
      <c r="A146" s="80"/>
      <c r="B146" s="202" t="s">
        <v>1036</v>
      </c>
      <c r="D146" s="735"/>
      <c r="E146" s="735"/>
      <c r="F146" s="296">
        <f>'OSNOVNI PODATKI'!E222</f>
        <v>0</v>
      </c>
    </row>
    <row r="147" spans="1:6" s="77" customFormat="1" x14ac:dyDescent="0.2">
      <c r="A147" s="80"/>
      <c r="B147" s="202" t="s">
        <v>1034</v>
      </c>
      <c r="D147" s="209"/>
      <c r="E147" s="209"/>
      <c r="F147" s="204">
        <f>'OSNOVNI PODATKI'!E225</f>
        <v>0</v>
      </c>
    </row>
    <row r="148" spans="1:6" s="77" customFormat="1" x14ac:dyDescent="0.2">
      <c r="B148" s="538" t="s">
        <v>1033</v>
      </c>
      <c r="C148" s="626"/>
      <c r="D148" s="626"/>
      <c r="E148" s="736"/>
      <c r="F148" s="722">
        <f>+F146*F147</f>
        <v>0</v>
      </c>
    </row>
    <row r="149" spans="1:6" s="77" customFormat="1" x14ac:dyDescent="0.2">
      <c r="B149" s="538" t="s">
        <v>1044</v>
      </c>
      <c r="E149" s="740"/>
      <c r="F149" s="722">
        <f>IF($C$36=1,$D$37,F148)</f>
        <v>0</v>
      </c>
    </row>
    <row r="150" spans="1:6" s="77" customFormat="1" x14ac:dyDescent="0.2">
      <c r="B150" s="203" t="s">
        <v>116</v>
      </c>
      <c r="C150" s="285"/>
      <c r="D150" s="285"/>
      <c r="E150" s="734"/>
      <c r="F150" s="737" t="str">
        <f>'OSNOVNI PODATKI'!E223</f>
        <v>Cenovni razred II</v>
      </c>
    </row>
    <row r="151" spans="1:6" s="77" customFormat="1" x14ac:dyDescent="0.2">
      <c r="B151" s="851" t="s">
        <v>26</v>
      </c>
      <c r="C151" s="626"/>
      <c r="D151" s="200"/>
      <c r="E151" s="200"/>
      <c r="F151" s="738">
        <f>IFERROR(MATCH(F150,$C$4:$H$4),"/")</f>
        <v>2</v>
      </c>
    </row>
    <row r="152" spans="1:6" s="77" customFormat="1" x14ac:dyDescent="0.2">
      <c r="B152" s="852" t="s">
        <v>117</v>
      </c>
      <c r="C152" s="207"/>
      <c r="D152" s="83"/>
      <c r="E152" s="83"/>
      <c r="F152" s="569">
        <f>IFERROR(F151+1,"/")</f>
        <v>3</v>
      </c>
    </row>
    <row r="153" spans="1:6" s="77" customFormat="1" x14ac:dyDescent="0.2">
      <c r="B153" s="852" t="s">
        <v>27</v>
      </c>
      <c r="C153" s="207"/>
      <c r="D153" s="83"/>
      <c r="E153" s="83"/>
      <c r="F153" s="569" t="str">
        <f>IF(OR(F148&gt;$B$30,F148&lt;$B$7),"/",IFERROR(MATCH(F148,$B$7:$B$30),"/"))</f>
        <v>/</v>
      </c>
    </row>
    <row r="154" spans="1:6" s="77" customFormat="1" x14ac:dyDescent="0.2">
      <c r="B154" s="852" t="s">
        <v>28</v>
      </c>
      <c r="C154" s="207"/>
      <c r="D154" s="83"/>
      <c r="E154" s="83"/>
      <c r="F154" s="569" t="str">
        <f>IFERROR((F153+1),"/")</f>
        <v>/</v>
      </c>
    </row>
    <row r="155" spans="1:6" s="77" customFormat="1" x14ac:dyDescent="0.2">
      <c r="B155" s="852" t="s">
        <v>1038</v>
      </c>
      <c r="C155" s="207"/>
      <c r="D155" s="83"/>
      <c r="E155" s="83"/>
      <c r="F155" s="569">
        <f>IFERROR(INDEX($B$7:$B$30,F153),0)</f>
        <v>0</v>
      </c>
    </row>
    <row r="156" spans="1:6" s="77" customFormat="1" x14ac:dyDescent="0.2">
      <c r="B156" s="852" t="s">
        <v>1039</v>
      </c>
      <c r="C156" s="207"/>
      <c r="D156" s="83"/>
      <c r="E156" s="83"/>
      <c r="F156" s="569">
        <f>IFERROR(INDEX($B$7:$B$30,F154),0)</f>
        <v>0</v>
      </c>
    </row>
    <row r="157" spans="1:6" s="77" customFormat="1" x14ac:dyDescent="0.2">
      <c r="B157" s="538"/>
      <c r="C157" s="207"/>
      <c r="D157" s="83"/>
      <c r="E157" s="83"/>
      <c r="F157" s="83"/>
    </row>
    <row r="158" spans="1:6" s="77" customFormat="1" x14ac:dyDescent="0.2">
      <c r="B158" s="732" t="s">
        <v>1042</v>
      </c>
      <c r="C158" s="285"/>
      <c r="D158" s="199"/>
      <c r="E158" s="199"/>
      <c r="F158" s="199"/>
    </row>
    <row r="159" spans="1:6" s="77" customFormat="1" x14ac:dyDescent="0.2">
      <c r="B159" s="851" t="s">
        <v>1040</v>
      </c>
      <c r="C159" s="626"/>
      <c r="D159" s="200"/>
      <c r="E159" s="200"/>
      <c r="F159" s="569">
        <f>IFERROR(INDEX($C$7:$H$30,F153,F151),0)</f>
        <v>0</v>
      </c>
    </row>
    <row r="160" spans="1:6" s="77" customFormat="1" x14ac:dyDescent="0.2">
      <c r="B160" s="852" t="s">
        <v>1041</v>
      </c>
      <c r="C160" s="207"/>
      <c r="D160" s="83"/>
      <c r="E160" s="83"/>
      <c r="F160" s="569">
        <f>IFERROR(INDEX($C$7:$H$30,F154,F151),0)</f>
        <v>0</v>
      </c>
    </row>
    <row r="161" spans="1:26" s="77" customFormat="1" x14ac:dyDescent="0.2">
      <c r="B161" s="853" t="s">
        <v>119</v>
      </c>
      <c r="C161" s="297"/>
      <c r="D161" s="298"/>
      <c r="E161" s="298"/>
      <c r="F161" s="569">
        <f>IFERROR(FORECAST(F148,F159:F160,F155:F156),0)</f>
        <v>0</v>
      </c>
    </row>
    <row r="162" spans="1:26" s="77" customFormat="1" x14ac:dyDescent="0.2">
      <c r="B162" s="306" t="s">
        <v>1046</v>
      </c>
      <c r="C162" s="307"/>
      <c r="D162" s="308"/>
      <c r="E162" s="308"/>
      <c r="F162" s="309">
        <f>IF(F153="/",0,F161/$D$38*F146)</f>
        <v>0</v>
      </c>
    </row>
    <row r="163" spans="1:26" s="77" customFormat="1" x14ac:dyDescent="0.2">
      <c r="B163" s="204"/>
      <c r="D163" s="78"/>
      <c r="E163" s="78"/>
      <c r="F163" s="82"/>
    </row>
    <row r="164" spans="1:26" s="77" customFormat="1" x14ac:dyDescent="0.2">
      <c r="B164" s="731" t="s">
        <v>1043</v>
      </c>
      <c r="D164" s="78"/>
      <c r="E164" s="78"/>
      <c r="F164" s="739"/>
    </row>
    <row r="165" spans="1:26" s="77" customFormat="1" x14ac:dyDescent="0.2">
      <c r="B165" s="851" t="s">
        <v>118</v>
      </c>
      <c r="C165" s="206"/>
      <c r="D165" s="208"/>
      <c r="E165" s="208"/>
      <c r="F165" s="738">
        <f>IFERROR(INDEX($C$7:$H$30,F153,F152),0)</f>
        <v>0</v>
      </c>
    </row>
    <row r="166" spans="1:26" s="77" customFormat="1" x14ac:dyDescent="0.2">
      <c r="B166" s="852" t="s">
        <v>90</v>
      </c>
      <c r="C166" s="207"/>
      <c r="D166" s="83"/>
      <c r="E166" s="83"/>
      <c r="F166" s="569">
        <f>IFERROR(INDEX($C$7:$H$30,F154,F152),0)</f>
        <v>0</v>
      </c>
    </row>
    <row r="167" spans="1:26" s="77" customFormat="1" x14ac:dyDescent="0.2">
      <c r="B167" s="853" t="s">
        <v>120</v>
      </c>
      <c r="C167" s="297"/>
      <c r="D167" s="298"/>
      <c r="E167" s="298"/>
      <c r="F167" s="569">
        <f>IFERROR(FORECAST(F148,F165:F166,F155:F156),0)</f>
        <v>0</v>
      </c>
    </row>
    <row r="168" spans="1:26" s="77" customFormat="1" x14ac:dyDescent="0.2">
      <c r="B168" s="306" t="s">
        <v>1047</v>
      </c>
      <c r="C168" s="307"/>
      <c r="D168" s="308"/>
      <c r="E168" s="308"/>
      <c r="F168" s="309">
        <f>IF(F153="/",0,F167/$D$38*F146)</f>
        <v>0</v>
      </c>
    </row>
    <row r="169" spans="1:26" x14ac:dyDescent="0.2">
      <c r="J169" s="77"/>
      <c r="K169" s="77"/>
      <c r="L169" s="77"/>
      <c r="M169" s="77"/>
      <c r="T169"/>
      <c r="U169"/>
      <c r="V169"/>
      <c r="W169"/>
      <c r="X169"/>
      <c r="Y169"/>
      <c r="Z169"/>
    </row>
    <row r="170" spans="1:26" x14ac:dyDescent="0.2">
      <c r="J170" s="77"/>
      <c r="K170" s="77"/>
      <c r="L170" s="77"/>
      <c r="M170" s="77"/>
    </row>
    <row r="171" spans="1:26" s="77" customFormat="1" x14ac:dyDescent="0.2">
      <c r="A171" s="80"/>
      <c r="C171" s="209"/>
      <c r="D171" s="209"/>
      <c r="E171" s="209"/>
      <c r="F171" s="209"/>
    </row>
    <row r="172" spans="1:26" ht="13.5" thickBot="1" x14ac:dyDescent="0.25">
      <c r="J172" s="77"/>
      <c r="K172" s="77"/>
      <c r="L172" s="77"/>
      <c r="M172" s="77"/>
    </row>
    <row r="173" spans="1:26" s="77" customFormat="1" ht="18.75" x14ac:dyDescent="0.2">
      <c r="A173" s="807" t="s">
        <v>1093</v>
      </c>
      <c r="B173" s="807"/>
      <c r="C173" s="807"/>
      <c r="D173" s="807"/>
      <c r="E173" s="807"/>
      <c r="F173" s="807"/>
      <c r="G173" s="807"/>
      <c r="H173" s="807"/>
    </row>
    <row r="174" spans="1:26" s="77" customFormat="1" x14ac:dyDescent="0.2">
      <c r="A174" s="209"/>
      <c r="B174" s="209"/>
      <c r="C174" s="729"/>
      <c r="D174" s="729"/>
      <c r="E174" s="729"/>
      <c r="F174" s="626"/>
      <c r="G174" s="626"/>
      <c r="H174" s="729"/>
    </row>
    <row r="175" spans="1:26" s="77" customFormat="1" x14ac:dyDescent="0.2">
      <c r="A175" s="209"/>
      <c r="B175" s="84" t="s">
        <v>868</v>
      </c>
      <c r="C175" s="209"/>
      <c r="D175" s="209"/>
      <c r="E175" s="209"/>
      <c r="F175" s="496">
        <f>'OSNOVNI PODATKI'!G369</f>
        <v>0</v>
      </c>
      <c r="G175" s="209"/>
      <c r="H175" s="209"/>
    </row>
    <row r="176" spans="1:26" s="77" customFormat="1" x14ac:dyDescent="0.2">
      <c r="A176" s="209"/>
      <c r="B176" s="84" t="s">
        <v>869</v>
      </c>
      <c r="C176" s="207"/>
      <c r="D176" s="83"/>
      <c r="E176" s="83"/>
      <c r="F176" s="482">
        <f>'ARHIGRAM 6'!I16</f>
        <v>55</v>
      </c>
      <c r="G176" s="207"/>
      <c r="H176" s="207"/>
    </row>
    <row r="177" spans="1:24" s="77" customFormat="1" x14ac:dyDescent="0.2">
      <c r="A177" s="209"/>
      <c r="B177" s="209"/>
      <c r="C177" s="209"/>
      <c r="D177" s="209"/>
      <c r="E177" s="209"/>
      <c r="G177" s="209"/>
      <c r="H177" s="209"/>
    </row>
    <row r="178" spans="1:24" s="77" customFormat="1" x14ac:dyDescent="0.2">
      <c r="B178" s="84" t="str">
        <f>'OSNOVNI PODATKI'!$B$384</f>
        <v>PRIBITEK ZA PRENOVO</v>
      </c>
      <c r="C178" s="207"/>
      <c r="D178" s="83"/>
      <c r="E178" s="83"/>
      <c r="F178" s="310">
        <f>'OSNOVNI PODATKI'!$F$384</f>
        <v>0</v>
      </c>
      <c r="G178" s="207" t="str">
        <f>'OSNOVNI PODATKI'!G384</f>
        <v>upošteva se v fazah od 1 do 4., samo za storitve projektiranja</v>
      </c>
      <c r="H178" s="207"/>
    </row>
    <row r="179" spans="1:24" s="77" customFormat="1" x14ac:dyDescent="0.2">
      <c r="B179" s="84" t="str">
        <f>'OSNOVNI PODATKI'!$B$385</f>
        <v>PRIBITEK ZA VKLJUČEVANJE DRUGIH IZVAJALCEV V POGODBO</v>
      </c>
      <c r="C179" s="207"/>
      <c r="D179" s="83"/>
      <c r="E179" s="83"/>
      <c r="F179" s="310">
        <f>'OSNOVNI PODATKI'!$F$385</f>
        <v>0</v>
      </c>
      <c r="G179" s="207" t="str">
        <f>'OSNOVNI PODATKI'!G385</f>
        <v>upošteva se v vseh fazah, samo za storitve vodenja in koordinacije</v>
      </c>
      <c r="H179" s="207"/>
    </row>
    <row r="180" spans="1:24" s="77" customFormat="1" x14ac:dyDescent="0.2">
      <c r="A180" s="209"/>
      <c r="B180" s="84" t="s">
        <v>958</v>
      </c>
      <c r="C180" s="207"/>
      <c r="D180" s="83"/>
      <c r="E180" s="83"/>
      <c r="F180" s="646" t="str">
        <f>IF('OSNOVNI PODATKI'!A366=TRUE,"DA","NE")</f>
        <v>DA</v>
      </c>
      <c r="G180" s="209"/>
      <c r="H180" s="209"/>
    </row>
    <row r="182" spans="1:24" s="478" customFormat="1" x14ac:dyDescent="0.2">
      <c r="A182"/>
      <c r="B182" s="210" t="s">
        <v>1049</v>
      </c>
      <c r="C182" s="210"/>
      <c r="D182" s="210"/>
      <c r="E182" s="210"/>
      <c r="F182" s="210"/>
      <c r="G182" s="210"/>
      <c r="H182" s="210"/>
      <c r="I182"/>
      <c r="J182"/>
      <c r="K182" s="210" t="s">
        <v>952</v>
      </c>
      <c r="L182" s="210"/>
      <c r="M182" s="210"/>
      <c r="N182" s="210"/>
      <c r="O182" s="210"/>
      <c r="P182" s="210"/>
      <c r="Q182" s="210"/>
      <c r="R182" s="210"/>
      <c r="S182"/>
    </row>
    <row r="183" spans="1:24" s="12" customFormat="1" ht="51" x14ac:dyDescent="0.25">
      <c r="A183" s="105"/>
      <c r="B183" s="106"/>
      <c r="C183" s="106"/>
      <c r="D183" s="106"/>
      <c r="E183" s="107" t="s">
        <v>25</v>
      </c>
      <c r="F183" s="299" t="s">
        <v>908</v>
      </c>
      <c r="G183" s="606" t="s">
        <v>57</v>
      </c>
      <c r="H183" s="108" t="s">
        <v>70</v>
      </c>
      <c r="I183" s="411" t="s">
        <v>1053</v>
      </c>
      <c r="J183" s="836"/>
      <c r="K183" s="105"/>
      <c r="L183" s="106"/>
      <c r="M183" s="106"/>
      <c r="N183" s="106"/>
      <c r="O183" s="107" t="s">
        <v>25</v>
      </c>
      <c r="P183" s="299" t="s">
        <v>908</v>
      </c>
      <c r="Q183" s="606" t="s">
        <v>57</v>
      </c>
      <c r="R183" s="108" t="s">
        <v>70</v>
      </c>
      <c r="S183" s="411" t="s">
        <v>1053</v>
      </c>
      <c r="T183" s="837"/>
      <c r="U183" s="299" t="s">
        <v>955</v>
      </c>
      <c r="V183" s="299" t="s">
        <v>956</v>
      </c>
      <c r="W183" s="746" t="s">
        <v>1051</v>
      </c>
      <c r="X183" s="108" t="s">
        <v>1052</v>
      </c>
    </row>
    <row r="184" spans="1:24" s="13" customFormat="1" ht="14.25" x14ac:dyDescent="0.2">
      <c r="A184" s="101" t="s">
        <v>29</v>
      </c>
      <c r="B184" s="102" t="s">
        <v>30</v>
      </c>
      <c r="C184" s="102"/>
      <c r="D184" s="102"/>
      <c r="E184" s="103"/>
      <c r="F184" s="103"/>
      <c r="G184" s="607"/>
      <c r="H184" s="104"/>
      <c r="I184" s="838"/>
      <c r="J184" s="838"/>
      <c r="K184" s="101" t="s">
        <v>29</v>
      </c>
      <c r="L184" s="102" t="s">
        <v>30</v>
      </c>
      <c r="M184" s="102"/>
      <c r="N184" s="102"/>
      <c r="O184" s="103"/>
      <c r="P184" s="103"/>
      <c r="Q184" s="607"/>
      <c r="R184" s="104"/>
      <c r="S184" s="838"/>
      <c r="T184" s="838"/>
      <c r="U184" s="103"/>
      <c r="V184" s="103"/>
      <c r="W184" s="839"/>
      <c r="X184" s="839"/>
    </row>
    <row r="185" spans="1:24" s="13" customFormat="1" ht="14.25" x14ac:dyDescent="0.2">
      <c r="A185" s="85" t="s">
        <v>31</v>
      </c>
      <c r="B185" s="97" t="s">
        <v>65</v>
      </c>
      <c r="C185" s="97"/>
      <c r="D185" s="97"/>
      <c r="E185" s="86"/>
      <c r="F185" s="86"/>
      <c r="G185" s="608"/>
      <c r="H185" s="87"/>
      <c r="I185" s="838"/>
      <c r="J185" s="838"/>
      <c r="K185" s="85" t="s">
        <v>31</v>
      </c>
      <c r="L185" s="97" t="s">
        <v>65</v>
      </c>
      <c r="M185" s="97"/>
      <c r="N185" s="97"/>
      <c r="O185" s="86"/>
      <c r="P185" s="86"/>
      <c r="Q185" s="608"/>
      <c r="R185" s="87"/>
      <c r="S185" s="838"/>
      <c r="T185" s="838"/>
      <c r="U185" s="86"/>
      <c r="V185" s="86"/>
      <c r="W185" s="840"/>
      <c r="X185" s="840"/>
    </row>
    <row r="186" spans="1:24" s="13" customFormat="1" ht="14.25" x14ac:dyDescent="0.2">
      <c r="A186" s="110" t="s">
        <v>32</v>
      </c>
      <c r="B186" s="111" t="s">
        <v>66</v>
      </c>
      <c r="C186" s="111"/>
      <c r="D186" s="111"/>
      <c r="E186" s="112"/>
      <c r="F186" s="112"/>
      <c r="G186" s="609"/>
      <c r="H186" s="91"/>
      <c r="I186" s="838"/>
      <c r="J186" s="838"/>
      <c r="K186" s="110" t="s">
        <v>32</v>
      </c>
      <c r="L186" s="111" t="s">
        <v>66</v>
      </c>
      <c r="M186" s="111"/>
      <c r="N186" s="111"/>
      <c r="O186" s="112"/>
      <c r="P186" s="112"/>
      <c r="Q186" s="609"/>
      <c r="R186" s="91"/>
      <c r="S186" s="838"/>
      <c r="T186" s="838"/>
      <c r="U186" s="112"/>
      <c r="V186" s="112"/>
      <c r="W186" s="841"/>
      <c r="X186" s="841"/>
    </row>
    <row r="187" spans="1:24" s="13" customFormat="1" ht="14.25" x14ac:dyDescent="0.2">
      <c r="A187" s="109" t="s">
        <v>33</v>
      </c>
      <c r="B187" s="102" t="s">
        <v>34</v>
      </c>
      <c r="C187" s="102"/>
      <c r="D187" s="102"/>
      <c r="E187" s="302">
        <f>SUM(E188:E190)</f>
        <v>5.0000000000000001E-3</v>
      </c>
      <c r="F187" s="302">
        <f>SUM(F188:F190)</f>
        <v>5.0000000000000001E-3</v>
      </c>
      <c r="G187" s="613">
        <f>SUM(G188:G190)</f>
        <v>0</v>
      </c>
      <c r="H187" s="104">
        <f>SUM(H188:H190)</f>
        <v>0</v>
      </c>
      <c r="I187" s="125">
        <f>IFERROR(H187/$D$37,0)</f>
        <v>0</v>
      </c>
      <c r="J187" s="838"/>
      <c r="K187" s="109" t="s">
        <v>33</v>
      </c>
      <c r="L187" s="102" t="s">
        <v>34</v>
      </c>
      <c r="M187" s="102"/>
      <c r="N187" s="102"/>
      <c r="O187" s="302">
        <f>SUM(O188:O190)</f>
        <v>1.4999999999999999E-2</v>
      </c>
      <c r="P187" s="302">
        <f>SUM(P188:P190)</f>
        <v>1.4999999999999999E-2</v>
      </c>
      <c r="Q187" s="613">
        <f>SUM(Q188:Q190)</f>
        <v>0</v>
      </c>
      <c r="R187" s="104">
        <f>SUM(R188:R190)</f>
        <v>0</v>
      </c>
      <c r="S187" s="125">
        <f>IFERROR(R187/$D$37,0)</f>
        <v>0</v>
      </c>
      <c r="T187" s="838"/>
      <c r="U187" s="302">
        <f>SUM(U188:U190)</f>
        <v>0.02</v>
      </c>
      <c r="V187" s="302">
        <f>SUM(V188:V190)</f>
        <v>0.02</v>
      </c>
      <c r="W187" s="613">
        <f>SUM(W188:W190)</f>
        <v>0</v>
      </c>
      <c r="X187" s="104">
        <f>SUM(X188:X190)</f>
        <v>0</v>
      </c>
    </row>
    <row r="188" spans="1:24" s="13" customFormat="1" ht="14.25" x14ac:dyDescent="0.2">
      <c r="A188" s="88" t="s">
        <v>35</v>
      </c>
      <c r="B188" s="96" t="s">
        <v>67</v>
      </c>
      <c r="C188" s="96"/>
      <c r="D188" s="96"/>
      <c r="E188" s="300">
        <v>2.5000000000000001E-3</v>
      </c>
      <c r="F188" s="300">
        <f>E188*(100%+$F$178)</f>
        <v>2.5000000000000001E-3</v>
      </c>
      <c r="G188" s="614">
        <f>F188*$F$175</f>
        <v>0</v>
      </c>
      <c r="H188" s="87">
        <f>+G188*$F$176</f>
        <v>0</v>
      </c>
      <c r="I188" s="838"/>
      <c r="J188" s="838"/>
      <c r="K188" s="88" t="s">
        <v>35</v>
      </c>
      <c r="L188" s="96" t="s">
        <v>67</v>
      </c>
      <c r="M188" s="96"/>
      <c r="N188" s="96"/>
      <c r="O188" s="300">
        <v>2.5000000000000001E-3</v>
      </c>
      <c r="P188" s="300">
        <f>O188</f>
        <v>2.5000000000000001E-3</v>
      </c>
      <c r="Q188" s="614">
        <f>P188*$F$175</f>
        <v>0</v>
      </c>
      <c r="R188" s="87">
        <f>+Q188*$F$176</f>
        <v>0</v>
      </c>
      <c r="S188" s="838"/>
      <c r="T188" s="838"/>
      <c r="U188" s="480">
        <f t="shared" ref="U188:X190" si="0">+E188+O188</f>
        <v>5.0000000000000001E-3</v>
      </c>
      <c r="V188" s="480">
        <f t="shared" si="0"/>
        <v>5.0000000000000001E-3</v>
      </c>
      <c r="W188" s="614">
        <f t="shared" si="0"/>
        <v>0</v>
      </c>
      <c r="X188" s="87">
        <f t="shared" si="0"/>
        <v>0</v>
      </c>
    </row>
    <row r="189" spans="1:24" s="13" customFormat="1" ht="14.25" x14ac:dyDescent="0.2">
      <c r="A189" s="88" t="s">
        <v>36</v>
      </c>
      <c r="B189" s="96" t="s">
        <v>68</v>
      </c>
      <c r="C189" s="96"/>
      <c r="D189" s="96"/>
      <c r="E189" s="300">
        <v>2.5000000000000001E-3</v>
      </c>
      <c r="F189" s="300">
        <f>E189*(100%+$F$178)</f>
        <v>2.5000000000000001E-3</v>
      </c>
      <c r="G189" s="614">
        <f>F189*$F$175</f>
        <v>0</v>
      </c>
      <c r="H189" s="87">
        <f>+G189*$F$176</f>
        <v>0</v>
      </c>
      <c r="I189" s="838"/>
      <c r="J189" s="838"/>
      <c r="K189" s="88" t="s">
        <v>36</v>
      </c>
      <c r="L189" s="96" t="s">
        <v>68</v>
      </c>
      <c r="M189" s="96"/>
      <c r="N189" s="96"/>
      <c r="O189" s="300">
        <v>2.5000000000000001E-3</v>
      </c>
      <c r="P189" s="300">
        <f>O189</f>
        <v>2.5000000000000001E-3</v>
      </c>
      <c r="Q189" s="614">
        <f>P189*$F$175</f>
        <v>0</v>
      </c>
      <c r="R189" s="87">
        <f>+Q189*$F$176</f>
        <v>0</v>
      </c>
      <c r="S189" s="838"/>
      <c r="T189" s="838"/>
      <c r="U189" s="480">
        <f t="shared" si="0"/>
        <v>5.0000000000000001E-3</v>
      </c>
      <c r="V189" s="480">
        <f t="shared" si="0"/>
        <v>5.0000000000000001E-3</v>
      </c>
      <c r="W189" s="614">
        <f t="shared" si="0"/>
        <v>0</v>
      </c>
      <c r="X189" s="87">
        <f t="shared" si="0"/>
        <v>0</v>
      </c>
    </row>
    <row r="190" spans="1:24" s="13" customFormat="1" ht="14.25" x14ac:dyDescent="0.2">
      <c r="A190" s="114" t="s">
        <v>37</v>
      </c>
      <c r="B190" s="115" t="s">
        <v>837</v>
      </c>
      <c r="C190" s="115"/>
      <c r="D190" s="115"/>
      <c r="E190" s="479"/>
      <c r="F190" s="479"/>
      <c r="G190" s="615"/>
      <c r="H190" s="91"/>
      <c r="I190" s="838"/>
      <c r="J190" s="838"/>
      <c r="K190" s="114" t="s">
        <v>37</v>
      </c>
      <c r="L190" s="115" t="s">
        <v>837</v>
      </c>
      <c r="M190" s="115"/>
      <c r="N190" s="115"/>
      <c r="O190" s="479">
        <v>0.01</v>
      </c>
      <c r="P190" s="479">
        <f>O190</f>
        <v>0.01</v>
      </c>
      <c r="Q190" s="615">
        <f>P190*$F$175</f>
        <v>0</v>
      </c>
      <c r="R190" s="91">
        <f>+Q190*$F$176</f>
        <v>0</v>
      </c>
      <c r="S190" s="838"/>
      <c r="T190" s="838"/>
      <c r="U190" s="481">
        <f t="shared" si="0"/>
        <v>0.01</v>
      </c>
      <c r="V190" s="481">
        <f t="shared" si="0"/>
        <v>0.01</v>
      </c>
      <c r="W190" s="615">
        <f t="shared" si="0"/>
        <v>0</v>
      </c>
      <c r="X190" s="91">
        <f t="shared" si="0"/>
        <v>0</v>
      </c>
    </row>
    <row r="191" spans="1:24" s="13" customFormat="1" ht="14.25" x14ac:dyDescent="0.2">
      <c r="A191" s="113">
        <v>2</v>
      </c>
      <c r="B191" s="102" t="s">
        <v>38</v>
      </c>
      <c r="C191" s="102"/>
      <c r="D191" s="102"/>
      <c r="E191" s="302">
        <f>SUM(E192:E198)</f>
        <v>0.56000000000000005</v>
      </c>
      <c r="F191" s="302">
        <f>SUM(F192:F198)</f>
        <v>0.56000000000000005</v>
      </c>
      <c r="G191" s="616">
        <f>SUM(G192:G198)</f>
        <v>0</v>
      </c>
      <c r="H191" s="104">
        <f>SUM(H192:H198)</f>
        <v>0</v>
      </c>
      <c r="I191" s="125">
        <f>IFERROR(H191/$D$37,0)</f>
        <v>0</v>
      </c>
      <c r="J191" s="838"/>
      <c r="K191" s="113">
        <v>2</v>
      </c>
      <c r="L191" s="102" t="s">
        <v>38</v>
      </c>
      <c r="M191" s="102"/>
      <c r="N191" s="102"/>
      <c r="O191" s="302">
        <f>SUM(O192:O198)</f>
        <v>0.05</v>
      </c>
      <c r="P191" s="302">
        <f>SUM(P192:P198)</f>
        <v>0.05</v>
      </c>
      <c r="Q191" s="616">
        <f>SUM(Q192:Q198)</f>
        <v>0</v>
      </c>
      <c r="R191" s="104">
        <f>SUM(R192:R198)</f>
        <v>0</v>
      </c>
      <c r="S191" s="125">
        <f>IFERROR(R191/$D$37,0)</f>
        <v>0</v>
      </c>
      <c r="T191" s="838"/>
      <c r="U191" s="302">
        <f>SUM(U192:U198)</f>
        <v>0.6100000000000001</v>
      </c>
      <c r="V191" s="302">
        <f>SUM(V192:V198)</f>
        <v>0.6100000000000001</v>
      </c>
      <c r="W191" s="616">
        <f>SUM(W192:W198)</f>
        <v>0</v>
      </c>
      <c r="X191" s="104">
        <f>SUM(X192:X198)</f>
        <v>0</v>
      </c>
    </row>
    <row r="192" spans="1:24" s="13" customFormat="1" ht="14.25" x14ac:dyDescent="0.2">
      <c r="A192" s="88" t="s">
        <v>51</v>
      </c>
      <c r="B192" s="96" t="s">
        <v>94</v>
      </c>
      <c r="C192" s="96"/>
      <c r="D192" s="96"/>
      <c r="E192" s="480">
        <v>7.4999999999999997E-2</v>
      </c>
      <c r="F192" s="300">
        <f>E192*(100%+$F$178)</f>
        <v>7.4999999999999997E-2</v>
      </c>
      <c r="G192" s="614">
        <f t="shared" ref="G192:G197" si="1">F192*$F$175</f>
        <v>0</v>
      </c>
      <c r="H192" s="87">
        <f t="shared" ref="H192:H197" si="2">+G192*$F$176</f>
        <v>0</v>
      </c>
      <c r="I192" s="838"/>
      <c r="J192" s="838"/>
      <c r="K192" s="88" t="s">
        <v>51</v>
      </c>
      <c r="L192" s="96" t="s">
        <v>94</v>
      </c>
      <c r="M192" s="96"/>
      <c r="N192" s="96"/>
      <c r="O192" s="480">
        <v>5.0000000000000001E-3</v>
      </c>
      <c r="P192" s="300">
        <f>O192</f>
        <v>5.0000000000000001E-3</v>
      </c>
      <c r="Q192" s="614">
        <f t="shared" ref="Q192:Q198" si="3">P192*$F$175</f>
        <v>0</v>
      </c>
      <c r="R192" s="87">
        <f t="shared" ref="R192:R198" si="4">+Q192*$F$176</f>
        <v>0</v>
      </c>
      <c r="S192" s="838"/>
      <c r="T192" s="838"/>
      <c r="U192" s="480">
        <f t="shared" ref="U192:X198" si="5">+E192+O192</f>
        <v>0.08</v>
      </c>
      <c r="V192" s="480">
        <f t="shared" si="5"/>
        <v>0.08</v>
      </c>
      <c r="W192" s="614">
        <f t="shared" si="5"/>
        <v>0</v>
      </c>
      <c r="X192" s="87">
        <f t="shared" si="5"/>
        <v>0</v>
      </c>
    </row>
    <row r="193" spans="1:24" s="13" customFormat="1" ht="14.25" x14ac:dyDescent="0.2">
      <c r="A193" s="89" t="s">
        <v>52</v>
      </c>
      <c r="B193" s="100" t="s">
        <v>737</v>
      </c>
      <c r="C193" s="100"/>
      <c r="D193" s="100"/>
      <c r="E193" s="480">
        <v>0.14249999999999999</v>
      </c>
      <c r="F193" s="300">
        <f>E193*(100%+$F$178)</f>
        <v>0.14249999999999999</v>
      </c>
      <c r="G193" s="614">
        <f t="shared" si="1"/>
        <v>0</v>
      </c>
      <c r="H193" s="87">
        <f t="shared" si="2"/>
        <v>0</v>
      </c>
      <c r="I193" s="838"/>
      <c r="J193" s="838"/>
      <c r="K193" s="89" t="s">
        <v>52</v>
      </c>
      <c r="L193" s="100" t="s">
        <v>737</v>
      </c>
      <c r="M193" s="100"/>
      <c r="N193" s="100"/>
      <c r="O193" s="480">
        <v>7.4999999999999997E-3</v>
      </c>
      <c r="P193" s="300">
        <f>O193</f>
        <v>7.4999999999999997E-3</v>
      </c>
      <c r="Q193" s="614">
        <f t="shared" si="3"/>
        <v>0</v>
      </c>
      <c r="R193" s="87">
        <f t="shared" si="4"/>
        <v>0</v>
      </c>
      <c r="S193" s="838"/>
      <c r="T193" s="838"/>
      <c r="U193" s="480">
        <f t="shared" si="5"/>
        <v>0.15</v>
      </c>
      <c r="V193" s="480">
        <f t="shared" si="5"/>
        <v>0.15</v>
      </c>
      <c r="W193" s="614">
        <f t="shared" si="5"/>
        <v>0</v>
      </c>
      <c r="X193" s="87">
        <f t="shared" si="5"/>
        <v>0</v>
      </c>
    </row>
    <row r="194" spans="1:24" s="13" customFormat="1" ht="14.25" x14ac:dyDescent="0.2">
      <c r="A194" s="89" t="s">
        <v>53</v>
      </c>
      <c r="B194" s="100" t="s">
        <v>841</v>
      </c>
      <c r="C194" s="100"/>
      <c r="D194" s="100"/>
      <c r="E194" s="480"/>
      <c r="F194" s="300"/>
      <c r="G194" s="614"/>
      <c r="H194" s="87"/>
      <c r="I194" s="838"/>
      <c r="J194" s="838"/>
      <c r="K194" s="89" t="s">
        <v>53</v>
      </c>
      <c r="L194" s="100" t="s">
        <v>841</v>
      </c>
      <c r="M194" s="100"/>
      <c r="N194" s="100"/>
      <c r="O194" s="480"/>
      <c r="P194" s="300"/>
      <c r="Q194" s="614"/>
      <c r="R194" s="87"/>
      <c r="S194" s="838"/>
      <c r="T194" s="838"/>
      <c r="U194" s="480">
        <f t="shared" si="5"/>
        <v>0</v>
      </c>
      <c r="V194" s="480">
        <f t="shared" si="5"/>
        <v>0</v>
      </c>
      <c r="W194" s="614">
        <f t="shared" si="5"/>
        <v>0</v>
      </c>
      <c r="X194" s="87">
        <f t="shared" si="5"/>
        <v>0</v>
      </c>
    </row>
    <row r="195" spans="1:24" s="13" customFormat="1" ht="14.25" x14ac:dyDescent="0.2">
      <c r="A195" s="89" t="s">
        <v>95</v>
      </c>
      <c r="B195" s="100" t="s">
        <v>738</v>
      </c>
      <c r="C195" s="100"/>
      <c r="D195" s="100"/>
      <c r="E195" s="480">
        <v>0.28000000000000003</v>
      </c>
      <c r="F195" s="300">
        <f>E195*(100%+$F$178)</f>
        <v>0.28000000000000003</v>
      </c>
      <c r="G195" s="614">
        <f t="shared" si="1"/>
        <v>0</v>
      </c>
      <c r="H195" s="87">
        <f t="shared" si="2"/>
        <v>0</v>
      </c>
      <c r="I195" s="838"/>
      <c r="J195" s="838"/>
      <c r="K195" s="89" t="s">
        <v>95</v>
      </c>
      <c r="L195" s="100" t="s">
        <v>738</v>
      </c>
      <c r="M195" s="100"/>
      <c r="N195" s="100"/>
      <c r="O195" s="480">
        <v>0.02</v>
      </c>
      <c r="P195" s="300">
        <f>O195</f>
        <v>0.02</v>
      </c>
      <c r="Q195" s="614">
        <f t="shared" si="3"/>
        <v>0</v>
      </c>
      <c r="R195" s="87">
        <f t="shared" si="4"/>
        <v>0</v>
      </c>
      <c r="S195" s="838"/>
      <c r="T195" s="838"/>
      <c r="U195" s="480">
        <f t="shared" si="5"/>
        <v>0.30000000000000004</v>
      </c>
      <c r="V195" s="480">
        <f t="shared" si="5"/>
        <v>0.30000000000000004</v>
      </c>
      <c r="W195" s="614">
        <f t="shared" si="5"/>
        <v>0</v>
      </c>
      <c r="X195" s="87">
        <f t="shared" si="5"/>
        <v>0</v>
      </c>
    </row>
    <row r="196" spans="1:24" s="13" customFormat="1" ht="14.25" x14ac:dyDescent="0.2">
      <c r="A196" s="89" t="s">
        <v>96</v>
      </c>
      <c r="B196" s="100" t="s">
        <v>838</v>
      </c>
      <c r="C196" s="100"/>
      <c r="D196" s="100"/>
      <c r="E196" s="480">
        <v>4.7500000000000001E-2</v>
      </c>
      <c r="F196" s="300">
        <f>E196*(100%+$F$178)</f>
        <v>4.7500000000000001E-2</v>
      </c>
      <c r="G196" s="614">
        <f t="shared" si="1"/>
        <v>0</v>
      </c>
      <c r="H196" s="87">
        <f t="shared" si="2"/>
        <v>0</v>
      </c>
      <c r="I196" s="838"/>
      <c r="J196" s="838"/>
      <c r="K196" s="89" t="s">
        <v>96</v>
      </c>
      <c r="L196" s="100" t="s">
        <v>838</v>
      </c>
      <c r="M196" s="100"/>
      <c r="N196" s="100"/>
      <c r="O196" s="480">
        <v>2.5000000000000001E-3</v>
      </c>
      <c r="P196" s="300">
        <f>O196</f>
        <v>2.5000000000000001E-3</v>
      </c>
      <c r="Q196" s="614">
        <f t="shared" si="3"/>
        <v>0</v>
      </c>
      <c r="R196" s="87">
        <f t="shared" si="4"/>
        <v>0</v>
      </c>
      <c r="S196" s="838"/>
      <c r="T196" s="838"/>
      <c r="U196" s="480">
        <f t="shared" si="5"/>
        <v>0.05</v>
      </c>
      <c r="V196" s="480">
        <f t="shared" si="5"/>
        <v>0.05</v>
      </c>
      <c r="W196" s="614">
        <f t="shared" si="5"/>
        <v>0</v>
      </c>
      <c r="X196" s="87">
        <f t="shared" si="5"/>
        <v>0</v>
      </c>
    </row>
    <row r="197" spans="1:24" s="843" customFormat="1" ht="14.25" x14ac:dyDescent="0.2">
      <c r="A197" s="781"/>
      <c r="B197" s="782" t="s">
        <v>954</v>
      </c>
      <c r="C197" s="782"/>
      <c r="D197" s="782"/>
      <c r="E197" s="783">
        <v>1.4999999999999999E-2</v>
      </c>
      <c r="F197" s="785">
        <f>E197*(100%+$F$178)</f>
        <v>1.4999999999999999E-2</v>
      </c>
      <c r="G197" s="821">
        <f t="shared" si="1"/>
        <v>0</v>
      </c>
      <c r="H197" s="776">
        <f t="shared" si="2"/>
        <v>0</v>
      </c>
      <c r="I197" s="842"/>
      <c r="J197" s="838"/>
      <c r="K197" s="781"/>
      <c r="L197" s="782" t="s">
        <v>954</v>
      </c>
      <c r="M197" s="782"/>
      <c r="N197" s="782"/>
      <c r="O197" s="783"/>
      <c r="P197" s="785"/>
      <c r="Q197" s="786"/>
      <c r="R197" s="787"/>
      <c r="S197" s="842"/>
      <c r="T197" s="838"/>
      <c r="U197" s="771">
        <f t="shared" si="5"/>
        <v>1.4999999999999999E-2</v>
      </c>
      <c r="V197" s="771">
        <f t="shared" si="5"/>
        <v>1.4999999999999999E-2</v>
      </c>
      <c r="W197" s="844">
        <f t="shared" si="5"/>
        <v>0</v>
      </c>
      <c r="X197" s="787">
        <f t="shared" si="5"/>
        <v>0</v>
      </c>
    </row>
    <row r="198" spans="1:24" s="843" customFormat="1" ht="14.25" x14ac:dyDescent="0.2">
      <c r="A198" s="788"/>
      <c r="B198" s="789" t="s">
        <v>1021</v>
      </c>
      <c r="C198" s="789"/>
      <c r="D198" s="789"/>
      <c r="E198" s="790"/>
      <c r="F198" s="791"/>
      <c r="G198" s="792"/>
      <c r="H198" s="793"/>
      <c r="I198" s="842"/>
      <c r="J198" s="838"/>
      <c r="K198" s="788"/>
      <c r="L198" s="789" t="s">
        <v>1021</v>
      </c>
      <c r="M198" s="789"/>
      <c r="N198" s="789"/>
      <c r="O198" s="790">
        <v>1.4999999999999999E-2</v>
      </c>
      <c r="P198" s="791">
        <f>O198</f>
        <v>1.4999999999999999E-2</v>
      </c>
      <c r="Q198" s="822">
        <f t="shared" si="3"/>
        <v>0</v>
      </c>
      <c r="R198" s="793">
        <f t="shared" si="4"/>
        <v>0</v>
      </c>
      <c r="S198" s="842"/>
      <c r="T198" s="838"/>
      <c r="U198" s="790">
        <f t="shared" si="5"/>
        <v>1.4999999999999999E-2</v>
      </c>
      <c r="V198" s="790">
        <f t="shared" si="5"/>
        <v>1.4999999999999999E-2</v>
      </c>
      <c r="W198" s="822">
        <f t="shared" si="5"/>
        <v>0</v>
      </c>
      <c r="X198" s="793">
        <f t="shared" si="5"/>
        <v>0</v>
      </c>
    </row>
    <row r="199" spans="1:24" s="13" customFormat="1" ht="14.25" x14ac:dyDescent="0.2">
      <c r="A199" s="116" t="s">
        <v>39</v>
      </c>
      <c r="B199" s="102" t="s">
        <v>121</v>
      </c>
      <c r="C199" s="102"/>
      <c r="D199" s="102"/>
      <c r="E199" s="302">
        <f>SUM(E200:E202)</f>
        <v>5.0000000000000001E-3</v>
      </c>
      <c r="F199" s="302">
        <f>SUM(F200:F202)</f>
        <v>5.0000000000000001E-3</v>
      </c>
      <c r="G199" s="613">
        <f>SUM(G200:G203)</f>
        <v>0</v>
      </c>
      <c r="H199" s="104">
        <f>SUM(H200:H203)</f>
        <v>0</v>
      </c>
      <c r="I199" s="125">
        <f>IFERROR(H199/$D$37,0)</f>
        <v>0</v>
      </c>
      <c r="J199" s="838"/>
      <c r="K199" s="116" t="s">
        <v>39</v>
      </c>
      <c r="L199" s="102" t="s">
        <v>121</v>
      </c>
      <c r="M199" s="102"/>
      <c r="N199" s="102"/>
      <c r="O199" s="302">
        <f>SUM(O200:O203)</f>
        <v>2.5000000000000001E-2</v>
      </c>
      <c r="P199" s="302">
        <f>SUM(P200:P203)</f>
        <v>2.5000000000000001E-2</v>
      </c>
      <c r="Q199" s="613">
        <f>SUM(Q200:Q203)</f>
        <v>0</v>
      </c>
      <c r="R199" s="104">
        <f>SUM(R200:R203)</f>
        <v>0</v>
      </c>
      <c r="S199" s="125">
        <f>IFERROR(R199/$D$37,0)</f>
        <v>0</v>
      </c>
      <c r="T199" s="838"/>
      <c r="U199" s="302">
        <f>SUM(U200:U203)</f>
        <v>0.03</v>
      </c>
      <c r="V199" s="302">
        <f>SUM(V200:V203)</f>
        <v>0.03</v>
      </c>
      <c r="W199" s="613">
        <f>SUM(W200:W203)</f>
        <v>0</v>
      </c>
      <c r="X199" s="104">
        <f>SUM(X200:X203)</f>
        <v>0</v>
      </c>
    </row>
    <row r="200" spans="1:24" s="13" customFormat="1" ht="14.25" x14ac:dyDescent="0.2">
      <c r="A200" s="89" t="s">
        <v>40</v>
      </c>
      <c r="B200" s="95" t="s">
        <v>839</v>
      </c>
      <c r="C200" s="95"/>
      <c r="D200" s="95"/>
      <c r="E200" s="300">
        <v>2.5000000000000001E-3</v>
      </c>
      <c r="F200" s="300">
        <f>E200*(100%+$F$178)</f>
        <v>2.5000000000000001E-3</v>
      </c>
      <c r="G200" s="614">
        <f>F200*$F$175</f>
        <v>0</v>
      </c>
      <c r="H200" s="87">
        <f>+G200*$F$176</f>
        <v>0</v>
      </c>
      <c r="I200" s="838"/>
      <c r="J200" s="838"/>
      <c r="K200" s="89" t="s">
        <v>40</v>
      </c>
      <c r="L200" s="95" t="s">
        <v>839</v>
      </c>
      <c r="M200" s="95"/>
      <c r="N200" s="95"/>
      <c r="O200" s="300">
        <v>5.0000000000000001E-3</v>
      </c>
      <c r="P200" s="300">
        <f>O200</f>
        <v>5.0000000000000001E-3</v>
      </c>
      <c r="Q200" s="614">
        <f>P200*$F$175</f>
        <v>0</v>
      </c>
      <c r="R200" s="87">
        <f>+Q200*$F$176</f>
        <v>0</v>
      </c>
      <c r="S200" s="838"/>
      <c r="T200" s="838"/>
      <c r="U200" s="480">
        <f t="shared" ref="U200:X203" si="6">+E200+O200</f>
        <v>7.4999999999999997E-3</v>
      </c>
      <c r="V200" s="480">
        <f t="shared" si="6"/>
        <v>7.4999999999999997E-3</v>
      </c>
      <c r="W200" s="614">
        <f t="shared" si="6"/>
        <v>0</v>
      </c>
      <c r="X200" s="87">
        <f t="shared" si="6"/>
        <v>0</v>
      </c>
    </row>
    <row r="201" spans="1:24" s="843" customFormat="1" ht="14.25" x14ac:dyDescent="0.2">
      <c r="A201" s="781"/>
      <c r="B201" s="782" t="s">
        <v>1022</v>
      </c>
      <c r="C201" s="782"/>
      <c r="D201" s="782"/>
      <c r="E201" s="783"/>
      <c r="F201" s="785"/>
      <c r="G201" s="786"/>
      <c r="H201" s="787"/>
      <c r="I201" s="842"/>
      <c r="J201" s="842"/>
      <c r="K201" s="772"/>
      <c r="L201" s="782" t="s">
        <v>1022</v>
      </c>
      <c r="M201" s="773"/>
      <c r="N201" s="773"/>
      <c r="O201" s="771">
        <v>5.0000000000000001E-3</v>
      </c>
      <c r="P201" s="774">
        <f>O201</f>
        <v>5.0000000000000001E-3</v>
      </c>
      <c r="Q201" s="821">
        <f>P201*$F$175</f>
        <v>0</v>
      </c>
      <c r="R201" s="776">
        <f>+Q201*$F$176</f>
        <v>0</v>
      </c>
      <c r="S201" s="842"/>
      <c r="T201" s="838"/>
      <c r="U201" s="771">
        <f t="shared" si="6"/>
        <v>5.0000000000000001E-3</v>
      </c>
      <c r="V201" s="771">
        <f t="shared" si="6"/>
        <v>5.0000000000000001E-3</v>
      </c>
      <c r="W201" s="821">
        <f t="shared" si="6"/>
        <v>0</v>
      </c>
      <c r="X201" s="776">
        <f t="shared" si="6"/>
        <v>0</v>
      </c>
    </row>
    <row r="202" spans="1:24" s="13" customFormat="1" ht="14.25" x14ac:dyDescent="0.2">
      <c r="A202" s="89" t="s">
        <v>41</v>
      </c>
      <c r="B202" s="95" t="s">
        <v>201</v>
      </c>
      <c r="C202" s="95"/>
      <c r="D202" s="95"/>
      <c r="E202" s="300">
        <v>2.5000000000000001E-3</v>
      </c>
      <c r="F202" s="300">
        <f>E202*(100%+$F$178)</f>
        <v>2.5000000000000001E-3</v>
      </c>
      <c r="G202" s="614">
        <f>F202*$F$175</f>
        <v>0</v>
      </c>
      <c r="H202" s="87">
        <f>+G202*$F$176</f>
        <v>0</v>
      </c>
      <c r="I202" s="838"/>
      <c r="J202" s="838"/>
      <c r="K202" s="89" t="s">
        <v>41</v>
      </c>
      <c r="L202" s="95" t="s">
        <v>201</v>
      </c>
      <c r="M202" s="95"/>
      <c r="N202" s="95"/>
      <c r="O202" s="300">
        <v>5.0000000000000001E-3</v>
      </c>
      <c r="P202" s="300">
        <f>O202</f>
        <v>5.0000000000000001E-3</v>
      </c>
      <c r="Q202" s="614">
        <f>P202*$F$175</f>
        <v>0</v>
      </c>
      <c r="R202" s="87">
        <f>+Q202*$F$176</f>
        <v>0</v>
      </c>
      <c r="S202" s="838"/>
      <c r="T202" s="838"/>
      <c r="U202" s="480">
        <f t="shared" si="6"/>
        <v>7.4999999999999997E-3</v>
      </c>
      <c r="V202" s="480">
        <f t="shared" si="6"/>
        <v>7.4999999999999997E-3</v>
      </c>
      <c r="W202" s="614">
        <f t="shared" si="6"/>
        <v>0</v>
      </c>
      <c r="X202" s="87">
        <f t="shared" si="6"/>
        <v>0</v>
      </c>
    </row>
    <row r="203" spans="1:24" s="843" customFormat="1" ht="14.25" x14ac:dyDescent="0.2">
      <c r="A203" s="788"/>
      <c r="B203" s="789" t="s">
        <v>1022</v>
      </c>
      <c r="C203" s="789"/>
      <c r="D203" s="789"/>
      <c r="E203" s="790"/>
      <c r="F203" s="791"/>
      <c r="G203" s="792"/>
      <c r="H203" s="793"/>
      <c r="I203" s="842"/>
      <c r="J203" s="842"/>
      <c r="K203" s="788"/>
      <c r="L203" s="789" t="s">
        <v>1022</v>
      </c>
      <c r="M203" s="789"/>
      <c r="N203" s="789"/>
      <c r="O203" s="790">
        <v>0.01</v>
      </c>
      <c r="P203" s="791">
        <f>O203</f>
        <v>0.01</v>
      </c>
      <c r="Q203" s="822">
        <f>P203*$F$175</f>
        <v>0</v>
      </c>
      <c r="R203" s="793">
        <f>+Q203*$F$176</f>
        <v>0</v>
      </c>
      <c r="S203" s="842"/>
      <c r="T203" s="842"/>
      <c r="U203" s="790">
        <f t="shared" si="6"/>
        <v>0.01</v>
      </c>
      <c r="V203" s="790">
        <f t="shared" si="6"/>
        <v>0.01</v>
      </c>
      <c r="W203" s="822">
        <f t="shared" si="6"/>
        <v>0</v>
      </c>
      <c r="X203" s="793">
        <f t="shared" si="6"/>
        <v>0</v>
      </c>
    </row>
    <row r="204" spans="1:24" s="13" customFormat="1" ht="14.25" x14ac:dyDescent="0.2">
      <c r="A204" s="120">
        <v>4</v>
      </c>
      <c r="B204" s="102" t="s">
        <v>60</v>
      </c>
      <c r="C204" s="102"/>
      <c r="D204" s="102"/>
      <c r="E204" s="302">
        <f>SUM(E205:E212)</f>
        <v>0.28000000000000003</v>
      </c>
      <c r="F204" s="302">
        <f>SUM(F205:F212)</f>
        <v>0.28000000000000003</v>
      </c>
      <c r="G204" s="613">
        <f>SUM(G205:G212)</f>
        <v>0</v>
      </c>
      <c r="H204" s="104">
        <f>SUM(H205:H212)</f>
        <v>0</v>
      </c>
      <c r="I204" s="125">
        <f>IFERROR(H204/$D$37,0)</f>
        <v>0</v>
      </c>
      <c r="J204" s="838"/>
      <c r="K204" s="120">
        <v>4</v>
      </c>
      <c r="L204" s="102" t="s">
        <v>60</v>
      </c>
      <c r="M204" s="102"/>
      <c r="N204" s="102"/>
      <c r="O204" s="302">
        <f>SUM(O205:O212)</f>
        <v>0.04</v>
      </c>
      <c r="P204" s="302">
        <f>SUM(P205:P212)</f>
        <v>0.04</v>
      </c>
      <c r="Q204" s="613">
        <f>SUM(Q205:Q212)</f>
        <v>0</v>
      </c>
      <c r="R204" s="104">
        <f>SUM(R205:R212)</f>
        <v>0</v>
      </c>
      <c r="S204" s="125">
        <f>IFERROR(R204/$D$37,0)</f>
        <v>0</v>
      </c>
      <c r="T204" s="838"/>
      <c r="U204" s="302">
        <f>SUM(U205:U212)</f>
        <v>0.32000000000000006</v>
      </c>
      <c r="V204" s="302">
        <f>SUM(V205:V212)</f>
        <v>0.32000000000000006</v>
      </c>
      <c r="W204" s="613">
        <f>SUM(W205:W212)</f>
        <v>0</v>
      </c>
      <c r="X204" s="104">
        <f>SUM(X205:X212)</f>
        <v>0</v>
      </c>
    </row>
    <row r="205" spans="1:24" s="13" customFormat="1" ht="14.25" x14ac:dyDescent="0.2">
      <c r="A205" s="89" t="s">
        <v>42</v>
      </c>
      <c r="B205" s="95" t="s">
        <v>202</v>
      </c>
      <c r="C205" s="95"/>
      <c r="D205" s="95"/>
      <c r="E205" s="300"/>
      <c r="F205" s="300"/>
      <c r="G205" s="614"/>
      <c r="H205" s="87">
        <f t="shared" ref="H205:H212" si="7">+G205*$F$176</f>
        <v>0</v>
      </c>
      <c r="I205" s="838"/>
      <c r="J205" s="838"/>
      <c r="K205" s="89" t="s">
        <v>42</v>
      </c>
      <c r="L205" s="95" t="s">
        <v>202</v>
      </c>
      <c r="M205" s="95"/>
      <c r="N205" s="95"/>
      <c r="O205" s="300">
        <v>0.01</v>
      </c>
      <c r="P205" s="300">
        <f>O205</f>
        <v>0.01</v>
      </c>
      <c r="Q205" s="614">
        <f t="shared" ref="Q205:Q212" si="8">P205*$F$175</f>
        <v>0</v>
      </c>
      <c r="R205" s="87">
        <f t="shared" ref="R205:R212" si="9">+Q205*$F$176</f>
        <v>0</v>
      </c>
      <c r="S205" s="838"/>
      <c r="T205" s="838"/>
      <c r="U205" s="480">
        <f t="shared" ref="U205:X212" si="10">+E205+O205</f>
        <v>0.01</v>
      </c>
      <c r="V205" s="480">
        <f t="shared" si="10"/>
        <v>0.01</v>
      </c>
      <c r="W205" s="614">
        <f t="shared" si="10"/>
        <v>0</v>
      </c>
      <c r="X205" s="87">
        <f t="shared" si="10"/>
        <v>0</v>
      </c>
    </row>
    <row r="206" spans="1:24" s="13" customFormat="1" ht="14.25" x14ac:dyDescent="0.2">
      <c r="A206" s="89" t="s">
        <v>43</v>
      </c>
      <c r="B206" s="95" t="s">
        <v>858</v>
      </c>
      <c r="C206" s="95"/>
      <c r="D206" s="95"/>
      <c r="E206" s="300">
        <v>6.5000000000000002E-2</v>
      </c>
      <c r="F206" s="300">
        <f>E206*(100%+$F$178)</f>
        <v>6.5000000000000002E-2</v>
      </c>
      <c r="G206" s="614">
        <f t="shared" ref="G206:G212" si="11">F206*$F$175</f>
        <v>0</v>
      </c>
      <c r="H206" s="87">
        <f t="shared" si="7"/>
        <v>0</v>
      </c>
      <c r="I206" s="838"/>
      <c r="J206" s="838"/>
      <c r="K206" s="89" t="s">
        <v>43</v>
      </c>
      <c r="L206" s="95" t="s">
        <v>858</v>
      </c>
      <c r="M206" s="95"/>
      <c r="N206" s="95"/>
      <c r="O206" s="300">
        <v>5.0000000000000001E-3</v>
      </c>
      <c r="P206" s="300">
        <f>O206</f>
        <v>5.0000000000000001E-3</v>
      </c>
      <c r="Q206" s="614">
        <f t="shared" si="8"/>
        <v>0</v>
      </c>
      <c r="R206" s="87">
        <f t="shared" si="9"/>
        <v>0</v>
      </c>
      <c r="S206" s="838"/>
      <c r="T206" s="838"/>
      <c r="U206" s="480">
        <f t="shared" si="10"/>
        <v>7.0000000000000007E-2</v>
      </c>
      <c r="V206" s="480">
        <f t="shared" si="10"/>
        <v>7.0000000000000007E-2</v>
      </c>
      <c r="W206" s="614">
        <f t="shared" si="10"/>
        <v>0</v>
      </c>
      <c r="X206" s="87">
        <f t="shared" si="10"/>
        <v>0</v>
      </c>
    </row>
    <row r="207" spans="1:24" s="843" customFormat="1" ht="14.25" x14ac:dyDescent="0.2">
      <c r="A207" s="772"/>
      <c r="B207" s="773" t="s">
        <v>502</v>
      </c>
      <c r="C207" s="773"/>
      <c r="D207" s="773"/>
      <c r="E207" s="771">
        <v>0.185</v>
      </c>
      <c r="F207" s="774">
        <f>E207*(100%+$F$178)</f>
        <v>0.185</v>
      </c>
      <c r="G207" s="821">
        <f t="shared" si="11"/>
        <v>0</v>
      </c>
      <c r="H207" s="776">
        <f t="shared" si="7"/>
        <v>0</v>
      </c>
      <c r="I207" s="842"/>
      <c r="J207" s="842"/>
      <c r="K207" s="772"/>
      <c r="L207" s="773" t="s">
        <v>502</v>
      </c>
      <c r="M207" s="773"/>
      <c r="N207" s="773"/>
      <c r="O207" s="771">
        <v>1.4999999999999999E-2</v>
      </c>
      <c r="P207" s="774">
        <f>O207</f>
        <v>1.4999999999999999E-2</v>
      </c>
      <c r="Q207" s="821">
        <f t="shared" si="8"/>
        <v>0</v>
      </c>
      <c r="R207" s="776">
        <f t="shared" si="9"/>
        <v>0</v>
      </c>
      <c r="S207" s="842"/>
      <c r="T207" s="842"/>
      <c r="U207" s="771">
        <f t="shared" si="10"/>
        <v>0.2</v>
      </c>
      <c r="V207" s="771">
        <f t="shared" si="10"/>
        <v>0.2</v>
      </c>
      <c r="W207" s="821">
        <f t="shared" si="10"/>
        <v>0</v>
      </c>
      <c r="X207" s="776">
        <f t="shared" si="10"/>
        <v>0</v>
      </c>
    </row>
    <row r="208" spans="1:24" s="13" customFormat="1" ht="14.25" x14ac:dyDescent="0.2">
      <c r="A208" s="89" t="s">
        <v>44</v>
      </c>
      <c r="B208" s="95" t="s">
        <v>953</v>
      </c>
      <c r="C208" s="95"/>
      <c r="D208" s="95"/>
      <c r="E208" s="300"/>
      <c r="F208" s="300"/>
      <c r="G208" s="614">
        <f t="shared" si="11"/>
        <v>0</v>
      </c>
      <c r="H208" s="87">
        <f t="shared" si="7"/>
        <v>0</v>
      </c>
      <c r="I208" s="838"/>
      <c r="J208" s="838"/>
      <c r="K208" s="89" t="s">
        <v>44</v>
      </c>
      <c r="L208" s="95" t="s">
        <v>953</v>
      </c>
      <c r="M208" s="95"/>
      <c r="N208" s="95"/>
      <c r="O208" s="300"/>
      <c r="P208" s="300"/>
      <c r="Q208" s="614"/>
      <c r="R208" s="87"/>
      <c r="S208" s="838"/>
      <c r="T208" s="838"/>
      <c r="U208" s="480">
        <f t="shared" si="10"/>
        <v>0</v>
      </c>
      <c r="V208" s="480">
        <f t="shared" si="10"/>
        <v>0</v>
      </c>
      <c r="W208" s="614">
        <f t="shared" si="10"/>
        <v>0</v>
      </c>
      <c r="X208" s="87">
        <f t="shared" si="10"/>
        <v>0</v>
      </c>
    </row>
    <row r="209" spans="1:24" s="843" customFormat="1" ht="14.25" x14ac:dyDescent="0.2">
      <c r="A209" s="772"/>
      <c r="B209" s="773" t="s">
        <v>502</v>
      </c>
      <c r="C209" s="773"/>
      <c r="D209" s="773"/>
      <c r="E209" s="771"/>
      <c r="F209" s="774"/>
      <c r="G209" s="821">
        <f t="shared" si="11"/>
        <v>0</v>
      </c>
      <c r="H209" s="776">
        <f t="shared" si="7"/>
        <v>0</v>
      </c>
      <c r="I209" s="842"/>
      <c r="J209" s="842"/>
      <c r="K209" s="772"/>
      <c r="L209" s="773" t="s">
        <v>502</v>
      </c>
      <c r="M209" s="773"/>
      <c r="N209" s="773"/>
      <c r="O209" s="771"/>
      <c r="P209" s="774"/>
      <c r="Q209" s="775"/>
      <c r="R209" s="776"/>
      <c r="S209" s="842"/>
      <c r="T209" s="842"/>
      <c r="U209" s="771">
        <f t="shared" si="10"/>
        <v>0</v>
      </c>
      <c r="V209" s="771">
        <f t="shared" si="10"/>
        <v>0</v>
      </c>
      <c r="W209" s="821">
        <f t="shared" si="10"/>
        <v>0</v>
      </c>
      <c r="X209" s="776">
        <f t="shared" si="10"/>
        <v>0</v>
      </c>
    </row>
    <row r="210" spans="1:24" s="13" customFormat="1" ht="14.25" x14ac:dyDescent="0.2">
      <c r="A210" s="89" t="s">
        <v>45</v>
      </c>
      <c r="B210" s="95" t="s">
        <v>859</v>
      </c>
      <c r="C210" s="95"/>
      <c r="D210" s="95"/>
      <c r="E210" s="300">
        <v>2.5000000000000001E-3</v>
      </c>
      <c r="F210" s="300">
        <f>E210*(100%+$F$178)</f>
        <v>2.5000000000000001E-3</v>
      </c>
      <c r="G210" s="614">
        <f t="shared" si="11"/>
        <v>0</v>
      </c>
      <c r="H210" s="87">
        <f t="shared" si="7"/>
        <v>0</v>
      </c>
      <c r="I210" s="838"/>
      <c r="J210" s="838"/>
      <c r="K210" s="89" t="s">
        <v>45</v>
      </c>
      <c r="L210" s="95" t="s">
        <v>859</v>
      </c>
      <c r="M210" s="95"/>
      <c r="N210" s="95"/>
      <c r="O210" s="300">
        <v>2.5000000000000001E-3</v>
      </c>
      <c r="P210" s="300">
        <f>O210</f>
        <v>2.5000000000000001E-3</v>
      </c>
      <c r="Q210" s="614">
        <f t="shared" si="8"/>
        <v>0</v>
      </c>
      <c r="R210" s="87">
        <f t="shared" si="9"/>
        <v>0</v>
      </c>
      <c r="S210" s="838"/>
      <c r="T210" s="838"/>
      <c r="U210" s="480">
        <f t="shared" si="10"/>
        <v>5.0000000000000001E-3</v>
      </c>
      <c r="V210" s="480">
        <f t="shared" si="10"/>
        <v>5.0000000000000001E-3</v>
      </c>
      <c r="W210" s="614">
        <f t="shared" si="10"/>
        <v>0</v>
      </c>
      <c r="X210" s="87">
        <f t="shared" si="10"/>
        <v>0</v>
      </c>
    </row>
    <row r="211" spans="1:24" s="843" customFormat="1" ht="14.25" x14ac:dyDescent="0.2">
      <c r="A211" s="772"/>
      <c r="B211" s="773" t="s">
        <v>502</v>
      </c>
      <c r="C211" s="773"/>
      <c r="D211" s="773"/>
      <c r="E211" s="771">
        <v>2.5000000000000001E-3</v>
      </c>
      <c r="F211" s="774">
        <f>E211*(100%+$F$178)</f>
        <v>2.5000000000000001E-3</v>
      </c>
      <c r="G211" s="821">
        <f t="shared" si="11"/>
        <v>0</v>
      </c>
      <c r="H211" s="776">
        <f t="shared" si="7"/>
        <v>0</v>
      </c>
      <c r="I211" s="842"/>
      <c r="J211" s="842"/>
      <c r="K211" s="772"/>
      <c r="L211" s="773" t="s">
        <v>502</v>
      </c>
      <c r="M211" s="773"/>
      <c r="N211" s="773"/>
      <c r="O211" s="771">
        <v>2.5000000000000001E-3</v>
      </c>
      <c r="P211" s="774">
        <f>O211</f>
        <v>2.5000000000000001E-3</v>
      </c>
      <c r="Q211" s="821">
        <f t="shared" si="8"/>
        <v>0</v>
      </c>
      <c r="R211" s="776">
        <f t="shared" si="9"/>
        <v>0</v>
      </c>
      <c r="S211" s="842"/>
      <c r="T211" s="842"/>
      <c r="U211" s="771">
        <f t="shared" si="10"/>
        <v>5.0000000000000001E-3</v>
      </c>
      <c r="V211" s="771">
        <f t="shared" si="10"/>
        <v>5.0000000000000001E-3</v>
      </c>
      <c r="W211" s="821">
        <f t="shared" si="10"/>
        <v>0</v>
      </c>
      <c r="X211" s="776">
        <f t="shared" si="10"/>
        <v>0</v>
      </c>
    </row>
    <row r="212" spans="1:24" s="13" customFormat="1" ht="14.25" x14ac:dyDescent="0.2">
      <c r="A212" s="117" t="s">
        <v>46</v>
      </c>
      <c r="B212" s="90" t="s">
        <v>840</v>
      </c>
      <c r="C212" s="90"/>
      <c r="D212" s="90"/>
      <c r="E212" s="479">
        <v>2.5000000000000001E-2</v>
      </c>
      <c r="F212" s="300">
        <f>E212*(100%+$F$178)</f>
        <v>2.5000000000000001E-2</v>
      </c>
      <c r="G212" s="615">
        <f t="shared" si="11"/>
        <v>0</v>
      </c>
      <c r="H212" s="91">
        <f t="shared" si="7"/>
        <v>0</v>
      </c>
      <c r="I212" s="838"/>
      <c r="J212" s="838"/>
      <c r="K212" s="117" t="s">
        <v>46</v>
      </c>
      <c r="L212" s="90" t="s">
        <v>840</v>
      </c>
      <c r="M212" s="90"/>
      <c r="N212" s="90"/>
      <c r="O212" s="479">
        <v>5.0000000000000001E-3</v>
      </c>
      <c r="P212" s="300">
        <f>O212</f>
        <v>5.0000000000000001E-3</v>
      </c>
      <c r="Q212" s="615">
        <f t="shared" si="8"/>
        <v>0</v>
      </c>
      <c r="R212" s="91">
        <f t="shared" si="9"/>
        <v>0</v>
      </c>
      <c r="S212" s="838"/>
      <c r="T212" s="838"/>
      <c r="U212" s="481">
        <f t="shared" si="10"/>
        <v>3.0000000000000002E-2</v>
      </c>
      <c r="V212" s="481">
        <f t="shared" si="10"/>
        <v>3.0000000000000002E-2</v>
      </c>
      <c r="W212" s="615">
        <f t="shared" si="10"/>
        <v>0</v>
      </c>
      <c r="X212" s="91">
        <f t="shared" si="10"/>
        <v>0</v>
      </c>
    </row>
    <row r="213" spans="1:24" s="13" customFormat="1" ht="14.25" x14ac:dyDescent="0.2">
      <c r="A213" s="121">
        <v>5</v>
      </c>
      <c r="B213" s="102" t="s">
        <v>47</v>
      </c>
      <c r="C213" s="102"/>
      <c r="D213" s="102"/>
      <c r="E213" s="302">
        <f>SUM(E214:E215)</f>
        <v>1.4999999999999999E-2</v>
      </c>
      <c r="F213" s="304">
        <f>SUM(F214:F215)</f>
        <v>1.4999999999999999E-2</v>
      </c>
      <c r="G213" s="613">
        <f>SUM(G214:G215)</f>
        <v>0</v>
      </c>
      <c r="H213" s="104">
        <f>SUM(H214:H215)</f>
        <v>0</v>
      </c>
      <c r="I213" s="125">
        <f>IFERROR(H213/$D$37,0)</f>
        <v>0</v>
      </c>
      <c r="J213" s="838"/>
      <c r="K213" s="121">
        <v>5</v>
      </c>
      <c r="L213" s="102" t="s">
        <v>47</v>
      </c>
      <c r="M213" s="102"/>
      <c r="N213" s="102"/>
      <c r="O213" s="302">
        <f>SUM(O214:O215)</f>
        <v>5.0000000000000001E-3</v>
      </c>
      <c r="P213" s="304">
        <f>SUM(P214:P215)</f>
        <v>5.0000000000000001E-3</v>
      </c>
      <c r="Q213" s="613">
        <f>SUM(Q214:Q215)</f>
        <v>0</v>
      </c>
      <c r="R213" s="104">
        <f>SUM(R214:R215)</f>
        <v>0</v>
      </c>
      <c r="S213" s="125">
        <f>IFERROR(R213/$D$37,0)</f>
        <v>0</v>
      </c>
      <c r="T213" s="838"/>
      <c r="U213" s="302">
        <f>SUM(U214:U215)</f>
        <v>0.02</v>
      </c>
      <c r="V213" s="302">
        <f>SUM(V214:V215)</f>
        <v>0.02</v>
      </c>
      <c r="W213" s="613">
        <f>SUM(W214:W215)</f>
        <v>0</v>
      </c>
      <c r="X213" s="104">
        <f>SUM(X214:X215)</f>
        <v>0</v>
      </c>
    </row>
    <row r="214" spans="1:24" s="13" customFormat="1" ht="14.25" x14ac:dyDescent="0.2">
      <c r="A214" s="89" t="s">
        <v>48</v>
      </c>
      <c r="B214" s="98" t="s">
        <v>204</v>
      </c>
      <c r="C214" s="98"/>
      <c r="D214" s="98"/>
      <c r="E214" s="300">
        <v>7.4999999999999997E-3</v>
      </c>
      <c r="F214" s="300">
        <f>E214</f>
        <v>7.4999999999999997E-3</v>
      </c>
      <c r="G214" s="614">
        <f>F214*$F$175</f>
        <v>0</v>
      </c>
      <c r="H214" s="87">
        <f>+G214*$F$176</f>
        <v>0</v>
      </c>
      <c r="I214" s="838"/>
      <c r="J214" s="838"/>
      <c r="K214" s="89" t="s">
        <v>48</v>
      </c>
      <c r="L214" s="98" t="s">
        <v>204</v>
      </c>
      <c r="M214" s="98"/>
      <c r="N214" s="98"/>
      <c r="O214" s="300">
        <v>2.5000000000000001E-3</v>
      </c>
      <c r="P214" s="300">
        <f>O214</f>
        <v>2.5000000000000001E-3</v>
      </c>
      <c r="Q214" s="614">
        <f>P214*$F$175</f>
        <v>0</v>
      </c>
      <c r="R214" s="87">
        <f>+Q214*$F$176</f>
        <v>0</v>
      </c>
      <c r="S214" s="838"/>
      <c r="T214" s="838"/>
      <c r="U214" s="480">
        <f t="shared" ref="U214:X215" si="12">+E214+O214</f>
        <v>0.01</v>
      </c>
      <c r="V214" s="480">
        <f t="shared" si="12"/>
        <v>0.01</v>
      </c>
      <c r="W214" s="614">
        <f t="shared" si="12"/>
        <v>0</v>
      </c>
      <c r="X214" s="87">
        <f t="shared" si="12"/>
        <v>0</v>
      </c>
    </row>
    <row r="215" spans="1:24" s="13" customFormat="1" ht="14.25" x14ac:dyDescent="0.2">
      <c r="A215" s="117" t="s">
        <v>49</v>
      </c>
      <c r="B215" s="123" t="s">
        <v>205</v>
      </c>
      <c r="C215" s="123"/>
      <c r="D215" s="123"/>
      <c r="E215" s="479">
        <v>7.4999999999999997E-3</v>
      </c>
      <c r="F215" s="303">
        <f>E215</f>
        <v>7.4999999999999997E-3</v>
      </c>
      <c r="G215" s="615">
        <f>F215*$F$175</f>
        <v>0</v>
      </c>
      <c r="H215" s="91">
        <f>+G215*$F$176</f>
        <v>0</v>
      </c>
      <c r="I215" s="838"/>
      <c r="J215" s="838"/>
      <c r="K215" s="117" t="s">
        <v>49</v>
      </c>
      <c r="L215" s="123" t="s">
        <v>205</v>
      </c>
      <c r="M215" s="123"/>
      <c r="N215" s="123"/>
      <c r="O215" s="479">
        <v>2.5000000000000001E-3</v>
      </c>
      <c r="P215" s="303">
        <f>O215</f>
        <v>2.5000000000000001E-3</v>
      </c>
      <c r="Q215" s="615">
        <f>P215*$F$175</f>
        <v>0</v>
      </c>
      <c r="R215" s="91">
        <f>+Q215*$F$176</f>
        <v>0</v>
      </c>
      <c r="S215" s="838"/>
      <c r="T215" s="838"/>
      <c r="U215" s="481">
        <f t="shared" si="12"/>
        <v>0.01</v>
      </c>
      <c r="V215" s="481">
        <f t="shared" si="12"/>
        <v>0.01</v>
      </c>
      <c r="W215" s="615">
        <f t="shared" si="12"/>
        <v>0</v>
      </c>
      <c r="X215" s="91">
        <f t="shared" si="12"/>
        <v>0</v>
      </c>
    </row>
    <row r="216" spans="1:24" s="13" customFormat="1" ht="14.25" x14ac:dyDescent="0.2">
      <c r="A216" s="122">
        <v>6</v>
      </c>
      <c r="B216" s="102" t="s">
        <v>50</v>
      </c>
      <c r="C216" s="102"/>
      <c r="D216" s="102"/>
      <c r="E216" s="103"/>
      <c r="F216" s="305"/>
      <c r="G216" s="607"/>
      <c r="H216" s="104"/>
      <c r="I216" s="838"/>
      <c r="J216" s="838"/>
      <c r="K216" s="122">
        <v>6</v>
      </c>
      <c r="L216" s="102" t="s">
        <v>50</v>
      </c>
      <c r="M216" s="102"/>
      <c r="N216" s="102"/>
      <c r="O216" s="103"/>
      <c r="P216" s="305"/>
      <c r="Q216" s="607"/>
      <c r="R216" s="104"/>
      <c r="S216" s="838"/>
      <c r="T216" s="838"/>
      <c r="U216" s="103"/>
      <c r="V216" s="103"/>
      <c r="W216" s="839"/>
      <c r="X216" s="839"/>
    </row>
    <row r="217" spans="1:24" s="13" customFormat="1" ht="14.25" x14ac:dyDescent="0.2">
      <c r="A217" s="89" t="s">
        <v>54</v>
      </c>
      <c r="B217" s="98" t="s">
        <v>206</v>
      </c>
      <c r="C217" s="98"/>
      <c r="D217" s="98"/>
      <c r="E217" s="86"/>
      <c r="F217" s="86"/>
      <c r="G217" s="608"/>
      <c r="H217" s="87"/>
      <c r="I217" s="838"/>
      <c r="J217" s="838"/>
      <c r="K217" s="89" t="s">
        <v>54</v>
      </c>
      <c r="L217" s="98" t="s">
        <v>206</v>
      </c>
      <c r="M217" s="98"/>
      <c r="N217" s="98"/>
      <c r="O217" s="86"/>
      <c r="P217" s="86"/>
      <c r="Q217" s="608"/>
      <c r="R217" s="87"/>
      <c r="S217" s="838"/>
      <c r="T217" s="838"/>
      <c r="U217" s="86"/>
      <c r="V217" s="86"/>
      <c r="W217" s="840"/>
      <c r="X217" s="840"/>
    </row>
    <row r="218" spans="1:24" s="13" customFormat="1" ht="14.25" x14ac:dyDescent="0.2">
      <c r="A218" s="89" t="s">
        <v>55</v>
      </c>
      <c r="B218" s="98" t="s">
        <v>207</v>
      </c>
      <c r="C218" s="98"/>
      <c r="D218" s="98"/>
      <c r="E218" s="86"/>
      <c r="F218" s="86"/>
      <c r="G218" s="608"/>
      <c r="H218" s="87"/>
      <c r="I218" s="838"/>
      <c r="J218" s="838"/>
      <c r="K218" s="89" t="s">
        <v>55</v>
      </c>
      <c r="L218" s="98" t="s">
        <v>207</v>
      </c>
      <c r="M218" s="98"/>
      <c r="N218" s="98"/>
      <c r="O218" s="86"/>
      <c r="P218" s="86"/>
      <c r="Q218" s="608"/>
      <c r="R218" s="87"/>
      <c r="S218" s="838"/>
      <c r="T218" s="838"/>
      <c r="U218" s="86"/>
      <c r="V218" s="86"/>
      <c r="W218" s="840"/>
      <c r="X218" s="840"/>
    </row>
    <row r="219" spans="1:24" s="13" customFormat="1" ht="14.25" x14ac:dyDescent="0.2">
      <c r="A219" s="117" t="s">
        <v>56</v>
      </c>
      <c r="B219" s="123" t="s">
        <v>208</v>
      </c>
      <c r="C219" s="123"/>
      <c r="D219" s="123"/>
      <c r="E219" s="112"/>
      <c r="F219" s="112"/>
      <c r="G219" s="609"/>
      <c r="H219" s="91"/>
      <c r="I219" s="838"/>
      <c r="J219" s="838"/>
      <c r="K219" s="117" t="s">
        <v>56</v>
      </c>
      <c r="L219" s="123" t="s">
        <v>208</v>
      </c>
      <c r="M219" s="123"/>
      <c r="N219" s="123"/>
      <c r="O219" s="112"/>
      <c r="P219" s="112"/>
      <c r="Q219" s="609"/>
      <c r="R219" s="91"/>
      <c r="S219" s="838"/>
      <c r="T219" s="838"/>
      <c r="U219" s="112"/>
      <c r="V219" s="112"/>
      <c r="W219" s="841"/>
      <c r="X219" s="841"/>
    </row>
    <row r="220" spans="1:24" s="13" customFormat="1" ht="14.25" x14ac:dyDescent="0.2">
      <c r="A220" s="92"/>
      <c r="B220" s="93"/>
      <c r="C220" s="93"/>
      <c r="D220" s="93"/>
      <c r="E220" s="94"/>
      <c r="F220" s="94"/>
      <c r="G220" s="610"/>
      <c r="H220" s="93"/>
      <c r="I220" s="838"/>
      <c r="J220" s="838"/>
      <c r="K220" s="92"/>
      <c r="L220" s="93"/>
      <c r="M220" s="93"/>
      <c r="N220" s="93"/>
      <c r="O220" s="94"/>
      <c r="P220" s="94"/>
      <c r="Q220" s="610"/>
      <c r="R220" s="93"/>
      <c r="S220" s="838"/>
      <c r="T220" s="838"/>
      <c r="U220" s="94"/>
      <c r="V220" s="94"/>
      <c r="W220" s="838"/>
      <c r="X220" s="838"/>
    </row>
    <row r="221" spans="1:24" s="13" customFormat="1" ht="14.25" x14ac:dyDescent="0.2">
      <c r="A221" s="126"/>
      <c r="B221" s="127" t="s">
        <v>0</v>
      </c>
      <c r="C221" s="127"/>
      <c r="D221" s="127"/>
      <c r="E221" s="128">
        <f>E184+E187+E191+E199+E204+E213+E216</f>
        <v>0.8650000000000001</v>
      </c>
      <c r="F221" s="128">
        <f>F184+F187+F191+F199+F204+F213+F216</f>
        <v>0.8650000000000001</v>
      </c>
      <c r="G221" s="611">
        <f>G184+G187+G191+G199+G204+G213+G216</f>
        <v>0</v>
      </c>
      <c r="H221" s="129">
        <f>H184+H187+H191+H199+H204+H213+H216</f>
        <v>0</v>
      </c>
      <c r="I221" s="125">
        <f>IFERROR(H221/$D$37,0)</f>
        <v>0</v>
      </c>
      <c r="J221" s="838"/>
      <c r="K221" s="126"/>
      <c r="L221" s="127" t="s">
        <v>0</v>
      </c>
      <c r="M221" s="127"/>
      <c r="N221" s="127"/>
      <c r="O221" s="128">
        <f>O184+O187+O191+O199+O204+O213+O216</f>
        <v>0.13500000000000001</v>
      </c>
      <c r="P221" s="128">
        <f>P184+P187+P191+P199+P204+P213+P216</f>
        <v>0.13500000000000001</v>
      </c>
      <c r="Q221" s="611">
        <f>Q184+Q187+Q191+Q199+Q204+Q213+Q216</f>
        <v>0</v>
      </c>
      <c r="R221" s="129">
        <f>R184+R187+R191+R199+R204+R213+R216</f>
        <v>0</v>
      </c>
      <c r="S221" s="125">
        <f>IFERROR(R221/$D$37,0)</f>
        <v>0</v>
      </c>
      <c r="T221" s="838"/>
      <c r="U221" s="128">
        <f>U184+U187+U191+U199+U204+U213+U216</f>
        <v>1.0000000000000002</v>
      </c>
      <c r="V221" s="128">
        <f>V184+V187+V191+V199+V204+V213+V216</f>
        <v>1.0000000000000002</v>
      </c>
      <c r="W221" s="611">
        <f>W184+W187+W191+W199+W204+W213+W216</f>
        <v>0</v>
      </c>
      <c r="X221" s="129">
        <f>X184+X187+X191+X199+X204+X213+X216</f>
        <v>0</v>
      </c>
    </row>
    <row r="222" spans="1:24" s="13" customFormat="1" ht="14.25" x14ac:dyDescent="0.2">
      <c r="A222" s="29"/>
      <c r="B222" s="124"/>
      <c r="E222" s="30"/>
      <c r="G222" s="30"/>
    </row>
    <row r="223" spans="1:24" s="13" customFormat="1" ht="14.25" x14ac:dyDescent="0.2">
      <c r="A223" s="29"/>
      <c r="B223" s="124"/>
      <c r="E223" s="30"/>
      <c r="G223" s="30"/>
      <c r="H223" s="125"/>
    </row>
    <row r="224" spans="1:24" s="478" customFormat="1" x14ac:dyDescent="0.2">
      <c r="A224"/>
      <c r="B224"/>
      <c r="C224"/>
      <c r="D224"/>
      <c r="E224"/>
      <c r="F224"/>
      <c r="G224"/>
      <c r="H224" s="647"/>
      <c r="I224"/>
      <c r="J224"/>
      <c r="K224"/>
      <c r="L224"/>
      <c r="M224"/>
      <c r="N224"/>
      <c r="O224"/>
      <c r="P224"/>
      <c r="Q224"/>
      <c r="R224"/>
      <c r="S224"/>
    </row>
    <row r="225" spans="1:19" s="478" customFormat="1" x14ac:dyDescent="0.2">
      <c r="A225"/>
      <c r="B225"/>
      <c r="C225"/>
      <c r="D225"/>
      <c r="E225"/>
      <c r="F225"/>
      <c r="G225"/>
      <c r="H225" s="647"/>
      <c r="I225"/>
      <c r="J225"/>
      <c r="K225"/>
      <c r="L225"/>
      <c r="M225"/>
      <c r="N225"/>
      <c r="O225"/>
      <c r="P225"/>
      <c r="Q225"/>
      <c r="R225"/>
      <c r="S225"/>
    </row>
    <row r="226" spans="1:19" s="478" customFormat="1" x14ac:dyDescent="0.2">
      <c r="A226"/>
      <c r="B226"/>
      <c r="C226"/>
      <c r="D226"/>
      <c r="E226"/>
      <c r="F226"/>
      <c r="G226"/>
      <c r="H226" s="647"/>
      <c r="I226"/>
      <c r="J226" s="647"/>
      <c r="K226"/>
      <c r="L226"/>
      <c r="M226"/>
      <c r="N226"/>
      <c r="O226"/>
      <c r="P226"/>
      <c r="Q226"/>
      <c r="R226"/>
      <c r="S226"/>
    </row>
    <row r="229" spans="1:19" x14ac:dyDescent="0.2">
      <c r="J229" s="647"/>
    </row>
    <row r="230" spans="1:19" x14ac:dyDescent="0.2">
      <c r="N230" s="649"/>
    </row>
  </sheetData>
  <sheetProtection algorithmName="SHA-512" hashValue="xdSS1KNrOgO4wwssWUqa3HCDXCDxHsd2b4wGpqO3ZicI2msVLN+1C9v3md+WqjIm4rXvGH7EEOqkEkFFMT7GkA==" saltValue="N067AlAMIljXjpxXlJXm0A==" spinCount="100000" sheet="1" objects="1" scenarios="1"/>
  <mergeCells count="1">
    <mergeCell ref="B4:B5"/>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92"/>
  <sheetViews>
    <sheetView topLeftCell="A124" workbookViewId="0">
      <selection activeCell="I153" sqref="I153"/>
    </sheetView>
  </sheetViews>
  <sheetFormatPr defaultColWidth="9.140625" defaultRowHeight="12.75" x14ac:dyDescent="0.2"/>
  <cols>
    <col min="1" max="1" width="8.140625" style="75" customWidth="1"/>
    <col min="2" max="2" width="28.140625" style="75" customWidth="1"/>
    <col min="3" max="12" width="13.5703125" style="75" customWidth="1"/>
    <col min="13" max="17" width="9.140625" style="75"/>
    <col min="18" max="18" width="11" style="75" customWidth="1"/>
    <col min="19" max="23" width="9.140625" style="75"/>
    <col min="24" max="24" width="12.28515625" style="75" customWidth="1"/>
    <col min="25" max="16384" width="9.140625" style="75"/>
  </cols>
  <sheetData>
    <row r="1" spans="1:12" ht="23.25" x14ac:dyDescent="0.2">
      <c r="B1" s="723" t="s">
        <v>474</v>
      </c>
      <c r="C1" s="4"/>
      <c r="D1" s="4"/>
      <c r="E1" s="4"/>
      <c r="F1" s="4"/>
      <c r="G1" s="4"/>
      <c r="H1" s="4"/>
      <c r="I1"/>
      <c r="J1"/>
      <c r="K1"/>
      <c r="L1"/>
    </row>
    <row r="2" spans="1:12" ht="13.5" thickBot="1" x14ac:dyDescent="0.25"/>
    <row r="3" spans="1:12" s="77" customFormat="1" ht="18.75" x14ac:dyDescent="0.2">
      <c r="A3" s="807" t="s">
        <v>928</v>
      </c>
      <c r="B3" s="807"/>
      <c r="C3" s="807"/>
      <c r="D3" s="807"/>
      <c r="E3" s="807"/>
      <c r="F3" s="807"/>
      <c r="G3" s="807"/>
      <c r="H3" s="807"/>
      <c r="I3" s="807"/>
    </row>
    <row r="4" spans="1:12" s="77" customFormat="1" ht="18.75" x14ac:dyDescent="0.2">
      <c r="A4" s="856"/>
      <c r="B4" s="856"/>
      <c r="C4" s="856"/>
      <c r="D4" s="856"/>
      <c r="E4" s="856"/>
      <c r="F4" s="856"/>
      <c r="G4" s="856"/>
      <c r="H4" s="856"/>
      <c r="I4" s="856"/>
    </row>
    <row r="5" spans="1:12" s="77" customFormat="1" x14ac:dyDescent="0.2">
      <c r="A5" s="80"/>
      <c r="B5" s="538" t="s">
        <v>941</v>
      </c>
      <c r="C5" s="641">
        <f>'OSNOVNI PODATKI'!H233</f>
        <v>1</v>
      </c>
      <c r="D5" s="538" t="str">
        <f>IF(C5=1,'OSNOVNI PODATKI'!B233,'OSNOVNI PODATKI'!B234)</f>
        <v>MED SEBOJ POVEZANE UREDITVE (PRI IZRAČUNU POTREBNIH NU SE UPOŠTEVA SEŠTEVEK POVRŠIN)</v>
      </c>
      <c r="E5" s="498"/>
      <c r="F5" s="498"/>
      <c r="G5" s="207"/>
      <c r="H5" s="207"/>
      <c r="I5" s="207"/>
    </row>
    <row r="6" spans="1:12" s="77" customFormat="1" x14ac:dyDescent="0.2">
      <c r="A6" s="80"/>
      <c r="B6" s="538" t="s">
        <v>942</v>
      </c>
      <c r="C6" s="618">
        <f>'OSNOVNI PODATKI'!E347</f>
        <v>1000</v>
      </c>
      <c r="D6" s="538"/>
      <c r="E6" s="498"/>
      <c r="F6" s="498"/>
      <c r="G6" s="207"/>
      <c r="H6" s="207"/>
      <c r="I6" s="207"/>
    </row>
    <row r="7" spans="1:12" s="77" customFormat="1" x14ac:dyDescent="0.2">
      <c r="A7" s="80"/>
      <c r="D7" s="209"/>
      <c r="E7" s="209"/>
      <c r="F7" s="209"/>
    </row>
    <row r="8" spans="1:12" s="77" customFormat="1" x14ac:dyDescent="0.2">
      <c r="A8" s="80"/>
      <c r="B8" s="209" t="str">
        <f>'OSNOVNI PODATKI'!A236</f>
        <v>OBJEKT 1 / DEL 1</v>
      </c>
      <c r="C8" s="541">
        <f>'OSNOVNI PODATKI'!E236</f>
        <v>0</v>
      </c>
      <c r="D8" s="209"/>
      <c r="E8" s="209"/>
      <c r="F8" s="209"/>
    </row>
    <row r="9" spans="1:12" s="77" customFormat="1" x14ac:dyDescent="0.2">
      <c r="A9" s="80"/>
      <c r="B9" s="202" t="s">
        <v>718</v>
      </c>
      <c r="C9" s="84" t="str">
        <f>'OSNOVNI PODATKI'!E237</f>
        <v>Pripadajoče površine ob stavbah ter drugih objektih in napravah, vrtovi in ureditve z nizkimi ali povprečnimi zahtevami</v>
      </c>
      <c r="D9" s="498"/>
      <c r="E9" s="498"/>
      <c r="F9" s="498"/>
      <c r="G9" s="498"/>
      <c r="H9" s="498"/>
      <c r="I9" s="498"/>
    </row>
    <row r="10" spans="1:12" s="77" customFormat="1" x14ac:dyDescent="0.2">
      <c r="A10" s="80"/>
      <c r="B10" s="202" t="s">
        <v>943</v>
      </c>
      <c r="C10" s="84">
        <f>'OSNOVNI PODATKI'!E238</f>
        <v>1000</v>
      </c>
      <c r="D10" s="498"/>
      <c r="E10" s="498"/>
      <c r="F10" s="498"/>
      <c r="G10" s="498"/>
      <c r="H10" s="498"/>
      <c r="I10" s="498"/>
    </row>
    <row r="11" spans="1:12" s="77" customFormat="1" x14ac:dyDescent="0.2">
      <c r="A11" s="80"/>
      <c r="B11" s="202" t="s">
        <v>944</v>
      </c>
      <c r="C11" s="84">
        <f>IF($C$5=1,$C$6,C10)</f>
        <v>1000</v>
      </c>
      <c r="D11" s="498"/>
      <c r="E11" s="498"/>
      <c r="F11" s="498"/>
      <c r="G11" s="498"/>
      <c r="H11" s="498"/>
      <c r="I11" s="498"/>
    </row>
    <row r="12" spans="1:12" s="77" customFormat="1" x14ac:dyDescent="0.2">
      <c r="A12" s="80"/>
      <c r="B12" s="538" t="s">
        <v>878</v>
      </c>
      <c r="C12" s="644">
        <f>'OSNOVNI PODATKI'!E241</f>
        <v>-10</v>
      </c>
      <c r="D12" s="498"/>
      <c r="E12" s="498"/>
      <c r="F12" s="498"/>
      <c r="G12" s="498"/>
      <c r="H12" s="498"/>
      <c r="I12" s="498"/>
    </row>
    <row r="13" spans="1:12" s="77" customFormat="1" x14ac:dyDescent="0.2">
      <c r="A13" s="80"/>
      <c r="B13" s="538" t="s">
        <v>1033</v>
      </c>
      <c r="C13" s="1297">
        <f>C11*(100+C12)</f>
        <v>90000</v>
      </c>
      <c r="D13" s="498"/>
      <c r="E13" s="498"/>
      <c r="F13" s="498"/>
      <c r="G13" s="498"/>
      <c r="H13" s="498"/>
      <c r="I13" s="498"/>
    </row>
    <row r="14" spans="1:12" s="77" customFormat="1" x14ac:dyDescent="0.2">
      <c r="A14" s="80"/>
      <c r="B14" s="202" t="s">
        <v>116</v>
      </c>
      <c r="C14" s="84" t="str">
        <f>'OSNOVNI PODATKI'!E239</f>
        <v>Cenovni razred II</v>
      </c>
      <c r="D14" s="498"/>
      <c r="E14" s="498"/>
      <c r="F14" s="498"/>
      <c r="G14" s="498"/>
      <c r="H14" s="498"/>
      <c r="I14" s="498"/>
    </row>
    <row r="15" spans="1:12" s="77" customFormat="1" x14ac:dyDescent="0.2">
      <c r="A15" s="80"/>
      <c r="B15" s="530" t="s">
        <v>84</v>
      </c>
      <c r="C15" s="531">
        <f>IFERROR(0.0141*POWER(C13,0.8228)/C11,"/")</f>
        <v>0.16810082676518001</v>
      </c>
      <c r="D15" s="532" t="s">
        <v>871</v>
      </c>
      <c r="E15" s="209"/>
      <c r="F15" s="209"/>
    </row>
    <row r="16" spans="1:12" s="77" customFormat="1" x14ac:dyDescent="0.2">
      <c r="A16" s="80"/>
      <c r="B16" s="533" t="s">
        <v>85</v>
      </c>
      <c r="C16" s="534">
        <f>IFERROR(0.0171*POWER(C13,0.8213)/C11,"/")</f>
        <v>0.20040819816816821</v>
      </c>
      <c r="D16" s="497" t="s">
        <v>871</v>
      </c>
      <c r="E16" s="209"/>
      <c r="F16" s="209"/>
    </row>
    <row r="17" spans="1:9" s="77" customFormat="1" x14ac:dyDescent="0.2">
      <c r="A17" s="80"/>
      <c r="B17" s="533" t="s">
        <v>86</v>
      </c>
      <c r="C17" s="534">
        <f>IFERROR(0.0201*POWER(C13,0.8232)/C11,"/")</f>
        <v>0.24072904402873388</v>
      </c>
      <c r="D17" s="497" t="s">
        <v>871</v>
      </c>
      <c r="E17" s="209"/>
      <c r="F17" s="209"/>
    </row>
    <row r="18" spans="1:9" s="77" customFormat="1" x14ac:dyDescent="0.2">
      <c r="A18" s="80"/>
      <c r="B18" s="533" t="s">
        <v>87</v>
      </c>
      <c r="C18" s="534">
        <f>IFERROR(0.0246*POWER(C13,0.8244)/C11,"/")</f>
        <v>0.29868446291044687</v>
      </c>
      <c r="D18" s="497" t="s">
        <v>871</v>
      </c>
      <c r="E18" s="209"/>
      <c r="F18" s="209"/>
    </row>
    <row r="19" spans="1:9" s="77" customFormat="1" x14ac:dyDescent="0.2">
      <c r="A19" s="80"/>
      <c r="B19" s="533" t="s">
        <v>88</v>
      </c>
      <c r="C19" s="534">
        <f>IFERROR(0.0304*POWER(C13,0.818)/C11,"/")</f>
        <v>0.34311835912137711</v>
      </c>
      <c r="D19" s="497" t="s">
        <v>871</v>
      </c>
      <c r="E19" s="209"/>
      <c r="F19" s="209"/>
    </row>
    <row r="20" spans="1:9" s="77" customFormat="1" x14ac:dyDescent="0.2">
      <c r="A20" s="80"/>
      <c r="B20" s="535" t="s">
        <v>877</v>
      </c>
      <c r="C20" s="534">
        <f>IFERROR(0.034*POWER(C13,0.8163)/C11,"/")</f>
        <v>0.37638046762271798</v>
      </c>
      <c r="D20" s="495" t="s">
        <v>871</v>
      </c>
      <c r="E20" s="209"/>
      <c r="F20" s="209"/>
    </row>
    <row r="21" spans="1:9" s="77" customFormat="1" x14ac:dyDescent="0.2">
      <c r="A21" s="80"/>
      <c r="C21" s="84"/>
      <c r="D21" s="498"/>
      <c r="E21" s="498"/>
      <c r="F21" s="498"/>
      <c r="G21" s="498"/>
      <c r="H21" s="498"/>
      <c r="I21" s="498"/>
    </row>
    <row r="22" spans="1:9" s="77" customFormat="1" ht="14.25" x14ac:dyDescent="0.2">
      <c r="B22" s="84" t="s">
        <v>879</v>
      </c>
      <c r="C22" s="515">
        <f>IFERROR(LOOKUP(C14,B15:C19),"/")</f>
        <v>0.20040819816816821</v>
      </c>
      <c r="D22" s="384" t="s">
        <v>870</v>
      </c>
      <c r="E22" s="498"/>
      <c r="F22" s="498"/>
      <c r="G22" s="498"/>
      <c r="H22" s="498"/>
      <c r="I22" s="498"/>
    </row>
    <row r="23" spans="1:9" s="77" customFormat="1" ht="14.25" x14ac:dyDescent="0.2">
      <c r="B23" s="84" t="s">
        <v>880</v>
      </c>
      <c r="C23" s="515" cm="1">
        <f t="array" ref="C23">IFERROR(INDEX(C15:C20,MATCH(C14,B15:B19)+1),"/")</f>
        <v>0.24072904402873388</v>
      </c>
      <c r="D23" s="384" t="s">
        <v>870</v>
      </c>
      <c r="E23" s="498"/>
      <c r="F23" s="498"/>
      <c r="G23" s="498"/>
      <c r="H23" s="498"/>
      <c r="I23" s="498"/>
    </row>
    <row r="24" spans="1:9" s="77" customFormat="1" x14ac:dyDescent="0.2">
      <c r="B24" s="84" t="s">
        <v>732</v>
      </c>
      <c r="C24" s="539">
        <f>IFERROR(ROUND(C22*C10,0),0)</f>
        <v>200</v>
      </c>
      <c r="D24" s="384" t="s">
        <v>872</v>
      </c>
      <c r="E24" s="498"/>
      <c r="F24" s="498"/>
      <c r="G24" s="498"/>
      <c r="H24" s="498"/>
      <c r="I24" s="498"/>
    </row>
    <row r="25" spans="1:9" s="77" customFormat="1" x14ac:dyDescent="0.2">
      <c r="B25" s="84" t="s">
        <v>733</v>
      </c>
      <c r="C25" s="539">
        <f>IFERROR(ROUND(C23*C10,0),0)</f>
        <v>241</v>
      </c>
      <c r="D25" s="384" t="s">
        <v>872</v>
      </c>
      <c r="E25" s="498"/>
      <c r="F25" s="498"/>
      <c r="G25" s="498"/>
      <c r="H25" s="498"/>
      <c r="I25" s="498"/>
    </row>
    <row r="26" spans="1:9" s="77" customFormat="1" x14ac:dyDescent="0.2">
      <c r="A26" s="80"/>
      <c r="C26" s="296"/>
      <c r="D26" s="209"/>
      <c r="E26" s="209"/>
      <c r="F26" s="209"/>
    </row>
    <row r="27" spans="1:9" s="77" customFormat="1" x14ac:dyDescent="0.2">
      <c r="A27" s="80"/>
      <c r="B27" s="209" t="str">
        <f>'OSNOVNI PODATKI'!A254</f>
        <v>OBJEKT 2 / DEL 2</v>
      </c>
      <c r="C27" s="541">
        <f>'OSNOVNI PODATKI'!E254</f>
        <v>0</v>
      </c>
      <c r="D27" s="209"/>
      <c r="E27" s="209"/>
      <c r="F27" s="209"/>
    </row>
    <row r="28" spans="1:9" s="77" customFormat="1" x14ac:dyDescent="0.2">
      <c r="A28" s="80"/>
      <c r="B28" s="202" t="s">
        <v>718</v>
      </c>
      <c r="C28" s="84" t="str">
        <f>'OSNOVNI PODATKI'!E255</f>
        <v>Pripadajoče površine ob stavbah ter drugih objektih in napravah, vrtovi in ureditve z nizkimi ali povprečnimi zahtevami</v>
      </c>
      <c r="D28" s="498"/>
      <c r="E28" s="498"/>
      <c r="F28" s="498"/>
      <c r="G28" s="498"/>
      <c r="H28" s="498"/>
      <c r="I28" s="498"/>
    </row>
    <row r="29" spans="1:9" s="77" customFormat="1" x14ac:dyDescent="0.2">
      <c r="A29" s="80"/>
      <c r="B29" s="202" t="s">
        <v>943</v>
      </c>
      <c r="C29" s="84">
        <f>'OSNOVNI PODATKI'!E256</f>
        <v>0</v>
      </c>
      <c r="D29" s="498"/>
      <c r="E29" s="498"/>
      <c r="F29" s="498"/>
      <c r="G29" s="498"/>
      <c r="H29" s="498"/>
      <c r="I29" s="498"/>
    </row>
    <row r="30" spans="1:9" s="77" customFormat="1" x14ac:dyDescent="0.2">
      <c r="A30" s="80"/>
      <c r="B30" s="202" t="s">
        <v>944</v>
      </c>
      <c r="C30" s="84">
        <f>IF($C$5=1,$C$6,C29)</f>
        <v>1000</v>
      </c>
      <c r="D30" s="498"/>
      <c r="E30" s="498"/>
      <c r="F30" s="498"/>
      <c r="G30" s="498"/>
      <c r="H30" s="498"/>
      <c r="I30" s="498"/>
    </row>
    <row r="31" spans="1:9" s="77" customFormat="1" x14ac:dyDescent="0.2">
      <c r="A31" s="80"/>
      <c r="B31" s="538" t="s">
        <v>878</v>
      </c>
      <c r="C31" s="644">
        <f>'OSNOVNI PODATKI'!E259</f>
        <v>-10</v>
      </c>
      <c r="D31" s="498"/>
      <c r="E31" s="498"/>
      <c r="F31" s="498"/>
      <c r="G31" s="498"/>
      <c r="H31" s="498"/>
      <c r="I31" s="498"/>
    </row>
    <row r="32" spans="1:9" s="77" customFormat="1" x14ac:dyDescent="0.2">
      <c r="A32" s="80"/>
      <c r="B32" s="538" t="s">
        <v>1033</v>
      </c>
      <c r="C32" s="1297">
        <f>C30*(100+C31)</f>
        <v>90000</v>
      </c>
      <c r="D32" s="498"/>
      <c r="E32" s="498"/>
      <c r="F32" s="498"/>
      <c r="G32" s="498"/>
      <c r="H32" s="498"/>
      <c r="I32" s="498"/>
    </row>
    <row r="33" spans="1:9" s="77" customFormat="1" x14ac:dyDescent="0.2">
      <c r="A33" s="80"/>
      <c r="B33" s="202" t="s">
        <v>116</v>
      </c>
      <c r="C33" s="84" t="str">
        <f>'OSNOVNI PODATKI'!E257</f>
        <v>Cenovni razred II</v>
      </c>
      <c r="D33" s="498"/>
      <c r="E33" s="498"/>
      <c r="F33" s="498"/>
      <c r="G33" s="498"/>
      <c r="H33" s="498"/>
      <c r="I33" s="498"/>
    </row>
    <row r="34" spans="1:9" s="77" customFormat="1" x14ac:dyDescent="0.2">
      <c r="A34" s="80"/>
      <c r="B34" s="530" t="s">
        <v>84</v>
      </c>
      <c r="C34" s="531">
        <f>IFERROR(0.0141*POWER(C32,0.8228)/C30,"/")</f>
        <v>0.16810082676518001</v>
      </c>
      <c r="D34" s="532" t="s">
        <v>871</v>
      </c>
      <c r="E34" s="209"/>
      <c r="F34" s="209"/>
    </row>
    <row r="35" spans="1:9" s="77" customFormat="1" x14ac:dyDescent="0.2">
      <c r="A35" s="80"/>
      <c r="B35" s="533" t="s">
        <v>85</v>
      </c>
      <c r="C35" s="534">
        <f>IFERROR(0.0171*POWER(C32,0.8213)/C30,"/")</f>
        <v>0.20040819816816821</v>
      </c>
      <c r="D35" s="497" t="s">
        <v>871</v>
      </c>
      <c r="E35" s="209"/>
      <c r="F35" s="209"/>
    </row>
    <row r="36" spans="1:9" s="77" customFormat="1" x14ac:dyDescent="0.2">
      <c r="A36" s="80"/>
      <c r="B36" s="533" t="s">
        <v>86</v>
      </c>
      <c r="C36" s="534">
        <f>IFERROR(0.0201*POWER(C32,0.8232)/C30,"/")</f>
        <v>0.24072904402873388</v>
      </c>
      <c r="D36" s="497" t="s">
        <v>871</v>
      </c>
      <c r="E36" s="209"/>
      <c r="F36" s="209"/>
    </row>
    <row r="37" spans="1:9" s="77" customFormat="1" x14ac:dyDescent="0.2">
      <c r="A37" s="80"/>
      <c r="B37" s="533" t="s">
        <v>87</v>
      </c>
      <c r="C37" s="534">
        <f>IFERROR(0.0246*POWER(C32,0.8244)/C30,"/")</f>
        <v>0.29868446291044687</v>
      </c>
      <c r="D37" s="497" t="s">
        <v>871</v>
      </c>
      <c r="E37" s="209"/>
      <c r="F37" s="209"/>
    </row>
    <row r="38" spans="1:9" s="77" customFormat="1" x14ac:dyDescent="0.2">
      <c r="A38" s="80"/>
      <c r="B38" s="533" t="s">
        <v>88</v>
      </c>
      <c r="C38" s="534">
        <f>IFERROR(0.0304*POWER(C32,0.818)/C30,"/")</f>
        <v>0.34311835912137711</v>
      </c>
      <c r="D38" s="497" t="s">
        <v>871</v>
      </c>
      <c r="E38" s="209"/>
      <c r="F38" s="209"/>
    </row>
    <row r="39" spans="1:9" s="77" customFormat="1" x14ac:dyDescent="0.2">
      <c r="A39" s="80"/>
      <c r="B39" s="535" t="s">
        <v>877</v>
      </c>
      <c r="C39" s="534">
        <f>IFERROR(0.034*POWER(C32,0.8163)/C30,"/")</f>
        <v>0.37638046762271798</v>
      </c>
      <c r="D39" s="495" t="s">
        <v>871</v>
      </c>
      <c r="E39" s="209"/>
      <c r="F39" s="209"/>
    </row>
    <row r="40" spans="1:9" s="77" customFormat="1" x14ac:dyDescent="0.2">
      <c r="A40" s="80"/>
      <c r="C40" s="84"/>
      <c r="D40" s="498"/>
      <c r="E40" s="498"/>
      <c r="F40" s="498"/>
      <c r="G40" s="498"/>
      <c r="H40" s="498"/>
      <c r="I40" s="498"/>
    </row>
    <row r="41" spans="1:9" s="77" customFormat="1" ht="14.25" x14ac:dyDescent="0.2">
      <c r="B41" s="84" t="s">
        <v>879</v>
      </c>
      <c r="C41" s="515">
        <f>IFERROR(LOOKUP(C33,B34:C38),"/")</f>
        <v>0.20040819816816821</v>
      </c>
      <c r="D41" s="384" t="s">
        <v>870</v>
      </c>
      <c r="E41" s="498"/>
      <c r="F41" s="498"/>
      <c r="G41" s="498"/>
      <c r="H41" s="498"/>
      <c r="I41" s="498"/>
    </row>
    <row r="42" spans="1:9" s="77" customFormat="1" ht="14.25" x14ac:dyDescent="0.2">
      <c r="B42" s="84" t="s">
        <v>880</v>
      </c>
      <c r="C42" s="515" cm="1">
        <f t="array" ref="C42">IFERROR(INDEX(C34:C39,MATCH(C33,B34:B38)+1),"/")</f>
        <v>0.24072904402873388</v>
      </c>
      <c r="D42" s="384" t="s">
        <v>870</v>
      </c>
      <c r="E42" s="498"/>
      <c r="F42" s="498"/>
      <c r="G42" s="498"/>
      <c r="H42" s="498"/>
      <c r="I42" s="498"/>
    </row>
    <row r="43" spans="1:9" s="77" customFormat="1" x14ac:dyDescent="0.2">
      <c r="B43" s="84" t="s">
        <v>732</v>
      </c>
      <c r="C43" s="539">
        <f>IFERROR(ROUND(C41*C29,0),0)</f>
        <v>0</v>
      </c>
      <c r="D43" s="384" t="s">
        <v>872</v>
      </c>
      <c r="E43" s="498"/>
      <c r="F43" s="498"/>
      <c r="G43" s="498"/>
      <c r="H43" s="498"/>
      <c r="I43" s="498"/>
    </row>
    <row r="44" spans="1:9" s="77" customFormat="1" x14ac:dyDescent="0.2">
      <c r="B44" s="84" t="s">
        <v>733</v>
      </c>
      <c r="C44" s="539">
        <f>IFERROR(ROUND(C42*C29,0),0)</f>
        <v>0</v>
      </c>
      <c r="D44" s="384" t="s">
        <v>872</v>
      </c>
      <c r="E44" s="498"/>
      <c r="F44" s="498"/>
      <c r="G44" s="498"/>
      <c r="H44" s="498"/>
      <c r="I44" s="498"/>
    </row>
    <row r="45" spans="1:9" s="77" customFormat="1" x14ac:dyDescent="0.2">
      <c r="A45" s="80"/>
      <c r="C45" s="209"/>
      <c r="D45" s="209"/>
      <c r="E45" s="209"/>
      <c r="F45" s="209"/>
    </row>
    <row r="46" spans="1:9" s="77" customFormat="1" x14ac:dyDescent="0.2">
      <c r="A46" s="80"/>
      <c r="B46" s="209" t="str">
        <f>'OSNOVNI PODATKI'!A272</f>
        <v>OBJEKT 3 / DEL 3</v>
      </c>
      <c r="C46" s="541">
        <f>'OSNOVNI PODATKI'!E272</f>
        <v>0</v>
      </c>
      <c r="D46" s="209"/>
      <c r="E46" s="209"/>
      <c r="F46" s="209"/>
    </row>
    <row r="47" spans="1:9" s="77" customFormat="1" x14ac:dyDescent="0.2">
      <c r="A47" s="80"/>
      <c r="B47" s="202" t="s">
        <v>718</v>
      </c>
      <c r="C47" s="84" t="str">
        <f>'OSNOVNI PODATKI'!E273</f>
        <v>Pripadajoče površine ob stavbah ter drugih objektih in napravah, vrtovi in ureditve z nizkimi ali povprečnimi zahtevami</v>
      </c>
      <c r="D47" s="498"/>
      <c r="E47" s="498"/>
      <c r="F47" s="498"/>
      <c r="G47" s="498"/>
      <c r="H47" s="498"/>
      <c r="I47" s="498"/>
    </row>
    <row r="48" spans="1:9" s="77" customFormat="1" x14ac:dyDescent="0.2">
      <c r="A48" s="80"/>
      <c r="B48" s="202" t="s">
        <v>943</v>
      </c>
      <c r="C48" s="84">
        <f>'OSNOVNI PODATKI'!E274</f>
        <v>0</v>
      </c>
      <c r="D48" s="498"/>
      <c r="E48" s="498"/>
      <c r="F48" s="498"/>
      <c r="G48" s="498"/>
      <c r="H48" s="498"/>
      <c r="I48" s="498"/>
    </row>
    <row r="49" spans="1:9" s="77" customFormat="1" x14ac:dyDescent="0.2">
      <c r="A49" s="80"/>
      <c r="B49" s="202" t="s">
        <v>944</v>
      </c>
      <c r="C49" s="84">
        <f>IF($C$5=1,$C$6,C48)</f>
        <v>1000</v>
      </c>
      <c r="D49" s="498"/>
      <c r="E49" s="498"/>
      <c r="F49" s="498"/>
      <c r="G49" s="498"/>
      <c r="H49" s="498"/>
      <c r="I49" s="498"/>
    </row>
    <row r="50" spans="1:9" s="77" customFormat="1" x14ac:dyDescent="0.2">
      <c r="A50" s="80"/>
      <c r="B50" s="538" t="s">
        <v>878</v>
      </c>
      <c r="C50" s="644">
        <f>'OSNOVNI PODATKI'!E277</f>
        <v>-10</v>
      </c>
      <c r="D50" s="498"/>
      <c r="E50" s="498"/>
      <c r="F50" s="498"/>
      <c r="G50" s="498"/>
      <c r="H50" s="498"/>
      <c r="I50" s="498"/>
    </row>
    <row r="51" spans="1:9" s="77" customFormat="1" x14ac:dyDescent="0.2">
      <c r="A51" s="80"/>
      <c r="B51" s="538" t="s">
        <v>1033</v>
      </c>
      <c r="C51" s="1297">
        <f>C49*(100+C50)</f>
        <v>90000</v>
      </c>
      <c r="D51" s="498"/>
      <c r="E51" s="498"/>
      <c r="F51" s="498"/>
      <c r="G51" s="498"/>
      <c r="H51" s="498"/>
      <c r="I51" s="498"/>
    </row>
    <row r="52" spans="1:9" s="77" customFormat="1" x14ac:dyDescent="0.2">
      <c r="A52" s="80"/>
      <c r="B52" s="202" t="s">
        <v>116</v>
      </c>
      <c r="C52" s="84" t="str">
        <f>'OSNOVNI PODATKI'!E275</f>
        <v>Cenovni razred II</v>
      </c>
      <c r="D52" s="498"/>
      <c r="E52" s="498"/>
      <c r="F52" s="498"/>
      <c r="G52" s="498"/>
      <c r="H52" s="498"/>
      <c r="I52" s="498"/>
    </row>
    <row r="53" spans="1:9" s="77" customFormat="1" x14ac:dyDescent="0.2">
      <c r="A53" s="80"/>
      <c r="B53" s="530" t="s">
        <v>84</v>
      </c>
      <c r="C53" s="531">
        <f>IFERROR(0.0141*POWER(C51,0.8228)/C49,"/")</f>
        <v>0.16810082676518001</v>
      </c>
      <c r="D53" s="532" t="s">
        <v>871</v>
      </c>
      <c r="E53" s="209"/>
      <c r="F53" s="209"/>
    </row>
    <row r="54" spans="1:9" s="77" customFormat="1" x14ac:dyDescent="0.2">
      <c r="A54" s="80"/>
      <c r="B54" s="533" t="s">
        <v>85</v>
      </c>
      <c r="C54" s="534">
        <f>IFERROR(0.0171*POWER(C51,0.8213)/C49,"/")</f>
        <v>0.20040819816816821</v>
      </c>
      <c r="D54" s="497" t="s">
        <v>871</v>
      </c>
      <c r="E54" s="209"/>
      <c r="F54" s="209"/>
    </row>
    <row r="55" spans="1:9" s="77" customFormat="1" x14ac:dyDescent="0.2">
      <c r="A55" s="80"/>
      <c r="B55" s="533" t="s">
        <v>86</v>
      </c>
      <c r="C55" s="534">
        <f>IFERROR(0.0201*POWER(C51,0.8232)/C49,"/")</f>
        <v>0.24072904402873388</v>
      </c>
      <c r="D55" s="497" t="s">
        <v>871</v>
      </c>
      <c r="E55" s="209"/>
      <c r="F55" s="209"/>
    </row>
    <row r="56" spans="1:9" s="77" customFormat="1" x14ac:dyDescent="0.2">
      <c r="A56" s="80"/>
      <c r="B56" s="533" t="s">
        <v>87</v>
      </c>
      <c r="C56" s="534">
        <f>IFERROR(0.0246*POWER(C51,0.8244)/C49,"/")</f>
        <v>0.29868446291044687</v>
      </c>
      <c r="D56" s="497" t="s">
        <v>871</v>
      </c>
      <c r="E56" s="209"/>
      <c r="F56" s="209"/>
    </row>
    <row r="57" spans="1:9" s="77" customFormat="1" x14ac:dyDescent="0.2">
      <c r="A57" s="80"/>
      <c r="B57" s="533" t="s">
        <v>88</v>
      </c>
      <c r="C57" s="534">
        <f>IFERROR(0.0304*POWER(C51,0.818)/C49,"/")</f>
        <v>0.34311835912137711</v>
      </c>
      <c r="D57" s="497" t="s">
        <v>871</v>
      </c>
      <c r="E57" s="209"/>
      <c r="F57" s="209"/>
    </row>
    <row r="58" spans="1:9" s="77" customFormat="1" x14ac:dyDescent="0.2">
      <c r="A58" s="80"/>
      <c r="B58" s="535" t="s">
        <v>877</v>
      </c>
      <c r="C58" s="534">
        <f>IFERROR(0.034*POWER(C51,0.8163)/C49,"/")</f>
        <v>0.37638046762271798</v>
      </c>
      <c r="D58" s="495" t="s">
        <v>871</v>
      </c>
      <c r="E58" s="209"/>
      <c r="F58" s="209"/>
    </row>
    <row r="59" spans="1:9" s="77" customFormat="1" x14ac:dyDescent="0.2">
      <c r="A59" s="80"/>
      <c r="C59" s="84"/>
      <c r="D59" s="498"/>
      <c r="E59" s="498"/>
      <c r="F59" s="498"/>
      <c r="G59" s="498"/>
      <c r="H59" s="498"/>
      <c r="I59" s="498"/>
    </row>
    <row r="60" spans="1:9" s="77" customFormat="1" ht="14.25" x14ac:dyDescent="0.2">
      <c r="B60" s="84" t="s">
        <v>879</v>
      </c>
      <c r="C60" s="515">
        <f>IFERROR(LOOKUP(C52,B53:C57),"/")</f>
        <v>0.20040819816816821</v>
      </c>
      <c r="D60" s="384" t="s">
        <v>870</v>
      </c>
      <c r="E60" s="498"/>
      <c r="F60" s="498"/>
      <c r="G60" s="498"/>
      <c r="H60" s="498"/>
      <c r="I60" s="498"/>
    </row>
    <row r="61" spans="1:9" s="77" customFormat="1" ht="14.25" x14ac:dyDescent="0.2">
      <c r="B61" s="84" t="s">
        <v>880</v>
      </c>
      <c r="C61" s="515" cm="1">
        <f t="array" ref="C61">IFERROR(INDEX(C53:C58,MATCH(C52,B53:B57)+1),"/")</f>
        <v>0.24072904402873388</v>
      </c>
      <c r="D61" s="384" t="s">
        <v>870</v>
      </c>
      <c r="E61" s="498"/>
      <c r="F61" s="498"/>
      <c r="G61" s="498"/>
      <c r="H61" s="498"/>
      <c r="I61" s="498"/>
    </row>
    <row r="62" spans="1:9" s="77" customFormat="1" x14ac:dyDescent="0.2">
      <c r="B62" s="84" t="s">
        <v>732</v>
      </c>
      <c r="C62" s="539">
        <f>IFERROR(ROUND(C60*C48,0),0)</f>
        <v>0</v>
      </c>
      <c r="D62" s="384" t="s">
        <v>872</v>
      </c>
      <c r="E62" s="498"/>
      <c r="F62" s="498"/>
      <c r="G62" s="498"/>
      <c r="H62" s="498"/>
      <c r="I62" s="498"/>
    </row>
    <row r="63" spans="1:9" s="77" customFormat="1" x14ac:dyDescent="0.2">
      <c r="B63" s="84" t="s">
        <v>733</v>
      </c>
      <c r="C63" s="539">
        <f>IFERROR(ROUND(C61*C48,0),0)</f>
        <v>0</v>
      </c>
      <c r="D63" s="384" t="s">
        <v>872</v>
      </c>
      <c r="E63" s="498"/>
      <c r="F63" s="498"/>
      <c r="G63" s="498"/>
      <c r="H63" s="498"/>
      <c r="I63" s="498"/>
    </row>
    <row r="64" spans="1:9" s="77" customFormat="1" x14ac:dyDescent="0.2">
      <c r="A64" s="80"/>
      <c r="C64" s="209"/>
      <c r="D64" s="209"/>
      <c r="E64" s="209"/>
      <c r="F64" s="209"/>
    </row>
    <row r="65" spans="1:9" s="77" customFormat="1" x14ac:dyDescent="0.2">
      <c r="A65" s="80"/>
      <c r="B65" s="209" t="str">
        <f>'OSNOVNI PODATKI'!A290</f>
        <v>OBJEKT 4 / DEL 4</v>
      </c>
      <c r="C65" s="541">
        <f>'OSNOVNI PODATKI'!E290</f>
        <v>0</v>
      </c>
      <c r="D65" s="209"/>
      <c r="E65" s="209"/>
      <c r="F65" s="209"/>
    </row>
    <row r="66" spans="1:9" s="77" customFormat="1" x14ac:dyDescent="0.2">
      <c r="A66" s="80"/>
      <c r="B66" s="202" t="s">
        <v>718</v>
      </c>
      <c r="C66" s="84" t="str">
        <f>'OSNOVNI PODATKI'!E291</f>
        <v>Pripadajoče površine ob stavbah ter drugih objektih in napravah, vrtovi in ureditve z nizkimi ali povprečnimi zahtevami</v>
      </c>
      <c r="D66" s="498"/>
      <c r="E66" s="498"/>
      <c r="F66" s="498"/>
      <c r="G66" s="498"/>
      <c r="H66" s="498"/>
      <c r="I66" s="498"/>
    </row>
    <row r="67" spans="1:9" s="77" customFormat="1" x14ac:dyDescent="0.2">
      <c r="A67" s="80"/>
      <c r="B67" s="202" t="s">
        <v>943</v>
      </c>
      <c r="C67" s="84">
        <f>'OSNOVNI PODATKI'!E292</f>
        <v>0</v>
      </c>
      <c r="D67" s="498"/>
      <c r="E67" s="498"/>
      <c r="F67" s="498"/>
      <c r="G67" s="498"/>
      <c r="H67" s="498"/>
      <c r="I67" s="498"/>
    </row>
    <row r="68" spans="1:9" s="77" customFormat="1" x14ac:dyDescent="0.2">
      <c r="A68" s="80"/>
      <c r="B68" s="202" t="s">
        <v>944</v>
      </c>
      <c r="C68" s="84">
        <f>IF($C$5=1,$C$6,C67)</f>
        <v>1000</v>
      </c>
      <c r="D68" s="498"/>
      <c r="E68" s="498"/>
      <c r="F68" s="498"/>
      <c r="G68" s="498"/>
      <c r="H68" s="498"/>
      <c r="I68" s="498"/>
    </row>
    <row r="69" spans="1:9" s="77" customFormat="1" x14ac:dyDescent="0.2">
      <c r="A69" s="80"/>
      <c r="B69" s="538" t="s">
        <v>878</v>
      </c>
      <c r="C69" s="644">
        <f>'OSNOVNI PODATKI'!E295</f>
        <v>-10</v>
      </c>
      <c r="D69" s="498"/>
      <c r="E69" s="498"/>
      <c r="F69" s="498"/>
      <c r="G69" s="498"/>
      <c r="H69" s="498"/>
      <c r="I69" s="498"/>
    </row>
    <row r="70" spans="1:9" s="77" customFormat="1" x14ac:dyDescent="0.2">
      <c r="A70" s="80"/>
      <c r="B70" s="538" t="s">
        <v>1033</v>
      </c>
      <c r="C70" s="1297">
        <f>C68*(100+C69)</f>
        <v>90000</v>
      </c>
      <c r="D70" s="498"/>
      <c r="E70" s="498"/>
      <c r="F70" s="498"/>
      <c r="G70" s="498"/>
      <c r="H70" s="498"/>
      <c r="I70" s="498"/>
    </row>
    <row r="71" spans="1:9" s="77" customFormat="1" x14ac:dyDescent="0.2">
      <c r="A71" s="80"/>
      <c r="B71" s="202" t="s">
        <v>116</v>
      </c>
      <c r="C71" s="84" t="str">
        <f>'OSNOVNI PODATKI'!E293</f>
        <v>Cenovni razred II</v>
      </c>
      <c r="D71" s="498"/>
      <c r="E71" s="498"/>
      <c r="F71" s="498"/>
      <c r="G71" s="498"/>
      <c r="H71" s="498"/>
      <c r="I71" s="498"/>
    </row>
    <row r="72" spans="1:9" s="77" customFormat="1" x14ac:dyDescent="0.2">
      <c r="A72" s="80"/>
      <c r="B72" s="530" t="s">
        <v>84</v>
      </c>
      <c r="C72" s="531">
        <f>IFERROR(0.0141*POWER(C70,0.8228)/C68,"/")</f>
        <v>0.16810082676518001</v>
      </c>
      <c r="D72" s="532" t="s">
        <v>871</v>
      </c>
      <c r="E72" s="209"/>
      <c r="F72" s="209"/>
    </row>
    <row r="73" spans="1:9" s="77" customFormat="1" x14ac:dyDescent="0.2">
      <c r="A73" s="80"/>
      <c r="B73" s="533" t="s">
        <v>85</v>
      </c>
      <c r="C73" s="534">
        <f>IFERROR(0.0171*POWER(C70,0.8213)/C68,"/")</f>
        <v>0.20040819816816821</v>
      </c>
      <c r="D73" s="497" t="s">
        <v>871</v>
      </c>
      <c r="E73" s="209"/>
      <c r="F73" s="209"/>
    </row>
    <row r="74" spans="1:9" s="77" customFormat="1" x14ac:dyDescent="0.2">
      <c r="A74" s="80"/>
      <c r="B74" s="533" t="s">
        <v>86</v>
      </c>
      <c r="C74" s="534">
        <f>IFERROR(0.0201*POWER(C70,0.8232)/C68,"/")</f>
        <v>0.24072904402873388</v>
      </c>
      <c r="D74" s="497" t="s">
        <v>871</v>
      </c>
      <c r="E74" s="209"/>
      <c r="F74" s="209"/>
    </row>
    <row r="75" spans="1:9" s="77" customFormat="1" x14ac:dyDescent="0.2">
      <c r="A75" s="80"/>
      <c r="B75" s="533" t="s">
        <v>87</v>
      </c>
      <c r="C75" s="534">
        <f>IFERROR(0.0246*POWER(C70,0.8244)/C68,"/")</f>
        <v>0.29868446291044687</v>
      </c>
      <c r="D75" s="497" t="s">
        <v>871</v>
      </c>
      <c r="E75" s="209"/>
      <c r="F75" s="209"/>
    </row>
    <row r="76" spans="1:9" s="77" customFormat="1" x14ac:dyDescent="0.2">
      <c r="A76" s="80"/>
      <c r="B76" s="533" t="s">
        <v>88</v>
      </c>
      <c r="C76" s="534">
        <f>IFERROR(0.0304*POWER(C70,0.818)/C68,"/")</f>
        <v>0.34311835912137711</v>
      </c>
      <c r="D76" s="497" t="s">
        <v>871</v>
      </c>
      <c r="E76" s="209"/>
      <c r="F76" s="209"/>
    </row>
    <row r="77" spans="1:9" s="77" customFormat="1" x14ac:dyDescent="0.2">
      <c r="A77" s="80"/>
      <c r="B77" s="535" t="s">
        <v>877</v>
      </c>
      <c r="C77" s="534">
        <f>IFERROR(0.034*POWER(C70,0.8163)/C68,"/")</f>
        <v>0.37638046762271798</v>
      </c>
      <c r="D77" s="495" t="s">
        <v>871</v>
      </c>
      <c r="E77" s="209"/>
      <c r="F77" s="209"/>
    </row>
    <row r="78" spans="1:9" s="77" customFormat="1" x14ac:dyDescent="0.2">
      <c r="A78" s="80"/>
      <c r="C78" s="84"/>
      <c r="D78" s="498"/>
      <c r="E78" s="498"/>
      <c r="F78" s="498"/>
      <c r="G78" s="498"/>
      <c r="H78" s="498"/>
      <c r="I78" s="498"/>
    </row>
    <row r="79" spans="1:9" s="77" customFormat="1" ht="14.25" x14ac:dyDescent="0.2">
      <c r="B79" s="84" t="s">
        <v>879</v>
      </c>
      <c r="C79" s="515">
        <f>IFERROR(LOOKUP(C71,B72:C76),"/")</f>
        <v>0.20040819816816821</v>
      </c>
      <c r="D79" s="384" t="s">
        <v>870</v>
      </c>
      <c r="E79" s="498"/>
      <c r="F79" s="498"/>
      <c r="G79" s="498"/>
      <c r="H79" s="498"/>
      <c r="I79" s="498"/>
    </row>
    <row r="80" spans="1:9" s="77" customFormat="1" ht="14.25" x14ac:dyDescent="0.2">
      <c r="B80" s="84" t="s">
        <v>880</v>
      </c>
      <c r="C80" s="515" cm="1">
        <f t="array" ref="C80">IFERROR(INDEX(C72:C77,MATCH(C71,B72:B76)+1),"/")</f>
        <v>0.24072904402873388</v>
      </c>
      <c r="D80" s="384" t="s">
        <v>870</v>
      </c>
      <c r="E80" s="498"/>
      <c r="F80" s="498"/>
      <c r="G80" s="498"/>
      <c r="H80" s="498"/>
      <c r="I80" s="498"/>
    </row>
    <row r="81" spans="1:9" s="77" customFormat="1" x14ac:dyDescent="0.2">
      <c r="B81" s="84" t="s">
        <v>732</v>
      </c>
      <c r="C81" s="539">
        <f>IFERROR(ROUND(C79*C67,0),0)</f>
        <v>0</v>
      </c>
      <c r="D81" s="384" t="s">
        <v>872</v>
      </c>
      <c r="E81" s="498"/>
      <c r="F81" s="498"/>
      <c r="G81" s="498"/>
      <c r="H81" s="498"/>
      <c r="I81" s="498"/>
    </row>
    <row r="82" spans="1:9" s="77" customFormat="1" x14ac:dyDescent="0.2">
      <c r="B82" s="84" t="s">
        <v>733</v>
      </c>
      <c r="C82" s="539">
        <f>IFERROR(ROUND(C80*C67,0),0)</f>
        <v>0</v>
      </c>
      <c r="D82" s="384" t="s">
        <v>872</v>
      </c>
      <c r="E82" s="498"/>
      <c r="F82" s="498"/>
      <c r="G82" s="498"/>
      <c r="H82" s="498"/>
      <c r="I82" s="498"/>
    </row>
    <row r="83" spans="1:9" s="77" customFormat="1" x14ac:dyDescent="0.2">
      <c r="A83" s="80"/>
      <c r="C83" s="209"/>
      <c r="D83" s="209"/>
      <c r="E83" s="209"/>
      <c r="F83" s="209"/>
    </row>
    <row r="84" spans="1:9" s="77" customFormat="1" x14ac:dyDescent="0.2">
      <c r="A84" s="80"/>
      <c r="B84" s="209" t="str">
        <f>'OSNOVNI PODATKI'!A308</f>
        <v>OBJEKT 5 / DEL 5</v>
      </c>
      <c r="C84" s="541">
        <f>'OSNOVNI PODATKI'!E308</f>
        <v>0</v>
      </c>
      <c r="D84" s="209"/>
      <c r="E84" s="209"/>
      <c r="F84" s="209"/>
    </row>
    <row r="85" spans="1:9" s="77" customFormat="1" x14ac:dyDescent="0.2">
      <c r="A85" s="80"/>
      <c r="B85" s="202" t="s">
        <v>718</v>
      </c>
      <c r="C85" s="84" t="str">
        <f>'OSNOVNI PODATKI'!E309</f>
        <v>Pripadajoče površine ob stavbah ter drugih objektih in napravah, vrtovi in ureditve z nizkimi ali povprečnimi zahtevami</v>
      </c>
      <c r="D85" s="498"/>
      <c r="E85" s="498"/>
      <c r="F85" s="498"/>
      <c r="G85" s="498"/>
      <c r="H85" s="498"/>
      <c r="I85" s="498"/>
    </row>
    <row r="86" spans="1:9" s="77" customFormat="1" x14ac:dyDescent="0.2">
      <c r="A86" s="80"/>
      <c r="B86" s="202" t="s">
        <v>943</v>
      </c>
      <c r="C86" s="84">
        <f>'OSNOVNI PODATKI'!E310</f>
        <v>0</v>
      </c>
      <c r="D86" s="498"/>
      <c r="E86" s="498"/>
      <c r="F86" s="498"/>
      <c r="G86" s="498"/>
      <c r="H86" s="498"/>
      <c r="I86" s="498"/>
    </row>
    <row r="87" spans="1:9" s="77" customFormat="1" x14ac:dyDescent="0.2">
      <c r="A87" s="80"/>
      <c r="B87" s="202" t="s">
        <v>91</v>
      </c>
      <c r="C87" s="84">
        <f>IF($C$5=1,$C$6,C86)</f>
        <v>1000</v>
      </c>
      <c r="D87" s="498"/>
      <c r="E87" s="498"/>
      <c r="F87" s="498"/>
      <c r="G87" s="498"/>
      <c r="H87" s="498"/>
      <c r="I87" s="498"/>
    </row>
    <row r="88" spans="1:9" s="77" customFormat="1" x14ac:dyDescent="0.2">
      <c r="A88" s="80"/>
      <c r="B88" s="538" t="s">
        <v>878</v>
      </c>
      <c r="C88" s="644">
        <f>'OSNOVNI PODATKI'!E313</f>
        <v>-10</v>
      </c>
      <c r="D88" s="498"/>
      <c r="E88" s="498"/>
      <c r="F88" s="498"/>
      <c r="G88" s="498"/>
      <c r="H88" s="498"/>
      <c r="I88" s="498"/>
    </row>
    <row r="89" spans="1:9" s="77" customFormat="1" x14ac:dyDescent="0.2">
      <c r="A89" s="80"/>
      <c r="B89" s="538" t="s">
        <v>1033</v>
      </c>
      <c r="C89" s="1297">
        <f>C87*(100+C88)</f>
        <v>90000</v>
      </c>
      <c r="D89" s="498"/>
      <c r="E89" s="498"/>
      <c r="F89" s="498"/>
      <c r="G89" s="498"/>
      <c r="H89" s="498"/>
      <c r="I89" s="498"/>
    </row>
    <row r="90" spans="1:9" s="77" customFormat="1" x14ac:dyDescent="0.2">
      <c r="A90" s="80"/>
      <c r="B90" s="202" t="s">
        <v>116</v>
      </c>
      <c r="C90" s="84" t="str">
        <f>'OSNOVNI PODATKI'!E311</f>
        <v>Cenovni razred II</v>
      </c>
      <c r="D90" s="498"/>
      <c r="E90" s="498"/>
      <c r="F90" s="498"/>
      <c r="G90" s="498"/>
      <c r="H90" s="498"/>
      <c r="I90" s="498"/>
    </row>
    <row r="91" spans="1:9" s="77" customFormat="1" x14ac:dyDescent="0.2">
      <c r="A91" s="80"/>
      <c r="B91" s="530" t="s">
        <v>84</v>
      </c>
      <c r="C91" s="531">
        <f>IFERROR(0.0141*POWER(C89,0.8228)/C87,"/")</f>
        <v>0.16810082676518001</v>
      </c>
      <c r="D91" s="532" t="s">
        <v>871</v>
      </c>
      <c r="E91" s="209"/>
      <c r="F91" s="209"/>
    </row>
    <row r="92" spans="1:9" s="77" customFormat="1" x14ac:dyDescent="0.2">
      <c r="A92" s="80"/>
      <c r="B92" s="533" t="s">
        <v>85</v>
      </c>
      <c r="C92" s="534">
        <f>IFERROR(0.0171*POWER(C89,0.8213)/C87,"/")</f>
        <v>0.20040819816816821</v>
      </c>
      <c r="D92" s="497" t="s">
        <v>871</v>
      </c>
      <c r="E92" s="209"/>
      <c r="F92" s="209"/>
    </row>
    <row r="93" spans="1:9" s="77" customFormat="1" x14ac:dyDescent="0.2">
      <c r="A93" s="80"/>
      <c r="B93" s="533" t="s">
        <v>86</v>
      </c>
      <c r="C93" s="534">
        <f>IFERROR(0.0201*POWER(C89,0.8232)/C87,"/")</f>
        <v>0.24072904402873388</v>
      </c>
      <c r="D93" s="497" t="s">
        <v>871</v>
      </c>
      <c r="E93" s="209"/>
      <c r="F93" s="209"/>
    </row>
    <row r="94" spans="1:9" s="77" customFormat="1" x14ac:dyDescent="0.2">
      <c r="A94" s="80"/>
      <c r="B94" s="533" t="s">
        <v>87</v>
      </c>
      <c r="C94" s="534">
        <f>IFERROR(0.0246*POWER(C89,0.8244)/C87,"/")</f>
        <v>0.29868446291044687</v>
      </c>
      <c r="D94" s="497" t="s">
        <v>871</v>
      </c>
      <c r="E94" s="209"/>
      <c r="F94" s="209"/>
    </row>
    <row r="95" spans="1:9" s="77" customFormat="1" x14ac:dyDescent="0.2">
      <c r="A95" s="80"/>
      <c r="B95" s="533" t="s">
        <v>88</v>
      </c>
      <c r="C95" s="534">
        <f>IFERROR(0.0304*POWER(C89,0.818)/C87,"/")</f>
        <v>0.34311835912137711</v>
      </c>
      <c r="D95" s="497" t="s">
        <v>871</v>
      </c>
      <c r="E95" s="209"/>
      <c r="F95" s="209"/>
    </row>
    <row r="96" spans="1:9" s="77" customFormat="1" x14ac:dyDescent="0.2">
      <c r="A96" s="80"/>
      <c r="B96" s="535" t="s">
        <v>877</v>
      </c>
      <c r="C96" s="534">
        <f>IFERROR(0.034*POWER(C89,0.8163)/C87,"/")</f>
        <v>0.37638046762271798</v>
      </c>
      <c r="D96" s="495" t="s">
        <v>871</v>
      </c>
      <c r="E96" s="209"/>
      <c r="F96" s="209"/>
    </row>
    <row r="97" spans="1:9" s="77" customFormat="1" x14ac:dyDescent="0.2">
      <c r="A97" s="80"/>
      <c r="C97" s="84"/>
      <c r="D97" s="498"/>
      <c r="E97" s="498"/>
      <c r="F97" s="498"/>
      <c r="G97" s="498"/>
      <c r="H97" s="498"/>
      <c r="I97" s="498"/>
    </row>
    <row r="98" spans="1:9" s="77" customFormat="1" ht="14.25" x14ac:dyDescent="0.2">
      <c r="B98" s="84" t="s">
        <v>879</v>
      </c>
      <c r="C98" s="515">
        <f>IFERROR(LOOKUP(C90,B91:C95),"/")</f>
        <v>0.20040819816816821</v>
      </c>
      <c r="D98" s="384" t="s">
        <v>870</v>
      </c>
      <c r="E98" s="498"/>
      <c r="F98" s="498"/>
      <c r="G98" s="498"/>
      <c r="H98" s="498"/>
      <c r="I98" s="498"/>
    </row>
    <row r="99" spans="1:9" s="77" customFormat="1" ht="14.25" x14ac:dyDescent="0.2">
      <c r="B99" s="84" t="s">
        <v>880</v>
      </c>
      <c r="C99" s="515" cm="1">
        <f t="array" ref="C99">IFERROR(INDEX(C91:C96,MATCH(C90,B91:B95)+1),"/")</f>
        <v>0.24072904402873388</v>
      </c>
      <c r="D99" s="384" t="s">
        <v>870</v>
      </c>
      <c r="E99" s="498"/>
      <c r="F99" s="498"/>
      <c r="G99" s="498"/>
      <c r="H99" s="498"/>
      <c r="I99" s="498"/>
    </row>
    <row r="100" spans="1:9" s="77" customFormat="1" x14ac:dyDescent="0.2">
      <c r="B100" s="84" t="s">
        <v>732</v>
      </c>
      <c r="C100" s="539">
        <f>IFERROR(ROUND(C98*C86,0),0)</f>
        <v>0</v>
      </c>
      <c r="D100" s="384" t="s">
        <v>872</v>
      </c>
      <c r="E100" s="498"/>
      <c r="F100" s="498"/>
      <c r="G100" s="498"/>
      <c r="H100" s="498"/>
      <c r="I100" s="498"/>
    </row>
    <row r="101" spans="1:9" s="77" customFormat="1" x14ac:dyDescent="0.2">
      <c r="B101" s="84" t="s">
        <v>733</v>
      </c>
      <c r="C101" s="539">
        <f>IFERROR(ROUND(C99*C86,0),0)</f>
        <v>0</v>
      </c>
      <c r="D101" s="384" t="s">
        <v>872</v>
      </c>
      <c r="E101" s="498"/>
      <c r="F101" s="498"/>
      <c r="G101" s="498"/>
      <c r="H101" s="498"/>
      <c r="I101" s="498"/>
    </row>
    <row r="102" spans="1:9" s="77" customFormat="1" x14ac:dyDescent="0.2">
      <c r="A102" s="80"/>
      <c r="C102" s="209"/>
      <c r="D102" s="209"/>
      <c r="E102" s="209"/>
      <c r="F102" s="209"/>
    </row>
    <row r="104" spans="1:9" s="12" customFormat="1" ht="14.25" x14ac:dyDescent="0.25">
      <c r="A104" s="13"/>
    </row>
    <row r="105" spans="1:9" s="13" customFormat="1" ht="14.25" x14ac:dyDescent="0.2"/>
    <row r="106" spans="1:9" s="13" customFormat="1" ht="14.25" x14ac:dyDescent="0.2"/>
    <row r="107" spans="1:9" s="13" customFormat="1" ht="14.25" x14ac:dyDescent="0.2"/>
    <row r="108" spans="1:9" s="13" customFormat="1" ht="14.25" x14ac:dyDescent="0.2"/>
    <row r="109" spans="1:9" s="13" customFormat="1" ht="14.25" x14ac:dyDescent="0.2"/>
    <row r="110" spans="1:9" s="13" customFormat="1" ht="14.25" x14ac:dyDescent="0.2"/>
    <row r="111" spans="1:9" s="13" customFormat="1" ht="14.25" x14ac:dyDescent="0.2"/>
    <row r="112" spans="1:9" s="13" customFormat="1" ht="14.25" x14ac:dyDescent="0.2"/>
    <row r="113" spans="1:24" s="13" customFormat="1" ht="14.25" x14ac:dyDescent="0.2"/>
    <row r="114" spans="1:24" s="13" customFormat="1" ht="14.25" x14ac:dyDescent="0.2"/>
    <row r="115" spans="1:24" s="13" customFormat="1" ht="14.25" x14ac:dyDescent="0.2"/>
    <row r="116" spans="1:24" s="13" customFormat="1" ht="14.25" x14ac:dyDescent="0.2"/>
    <row r="117" spans="1:24" s="13" customFormat="1" ht="14.25" x14ac:dyDescent="0.2"/>
    <row r="118" spans="1:24" s="13" customFormat="1" ht="14.25" x14ac:dyDescent="0.2"/>
    <row r="119" spans="1:24" s="13" customFormat="1" ht="14.25" x14ac:dyDescent="0.2"/>
    <row r="120" spans="1:24" s="13" customFormat="1" ht="14.25" x14ac:dyDescent="0.2"/>
    <row r="121" spans="1:24" s="13" customFormat="1" ht="14.25" x14ac:dyDescent="0.2"/>
    <row r="122" spans="1:24" s="13" customFormat="1" ht="14.25" x14ac:dyDescent="0.2"/>
    <row r="123" spans="1:24" s="13" customFormat="1" ht="15" thickBot="1" x14ac:dyDescent="0.25"/>
    <row r="124" spans="1:24" s="77" customFormat="1" ht="18.75" x14ac:dyDescent="0.3">
      <c r="A124" s="807" t="s">
        <v>931</v>
      </c>
      <c r="B124" s="807"/>
      <c r="C124" s="807"/>
      <c r="D124" s="807"/>
      <c r="E124" s="807"/>
      <c r="F124" s="807"/>
      <c r="G124" s="807"/>
      <c r="H124" s="808"/>
      <c r="I124" s="808"/>
      <c r="J124" s="808"/>
      <c r="K124" s="808"/>
      <c r="L124" s="808"/>
      <c r="M124" s="808"/>
      <c r="N124" s="808"/>
      <c r="O124" s="808"/>
      <c r="P124" s="808"/>
      <c r="Q124" s="808"/>
      <c r="R124" s="808"/>
      <c r="S124" s="808"/>
      <c r="T124" s="808"/>
      <c r="U124" s="808"/>
      <c r="V124" s="808"/>
      <c r="W124" s="808"/>
      <c r="X124" s="808"/>
    </row>
    <row r="125" spans="1:24" s="2" customFormat="1" x14ac:dyDescent="0.2">
      <c r="A125" s="205"/>
      <c r="B125" s="205"/>
      <c r="C125" s="205"/>
      <c r="D125" s="205"/>
      <c r="E125" s="205"/>
      <c r="F125" s="205"/>
      <c r="G125" s="205"/>
      <c r="H125" s="205"/>
    </row>
    <row r="126" spans="1:24" s="77" customFormat="1" x14ac:dyDescent="0.2">
      <c r="A126" s="209"/>
      <c r="B126" s="84" t="s">
        <v>868</v>
      </c>
      <c r="C126" s="209"/>
      <c r="D126" s="209"/>
      <c r="E126" s="209"/>
      <c r="F126" s="496">
        <f>'OSNOVNI PODATKI'!G370</f>
        <v>220.5</v>
      </c>
      <c r="G126" s="209"/>
      <c r="H126" s="209"/>
    </row>
    <row r="127" spans="1:24" s="77" customFormat="1" x14ac:dyDescent="0.2">
      <c r="A127" s="209"/>
      <c r="B127" s="84" t="s">
        <v>869</v>
      </c>
      <c r="C127" s="207"/>
      <c r="D127" s="83"/>
      <c r="E127" s="83"/>
      <c r="F127" s="482">
        <f>'ARHIGRAM 6'!I16</f>
        <v>55</v>
      </c>
      <c r="G127" s="207"/>
      <c r="H127" s="207"/>
    </row>
    <row r="128" spans="1:24" s="77" customFormat="1" x14ac:dyDescent="0.2">
      <c r="A128" s="209"/>
      <c r="B128" s="209"/>
      <c r="C128" s="209"/>
      <c r="D128" s="209"/>
      <c r="E128" s="209"/>
      <c r="G128" s="209"/>
      <c r="H128" s="209"/>
    </row>
    <row r="129" spans="1:24" s="77" customFormat="1" x14ac:dyDescent="0.2">
      <c r="B129" s="84" t="str">
        <f>'OSNOVNI PODATKI'!$B$384</f>
        <v>PRIBITEK ZA PRENOVO</v>
      </c>
      <c r="C129" s="207"/>
      <c r="D129" s="83"/>
      <c r="E129" s="83"/>
      <c r="F129" s="310">
        <f>'OSNOVNI PODATKI'!$F$384</f>
        <v>0</v>
      </c>
      <c r="G129" s="207" t="str">
        <f>'OSNOVNI PODATKI'!G384</f>
        <v>upošteva se v fazah od 1 do 4., samo za storitve projektiranja</v>
      </c>
      <c r="H129" s="207"/>
    </row>
    <row r="130" spans="1:24" s="77" customFormat="1" x14ac:dyDescent="0.2">
      <c r="B130" s="84" t="str">
        <f>'OSNOVNI PODATKI'!$B$385</f>
        <v>PRIBITEK ZA VKLJUČEVANJE DRUGIH IZVAJALCEV V POGODBO</v>
      </c>
      <c r="C130" s="207"/>
      <c r="D130" s="83"/>
      <c r="E130" s="83"/>
      <c r="F130" s="310">
        <f>'OSNOVNI PODATKI'!$F$385</f>
        <v>0</v>
      </c>
      <c r="G130" s="207" t="str">
        <f>'OSNOVNI PODATKI'!G385</f>
        <v>upošteva se v vseh fazah, samo za storitve vodenja in koordinacije</v>
      </c>
      <c r="H130" s="207"/>
    </row>
    <row r="131" spans="1:24" s="77" customFormat="1" x14ac:dyDescent="0.2">
      <c r="A131" s="209"/>
      <c r="B131" s="84" t="s">
        <v>958</v>
      </c>
      <c r="C131" s="207"/>
      <c r="D131" s="83"/>
      <c r="E131" s="83"/>
      <c r="F131" s="646" t="str">
        <f>IF('OSNOVNI PODATKI'!A366=TRUE,"DA","NE")</f>
        <v>DA</v>
      </c>
      <c r="G131" s="209"/>
      <c r="H131" s="209"/>
      <c r="O131" s="637"/>
    </row>
    <row r="132" spans="1:24" s="77" customFormat="1" x14ac:dyDescent="0.2">
      <c r="B132" s="296"/>
      <c r="C132" s="297"/>
      <c r="D132" s="298"/>
      <c r="E132" s="298"/>
      <c r="F132" s="311"/>
    </row>
    <row r="133" spans="1:24" s="13" customFormat="1" ht="14.25" x14ac:dyDescent="0.2">
      <c r="B133" s="210" t="s">
        <v>1080</v>
      </c>
      <c r="C133" s="210"/>
      <c r="D133" s="210"/>
      <c r="E133" s="210"/>
      <c r="F133" s="210"/>
      <c r="G133" s="210"/>
      <c r="H133" s="210"/>
      <c r="K133" s="210" t="s">
        <v>958</v>
      </c>
      <c r="L133" s="210"/>
      <c r="M133" s="210"/>
      <c r="N133" s="210"/>
      <c r="O133" s="210"/>
      <c r="P133" s="210"/>
      <c r="Q133" s="210"/>
      <c r="R133" s="210"/>
      <c r="S133"/>
      <c r="T133" s="478"/>
      <c r="U133" s="478"/>
    </row>
    <row r="134" spans="1:24" s="13" customFormat="1" ht="63.75" x14ac:dyDescent="0.2">
      <c r="B134" s="106"/>
      <c r="C134" s="106"/>
      <c r="D134" s="106"/>
      <c r="E134" s="107" t="s">
        <v>25</v>
      </c>
      <c r="F134" s="299" t="s">
        <v>481</v>
      </c>
      <c r="G134" s="606" t="s">
        <v>57</v>
      </c>
      <c r="H134" s="108" t="s">
        <v>70</v>
      </c>
      <c r="I134" s="411" t="s">
        <v>932</v>
      </c>
      <c r="K134" s="105"/>
      <c r="L134" s="106"/>
      <c r="M134" s="106"/>
      <c r="N134" s="106"/>
      <c r="O134" s="107" t="s">
        <v>25</v>
      </c>
      <c r="P134" s="299" t="s">
        <v>908</v>
      </c>
      <c r="Q134" s="746" t="s">
        <v>57</v>
      </c>
      <c r="R134" s="108" t="s">
        <v>70</v>
      </c>
      <c r="S134" s="411" t="s">
        <v>932</v>
      </c>
      <c r="U134" s="299" t="s">
        <v>1083</v>
      </c>
      <c r="V134" s="299" t="s">
        <v>1084</v>
      </c>
      <c r="W134" s="746" t="s">
        <v>1085</v>
      </c>
      <c r="X134" s="108" t="s">
        <v>1086</v>
      </c>
    </row>
    <row r="135" spans="1:24" s="13" customFormat="1" ht="14.25" x14ac:dyDescent="0.2">
      <c r="A135" s="101" t="s">
        <v>29</v>
      </c>
      <c r="B135" s="102" t="s">
        <v>30</v>
      </c>
      <c r="C135" s="102"/>
      <c r="D135" s="102"/>
      <c r="E135" s="103"/>
      <c r="F135" s="103"/>
      <c r="G135" s="607"/>
      <c r="H135" s="104"/>
      <c r="K135" s="101" t="s">
        <v>29</v>
      </c>
      <c r="L135" s="102" t="s">
        <v>30</v>
      </c>
      <c r="M135" s="102"/>
      <c r="N135" s="102"/>
      <c r="O135" s="103"/>
      <c r="P135" s="103"/>
      <c r="Q135" s="607"/>
      <c r="R135" s="104"/>
      <c r="U135" s="103"/>
      <c r="V135" s="103"/>
      <c r="W135" s="607"/>
      <c r="X135" s="834"/>
    </row>
    <row r="136" spans="1:24" s="13" customFormat="1" ht="14.25" x14ac:dyDescent="0.2">
      <c r="A136" s="85" t="s">
        <v>31</v>
      </c>
      <c r="B136" s="97" t="s">
        <v>65</v>
      </c>
      <c r="C136" s="97"/>
      <c r="D136" s="97"/>
      <c r="E136" s="86"/>
      <c r="F136" s="86"/>
      <c r="G136" s="608"/>
      <c r="H136" s="87"/>
      <c r="K136" s="85" t="s">
        <v>31</v>
      </c>
      <c r="L136" s="97" t="s">
        <v>65</v>
      </c>
      <c r="M136" s="97"/>
      <c r="N136" s="97"/>
      <c r="O136" s="86"/>
      <c r="P136" s="86"/>
      <c r="Q136" s="608"/>
      <c r="R136" s="87"/>
      <c r="U136" s="86"/>
      <c r="V136" s="86"/>
      <c r="W136" s="608"/>
      <c r="X136" s="835"/>
    </row>
    <row r="137" spans="1:24" s="13" customFormat="1" ht="14.25" x14ac:dyDescent="0.2">
      <c r="A137" s="110" t="s">
        <v>32</v>
      </c>
      <c r="B137" s="111" t="s">
        <v>66</v>
      </c>
      <c r="C137" s="111"/>
      <c r="D137" s="111"/>
      <c r="E137" s="112"/>
      <c r="F137" s="112"/>
      <c r="G137" s="609"/>
      <c r="H137" s="91"/>
      <c r="K137" s="110" t="s">
        <v>32</v>
      </c>
      <c r="L137" s="111" t="s">
        <v>66</v>
      </c>
      <c r="M137" s="111"/>
      <c r="N137" s="111"/>
      <c r="O137" s="112"/>
      <c r="P137" s="112"/>
      <c r="Q137" s="609"/>
      <c r="R137" s="91"/>
      <c r="U137" s="112"/>
      <c r="V137" s="112"/>
      <c r="W137" s="609"/>
      <c r="X137" s="826"/>
    </row>
    <row r="138" spans="1:24" s="13" customFormat="1" ht="14.25" x14ac:dyDescent="0.2">
      <c r="A138" s="109" t="s">
        <v>33</v>
      </c>
      <c r="B138" s="102" t="s">
        <v>34</v>
      </c>
      <c r="C138" s="102"/>
      <c r="D138" s="102"/>
      <c r="E138" s="302">
        <f>SUM(E139:E141)</f>
        <v>0.01</v>
      </c>
      <c r="F138" s="302">
        <f>SUM(F139:F141)</f>
        <v>0.01</v>
      </c>
      <c r="G138" s="613">
        <f>SUM(G139:G141)</f>
        <v>2.2050000000000001</v>
      </c>
      <c r="H138" s="104">
        <f>SUM(H139:H141)</f>
        <v>121.27500000000001</v>
      </c>
      <c r="I138" s="125">
        <f>IFERROR(H138/'OSNOVNI PODATKI'!$E$350,0)</f>
        <v>0</v>
      </c>
      <c r="K138" s="109" t="s">
        <v>33</v>
      </c>
      <c r="L138" s="102" t="s">
        <v>34</v>
      </c>
      <c r="M138" s="102"/>
      <c r="N138" s="102"/>
      <c r="O138" s="302">
        <f>SUM(O139:O141)</f>
        <v>0.02</v>
      </c>
      <c r="P138" s="302">
        <f>SUM(P139:P141)</f>
        <v>0.02</v>
      </c>
      <c r="Q138" s="613">
        <f>SUM(Q139:Q141)</f>
        <v>4.41</v>
      </c>
      <c r="R138" s="104">
        <f>SUM(R139:R141)</f>
        <v>242.55</v>
      </c>
      <c r="S138" s="125">
        <f>IFERROR(R138/'OSNOVNI PODATKI'!$E$350,0)</f>
        <v>0</v>
      </c>
      <c r="U138" s="302">
        <f>SUM(U139:U141)</f>
        <v>0.03</v>
      </c>
      <c r="V138" s="302">
        <f>SUM(V139:V141)</f>
        <v>0.03</v>
      </c>
      <c r="W138" s="613">
        <f>SUM(W139:W141)</f>
        <v>6.6150000000000002</v>
      </c>
      <c r="X138" s="104">
        <f>SUM(X139:X141)</f>
        <v>363.82500000000005</v>
      </c>
    </row>
    <row r="139" spans="1:24" s="13" customFormat="1" ht="14.25" x14ac:dyDescent="0.2">
      <c r="A139" s="88" t="s">
        <v>35</v>
      </c>
      <c r="B139" s="96" t="s">
        <v>67</v>
      </c>
      <c r="C139" s="96"/>
      <c r="D139" s="96"/>
      <c r="E139" s="300">
        <v>5.0000000000000001E-3</v>
      </c>
      <c r="F139" s="300">
        <f>E139*(100%+$F$129)</f>
        <v>5.0000000000000001E-3</v>
      </c>
      <c r="G139" s="614">
        <f>F139*$F$126</f>
        <v>1.1025</v>
      </c>
      <c r="H139" s="87">
        <f>+G139*$F$127</f>
        <v>60.637500000000003</v>
      </c>
      <c r="K139" s="88" t="s">
        <v>35</v>
      </c>
      <c r="L139" s="96" t="s">
        <v>67</v>
      </c>
      <c r="M139" s="96"/>
      <c r="N139" s="96"/>
      <c r="O139" s="300">
        <v>5.0000000000000001E-3</v>
      </c>
      <c r="P139" s="300">
        <f>O139*(100%+$F$130)</f>
        <v>5.0000000000000001E-3</v>
      </c>
      <c r="Q139" s="614">
        <f>IF($F$131="DA",P139*$F$126,0)</f>
        <v>1.1025</v>
      </c>
      <c r="R139" s="87">
        <f>+Q139*$F$127</f>
        <v>60.637500000000003</v>
      </c>
      <c r="U139" s="480">
        <f t="shared" ref="U139:W141" si="0">+E139+O139</f>
        <v>0.01</v>
      </c>
      <c r="V139" s="480">
        <f t="shared" si="0"/>
        <v>0.01</v>
      </c>
      <c r="W139" s="614">
        <f t="shared" si="0"/>
        <v>2.2050000000000001</v>
      </c>
      <c r="X139" s="87">
        <f>+W139*$F$127</f>
        <v>121.27500000000001</v>
      </c>
    </row>
    <row r="140" spans="1:24" s="13" customFormat="1" ht="14.25" x14ac:dyDescent="0.2">
      <c r="A140" s="88" t="s">
        <v>36</v>
      </c>
      <c r="B140" s="96" t="s">
        <v>68</v>
      </c>
      <c r="C140" s="96"/>
      <c r="D140" s="96"/>
      <c r="E140" s="300">
        <v>5.0000000000000001E-3</v>
      </c>
      <c r="F140" s="300">
        <f>E140*(100%+$F$129)</f>
        <v>5.0000000000000001E-3</v>
      </c>
      <c r="G140" s="614">
        <f>F140*$F$126</f>
        <v>1.1025</v>
      </c>
      <c r="H140" s="87">
        <f>+G140*$F$127</f>
        <v>60.637500000000003</v>
      </c>
      <c r="K140" s="88" t="s">
        <v>36</v>
      </c>
      <c r="L140" s="96" t="s">
        <v>68</v>
      </c>
      <c r="M140" s="96"/>
      <c r="N140" s="96"/>
      <c r="O140" s="300">
        <v>5.0000000000000001E-3</v>
      </c>
      <c r="P140" s="300">
        <f>O140*(100%+$F$130)</f>
        <v>5.0000000000000001E-3</v>
      </c>
      <c r="Q140" s="614">
        <f>IF($F$131="DA",P140*$F$126,0)</f>
        <v>1.1025</v>
      </c>
      <c r="R140" s="87">
        <f>+Q140*$F$127</f>
        <v>60.637500000000003</v>
      </c>
      <c r="U140" s="480">
        <f t="shared" si="0"/>
        <v>0.01</v>
      </c>
      <c r="V140" s="480">
        <f t="shared" si="0"/>
        <v>0.01</v>
      </c>
      <c r="W140" s="614">
        <f t="shared" si="0"/>
        <v>2.2050000000000001</v>
      </c>
      <c r="X140" s="87">
        <f>+W140*$F$127</f>
        <v>121.27500000000001</v>
      </c>
    </row>
    <row r="141" spans="1:24" s="13" customFormat="1" ht="14.25" x14ac:dyDescent="0.2">
      <c r="A141" s="114" t="s">
        <v>37</v>
      </c>
      <c r="B141" s="115" t="s">
        <v>837</v>
      </c>
      <c r="C141" s="115"/>
      <c r="D141" s="115"/>
      <c r="E141" s="479"/>
      <c r="F141" s="479"/>
      <c r="G141" s="615"/>
      <c r="H141" s="91">
        <f>+G141*$F$127</f>
        <v>0</v>
      </c>
      <c r="K141" s="114" t="s">
        <v>37</v>
      </c>
      <c r="L141" s="115" t="s">
        <v>837</v>
      </c>
      <c r="M141" s="115"/>
      <c r="N141" s="115"/>
      <c r="O141" s="479">
        <v>0.01</v>
      </c>
      <c r="P141" s="479">
        <f>O141*(100%+$F$130)</f>
        <v>0.01</v>
      </c>
      <c r="Q141" s="615">
        <f>IF($F$131="DA",P141*$F$126,0)</f>
        <v>2.2050000000000001</v>
      </c>
      <c r="R141" s="91">
        <f>+Q141*$F$127</f>
        <v>121.27500000000001</v>
      </c>
      <c r="U141" s="481">
        <f t="shared" si="0"/>
        <v>0.01</v>
      </c>
      <c r="V141" s="481">
        <f t="shared" si="0"/>
        <v>0.01</v>
      </c>
      <c r="W141" s="615">
        <f t="shared" si="0"/>
        <v>2.2050000000000001</v>
      </c>
      <c r="X141" s="91">
        <f>+W141*$F$127</f>
        <v>121.27500000000001</v>
      </c>
    </row>
    <row r="142" spans="1:24" s="13" customFormat="1" ht="14.25" x14ac:dyDescent="0.2">
      <c r="A142" s="113">
        <v>2</v>
      </c>
      <c r="B142" s="102" t="s">
        <v>38</v>
      </c>
      <c r="C142" s="102"/>
      <c r="D142" s="102"/>
      <c r="E142" s="302">
        <f>SUM(E143:E152)</f>
        <v>0.52500000000000002</v>
      </c>
      <c r="F142" s="302">
        <f>SUM(F143:F152)</f>
        <v>0.52500000000000002</v>
      </c>
      <c r="G142" s="616">
        <f>SUM(G143:G152)</f>
        <v>115.7625</v>
      </c>
      <c r="H142" s="104">
        <f>SUM(H143:H152)</f>
        <v>6366.9375</v>
      </c>
      <c r="I142" s="125">
        <f>IFERROR(H142/'OSNOVNI PODATKI'!$E$350,0)</f>
        <v>0</v>
      </c>
      <c r="K142" s="113">
        <v>2</v>
      </c>
      <c r="L142" s="102" t="s">
        <v>38</v>
      </c>
      <c r="M142" s="102"/>
      <c r="N142" s="102"/>
      <c r="O142" s="302">
        <f>SUM(O143:O152)</f>
        <v>9.5000000000000001E-2</v>
      </c>
      <c r="P142" s="302">
        <f>SUM(P143:P152)</f>
        <v>9.5000000000000001E-2</v>
      </c>
      <c r="Q142" s="616">
        <f>SUM(Q143:Q152)</f>
        <v>20.947500000000002</v>
      </c>
      <c r="R142" s="104">
        <f>SUM(R143:R152)</f>
        <v>1152.1125</v>
      </c>
      <c r="S142" s="125">
        <f>IFERROR(R142/'OSNOVNI PODATKI'!$E$350,0)</f>
        <v>0</v>
      </c>
      <c r="U142" s="302">
        <f>SUM(U143:U152)</f>
        <v>0.62000000000000011</v>
      </c>
      <c r="V142" s="302">
        <f>SUM(V143:V152)</f>
        <v>0.62000000000000011</v>
      </c>
      <c r="W142" s="616">
        <f>SUM(W143:W152)</f>
        <v>136.71</v>
      </c>
      <c r="X142" s="104">
        <f>SUM(X143:X152)</f>
        <v>7519.0500000000011</v>
      </c>
    </row>
    <row r="143" spans="1:24" s="13" customFormat="1" ht="14.25" x14ac:dyDescent="0.2">
      <c r="A143" s="88" t="s">
        <v>51</v>
      </c>
      <c r="B143" s="96" t="s">
        <v>94</v>
      </c>
      <c r="C143" s="96"/>
      <c r="D143" s="96"/>
      <c r="E143" s="480">
        <v>9.5000000000000001E-2</v>
      </c>
      <c r="F143" s="480">
        <f>E143*(100%+$F$129)</f>
        <v>9.5000000000000001E-2</v>
      </c>
      <c r="G143" s="614">
        <f>F143*$F$126</f>
        <v>20.947500000000002</v>
      </c>
      <c r="H143" s="87">
        <f>+G143*$F$127</f>
        <v>1152.1125000000002</v>
      </c>
      <c r="K143" s="88" t="s">
        <v>51</v>
      </c>
      <c r="L143" s="96" t="s">
        <v>94</v>
      </c>
      <c r="M143" s="96"/>
      <c r="N143" s="96"/>
      <c r="O143" s="480">
        <v>5.0000000000000001E-3</v>
      </c>
      <c r="P143" s="300">
        <f>O143*(100%+$F$130)</f>
        <v>5.0000000000000001E-3</v>
      </c>
      <c r="Q143" s="614">
        <f>IF($F$131="DA",P143*$F$126,0)</f>
        <v>1.1025</v>
      </c>
      <c r="R143" s="87">
        <f t="shared" ref="R143:R150" si="1">+Q143*$F$127</f>
        <v>60.637500000000003</v>
      </c>
      <c r="U143" s="480">
        <f t="shared" ref="U143:W145" si="2">+E143+O143</f>
        <v>0.1</v>
      </c>
      <c r="V143" s="480">
        <f t="shared" si="2"/>
        <v>0.1</v>
      </c>
      <c r="W143" s="614">
        <f t="shared" si="2"/>
        <v>22.05</v>
      </c>
      <c r="X143" s="87">
        <f t="shared" ref="X143:X150" si="3">+W143*$F$127</f>
        <v>1212.75</v>
      </c>
    </row>
    <row r="144" spans="1:24" s="13" customFormat="1" ht="14.25" x14ac:dyDescent="0.2">
      <c r="A144" s="89" t="s">
        <v>52</v>
      </c>
      <c r="B144" s="100" t="s">
        <v>737</v>
      </c>
      <c r="C144" s="100"/>
      <c r="D144" s="100"/>
      <c r="E144" s="480">
        <v>0.14249999999999999</v>
      </c>
      <c r="F144" s="480">
        <f>E144*(100%+$F$129)</f>
        <v>0.14249999999999999</v>
      </c>
      <c r="G144" s="614">
        <f>F144*$F$126</f>
        <v>31.421249999999997</v>
      </c>
      <c r="H144" s="87">
        <f>+G144*$F$127</f>
        <v>1728.1687499999998</v>
      </c>
      <c r="K144" s="89" t="s">
        <v>52</v>
      </c>
      <c r="L144" s="100" t="s">
        <v>737</v>
      </c>
      <c r="M144" s="100"/>
      <c r="N144" s="100"/>
      <c r="O144" s="480">
        <v>7.4999999999999997E-3</v>
      </c>
      <c r="P144" s="300">
        <f>O144*(100%+$F$130)</f>
        <v>7.4999999999999997E-3</v>
      </c>
      <c r="Q144" s="614">
        <f>IF($F$131="DA",P144*$F$126,0)</f>
        <v>1.6537499999999998</v>
      </c>
      <c r="R144" s="87">
        <f t="shared" si="1"/>
        <v>90.956249999999997</v>
      </c>
      <c r="U144" s="480">
        <f t="shared" si="2"/>
        <v>0.15</v>
      </c>
      <c r="V144" s="480">
        <f t="shared" si="2"/>
        <v>0.15</v>
      </c>
      <c r="W144" s="614">
        <f t="shared" si="2"/>
        <v>33.074999999999996</v>
      </c>
      <c r="X144" s="87">
        <f t="shared" si="3"/>
        <v>1819.1249999999998</v>
      </c>
    </row>
    <row r="145" spans="1:24" s="13" customFormat="1" ht="14.25" x14ac:dyDescent="0.2">
      <c r="A145" s="89" t="s">
        <v>53</v>
      </c>
      <c r="B145" s="100" t="s">
        <v>841</v>
      </c>
      <c r="C145" s="100"/>
      <c r="D145" s="100"/>
      <c r="E145" s="480"/>
      <c r="F145" s="480"/>
      <c r="G145" s="614"/>
      <c r="H145" s="87"/>
      <c r="K145" s="89" t="s">
        <v>53</v>
      </c>
      <c r="L145" s="100" t="s">
        <v>841</v>
      </c>
      <c r="M145" s="100"/>
      <c r="N145" s="100"/>
      <c r="O145" s="480"/>
      <c r="P145" s="300"/>
      <c r="Q145" s="614"/>
      <c r="R145" s="87"/>
      <c r="U145" s="480">
        <f t="shared" si="2"/>
        <v>0</v>
      </c>
      <c r="V145" s="480">
        <f t="shared" si="2"/>
        <v>0</v>
      </c>
      <c r="W145" s="614">
        <f t="shared" si="2"/>
        <v>0</v>
      </c>
      <c r="X145" s="87">
        <f t="shared" si="3"/>
        <v>0</v>
      </c>
    </row>
    <row r="146" spans="1:24" s="13" customFormat="1" ht="14.25" x14ac:dyDescent="0.2">
      <c r="A146" s="89"/>
      <c r="B146" s="100" t="s">
        <v>844</v>
      </c>
      <c r="C146" s="100"/>
      <c r="D146" s="100"/>
      <c r="E146" s="480"/>
      <c r="F146" s="300"/>
      <c r="G146" s="614"/>
      <c r="H146" s="87"/>
      <c r="K146" s="89"/>
      <c r="L146" s="100" t="s">
        <v>844</v>
      </c>
      <c r="M146" s="100"/>
      <c r="N146" s="100"/>
      <c r="O146" s="480">
        <v>6.0000000000000001E-3</v>
      </c>
      <c r="P146" s="300">
        <f>O146*(100%+$F$130)</f>
        <v>6.0000000000000001E-3</v>
      </c>
      <c r="Q146" s="614">
        <f>IF($F$131="DA",P146*$F$126,0)</f>
        <v>1.323</v>
      </c>
      <c r="R146" s="87">
        <f t="shared" si="1"/>
        <v>72.765000000000001</v>
      </c>
      <c r="U146" s="480">
        <f t="shared" ref="U146:W148" si="4">+E146+O146</f>
        <v>6.0000000000000001E-3</v>
      </c>
      <c r="V146" s="480">
        <f t="shared" si="4"/>
        <v>6.0000000000000001E-3</v>
      </c>
      <c r="W146" s="614">
        <f t="shared" si="4"/>
        <v>1.323</v>
      </c>
      <c r="X146" s="87">
        <f t="shared" si="3"/>
        <v>72.765000000000001</v>
      </c>
    </row>
    <row r="147" spans="1:24" s="13" customFormat="1" ht="14.25" x14ac:dyDescent="0.2">
      <c r="A147" s="89"/>
      <c r="B147" s="100" t="s">
        <v>845</v>
      </c>
      <c r="C147" s="100"/>
      <c r="D147" s="100"/>
      <c r="E147" s="480"/>
      <c r="F147" s="300"/>
      <c r="G147" s="614"/>
      <c r="H147" s="87"/>
      <c r="K147" s="89"/>
      <c r="L147" s="100" t="s">
        <v>845</v>
      </c>
      <c r="M147" s="100"/>
      <c r="N147" s="100"/>
      <c r="O147" s="480">
        <v>2.4E-2</v>
      </c>
      <c r="P147" s="300">
        <f>O147*(100%+$F$130)</f>
        <v>2.4E-2</v>
      </c>
      <c r="Q147" s="614">
        <f>IF($F$131="DA",P147*$F$126,0)</f>
        <v>5.2919999999999998</v>
      </c>
      <c r="R147" s="87">
        <f t="shared" si="1"/>
        <v>291.06</v>
      </c>
      <c r="U147" s="480">
        <f t="shared" si="4"/>
        <v>2.4E-2</v>
      </c>
      <c r="V147" s="480">
        <f t="shared" si="4"/>
        <v>2.4E-2</v>
      </c>
      <c r="W147" s="614">
        <f t="shared" si="4"/>
        <v>5.2919999999999998</v>
      </c>
      <c r="X147" s="87">
        <f t="shared" si="3"/>
        <v>291.06</v>
      </c>
    </row>
    <row r="148" spans="1:24" s="777" customFormat="1" ht="14.25" x14ac:dyDescent="0.2">
      <c r="A148" s="772"/>
      <c r="B148" s="773" t="s">
        <v>1032</v>
      </c>
      <c r="C148" s="773"/>
      <c r="D148" s="773"/>
      <c r="E148" s="771"/>
      <c r="F148" s="774"/>
      <c r="G148" s="775"/>
      <c r="H148" s="776"/>
      <c r="J148" s="13"/>
      <c r="K148" s="772"/>
      <c r="L148" s="773" t="s">
        <v>1032</v>
      </c>
      <c r="M148" s="773"/>
      <c r="N148" s="773"/>
      <c r="O148" s="771">
        <v>0.02</v>
      </c>
      <c r="P148" s="300">
        <f>O148*(100%+$F$130)</f>
        <v>0.02</v>
      </c>
      <c r="Q148" s="614">
        <f>IF($F$131="DA",P148*$F$126,0)</f>
        <v>4.41</v>
      </c>
      <c r="R148" s="780">
        <f t="shared" si="1"/>
        <v>242.55</v>
      </c>
      <c r="T148" s="13"/>
      <c r="U148" s="771">
        <f t="shared" si="4"/>
        <v>0.02</v>
      </c>
      <c r="V148" s="771">
        <f t="shared" si="4"/>
        <v>0.02</v>
      </c>
      <c r="W148" s="614">
        <f t="shared" si="4"/>
        <v>4.41</v>
      </c>
      <c r="X148" s="780">
        <f t="shared" si="3"/>
        <v>242.55</v>
      </c>
    </row>
    <row r="149" spans="1:24" ht="14.25" x14ac:dyDescent="0.2">
      <c r="A149" s="89" t="s">
        <v>95</v>
      </c>
      <c r="B149" s="100" t="s">
        <v>738</v>
      </c>
      <c r="C149" s="100"/>
      <c r="D149" s="100"/>
      <c r="E149" s="480">
        <v>0.23499999999999999</v>
      </c>
      <c r="F149" s="480">
        <f>E149*(100%+$F$129)</f>
        <v>0.23499999999999999</v>
      </c>
      <c r="G149" s="614">
        <f>F149*$F$126</f>
        <v>51.817499999999995</v>
      </c>
      <c r="H149" s="87">
        <f>+G149*$F$127</f>
        <v>2849.9624999999996</v>
      </c>
      <c r="I149" s="13"/>
      <c r="J149" s="13"/>
      <c r="K149" s="89" t="s">
        <v>95</v>
      </c>
      <c r="L149" s="100" t="s">
        <v>738</v>
      </c>
      <c r="M149" s="100"/>
      <c r="N149" s="100"/>
      <c r="O149" s="480">
        <v>1.4999999999999999E-2</v>
      </c>
      <c r="P149" s="300">
        <f>O149*(100%+$F$130)</f>
        <v>1.4999999999999999E-2</v>
      </c>
      <c r="Q149" s="614">
        <f>IF($F$131="DA",P149*$F$126,0)</f>
        <v>3.3074999999999997</v>
      </c>
      <c r="R149" s="87">
        <f t="shared" si="1"/>
        <v>181.91249999999999</v>
      </c>
      <c r="S149" s="13"/>
      <c r="T149" s="13"/>
      <c r="U149" s="480">
        <f t="shared" ref="U149:W150" si="5">+E149+O149</f>
        <v>0.25</v>
      </c>
      <c r="V149" s="480">
        <f t="shared" si="5"/>
        <v>0.25</v>
      </c>
      <c r="W149" s="614">
        <f t="shared" si="5"/>
        <v>55.124999999999993</v>
      </c>
      <c r="X149" s="87">
        <f t="shared" si="3"/>
        <v>3031.8749999999995</v>
      </c>
    </row>
    <row r="150" spans="1:24" ht="14.25" x14ac:dyDescent="0.2">
      <c r="A150" s="117" t="s">
        <v>96</v>
      </c>
      <c r="B150" s="118" t="s">
        <v>838</v>
      </c>
      <c r="C150" s="118"/>
      <c r="D150" s="118"/>
      <c r="E150" s="481">
        <v>3.7499999999999999E-2</v>
      </c>
      <c r="F150" s="480">
        <f>E150*(100%+$F$129)</f>
        <v>3.7499999999999999E-2</v>
      </c>
      <c r="G150" s="615">
        <f>F150*$F$126</f>
        <v>8.2687499999999989</v>
      </c>
      <c r="H150" s="91">
        <f>+G150*$F$127</f>
        <v>454.78124999999994</v>
      </c>
      <c r="I150" s="13"/>
      <c r="J150" s="13"/>
      <c r="K150" s="89" t="s">
        <v>96</v>
      </c>
      <c r="L150" s="100" t="s">
        <v>838</v>
      </c>
      <c r="M150" s="100"/>
      <c r="N150" s="100"/>
      <c r="O150" s="480">
        <v>2.5000000000000001E-3</v>
      </c>
      <c r="P150" s="300">
        <f>O150*(100%+$F$130)</f>
        <v>2.5000000000000001E-3</v>
      </c>
      <c r="Q150" s="614">
        <f>IF($F$131="DA",P150*$F$126,0)</f>
        <v>0.55125000000000002</v>
      </c>
      <c r="R150" s="87">
        <f t="shared" si="1"/>
        <v>30.318750000000001</v>
      </c>
      <c r="S150" s="13"/>
      <c r="T150" s="13"/>
      <c r="U150" s="480">
        <f t="shared" si="5"/>
        <v>0.04</v>
      </c>
      <c r="V150" s="480">
        <f t="shared" si="5"/>
        <v>0.04</v>
      </c>
      <c r="W150" s="614">
        <f t="shared" si="5"/>
        <v>8.8199999999999985</v>
      </c>
      <c r="X150" s="87">
        <f t="shared" si="3"/>
        <v>485.09999999999991</v>
      </c>
    </row>
    <row r="151" spans="1:24" s="777" customFormat="1" ht="14.25" x14ac:dyDescent="0.2">
      <c r="A151" s="781"/>
      <c r="B151" s="782" t="s">
        <v>954</v>
      </c>
      <c r="C151" s="782"/>
      <c r="D151" s="782"/>
      <c r="E151" s="783">
        <v>1.4999999999999999E-2</v>
      </c>
      <c r="F151" s="480">
        <f>E151*(100%+$F$129)</f>
        <v>1.4999999999999999E-2</v>
      </c>
      <c r="G151" s="779">
        <f>F151*$F$126</f>
        <v>3.3074999999999997</v>
      </c>
      <c r="H151" s="780">
        <f>+G151*$F$127</f>
        <v>181.91249999999999</v>
      </c>
      <c r="J151" s="13"/>
      <c r="K151" s="781"/>
      <c r="L151" s="782" t="s">
        <v>954</v>
      </c>
      <c r="M151" s="782"/>
      <c r="N151" s="782"/>
      <c r="O151" s="783"/>
      <c r="P151" s="785"/>
      <c r="Q151" s="786"/>
      <c r="R151" s="787"/>
      <c r="T151" s="13"/>
      <c r="U151" s="783">
        <f t="shared" ref="U151:W152" si="6">+E151+O151</f>
        <v>1.4999999999999999E-2</v>
      </c>
      <c r="V151" s="783">
        <f t="shared" si="6"/>
        <v>1.4999999999999999E-2</v>
      </c>
      <c r="W151" s="786">
        <f t="shared" si="6"/>
        <v>3.3074999999999997</v>
      </c>
      <c r="X151" s="833">
        <f>+W151*$F$127</f>
        <v>181.91249999999999</v>
      </c>
    </row>
    <row r="152" spans="1:24" s="777" customFormat="1" ht="14.25" x14ac:dyDescent="0.2">
      <c r="A152" s="788"/>
      <c r="B152" s="789" t="s">
        <v>1021</v>
      </c>
      <c r="C152" s="789"/>
      <c r="D152" s="789"/>
      <c r="E152" s="790"/>
      <c r="F152" s="791"/>
      <c r="G152" s="792"/>
      <c r="H152" s="793"/>
      <c r="J152" s="13"/>
      <c r="K152" s="788"/>
      <c r="L152" s="789" t="s">
        <v>1021</v>
      </c>
      <c r="M152" s="789"/>
      <c r="N152" s="789"/>
      <c r="O152" s="790">
        <v>1.4999999999999999E-2</v>
      </c>
      <c r="P152" s="479">
        <f>O152*(100%+$F$130)</f>
        <v>1.4999999999999999E-2</v>
      </c>
      <c r="Q152" s="615">
        <f>IF($F$131="DA",P152*$F$126,0)</f>
        <v>3.3074999999999997</v>
      </c>
      <c r="R152" s="819">
        <f>+Q152*$F$127</f>
        <v>181.91249999999999</v>
      </c>
      <c r="T152" s="13"/>
      <c r="U152" s="790">
        <f t="shared" si="6"/>
        <v>1.4999999999999999E-2</v>
      </c>
      <c r="V152" s="790">
        <f t="shared" si="6"/>
        <v>1.4999999999999999E-2</v>
      </c>
      <c r="W152" s="615">
        <f t="shared" si="6"/>
        <v>3.3074999999999997</v>
      </c>
      <c r="X152" s="819">
        <f>+W152*$F$127</f>
        <v>181.91249999999999</v>
      </c>
    </row>
    <row r="153" spans="1:24" ht="14.25" x14ac:dyDescent="0.2">
      <c r="A153" s="116" t="s">
        <v>39</v>
      </c>
      <c r="B153" s="102" t="s">
        <v>121</v>
      </c>
      <c r="C153" s="102"/>
      <c r="D153" s="102"/>
      <c r="E153" s="302">
        <f>SUM(E154:E157)</f>
        <v>0.01</v>
      </c>
      <c r="F153" s="302">
        <f>SUM(F154:F157)</f>
        <v>0.01</v>
      </c>
      <c r="G153" s="613">
        <f>SUM(G154:G157)</f>
        <v>2.2050000000000001</v>
      </c>
      <c r="H153" s="104">
        <f>SUM(H154:H157)</f>
        <v>121.27500000000001</v>
      </c>
      <c r="I153" s="125">
        <f>IFERROR(H153/'OSNOVNI PODATKI'!$E$350,0)</f>
        <v>0</v>
      </c>
      <c r="K153" s="116" t="s">
        <v>39</v>
      </c>
      <c r="L153" s="102" t="s">
        <v>121</v>
      </c>
      <c r="M153" s="102"/>
      <c r="N153" s="102"/>
      <c r="O153" s="302">
        <f>SUM(O154:O157)</f>
        <v>0.02</v>
      </c>
      <c r="P153" s="302">
        <f>SUM(P154:P157)</f>
        <v>0.02</v>
      </c>
      <c r="Q153" s="613">
        <f>SUM(Q154:Q157)</f>
        <v>4.41</v>
      </c>
      <c r="R153" s="104">
        <f>SUM(R154:R157)</f>
        <v>242.55</v>
      </c>
      <c r="S153" s="125">
        <f>IFERROR(R153/'OSNOVNI PODATKI'!$E$350,0)</f>
        <v>0</v>
      </c>
      <c r="T153" s="13"/>
      <c r="U153" s="302">
        <f>SUM(U154:U157)</f>
        <v>0.03</v>
      </c>
      <c r="V153" s="302">
        <f>SUM(V154:V157)</f>
        <v>0.03</v>
      </c>
      <c r="W153" s="613">
        <f>SUM(W154:W157)</f>
        <v>6.6150000000000002</v>
      </c>
      <c r="X153" s="104">
        <f>SUM(X154:X157)</f>
        <v>363.82500000000005</v>
      </c>
    </row>
    <row r="154" spans="1:24" ht="14.25" x14ac:dyDescent="0.2">
      <c r="A154" s="89" t="s">
        <v>40</v>
      </c>
      <c r="B154" s="95" t="s">
        <v>839</v>
      </c>
      <c r="C154" s="95"/>
      <c r="D154" s="95"/>
      <c r="E154" s="300">
        <v>5.0000000000000001E-3</v>
      </c>
      <c r="F154" s="480">
        <f>E154*(100%+$F$129)</f>
        <v>5.0000000000000001E-3</v>
      </c>
      <c r="G154" s="614">
        <f>F154*$F$126</f>
        <v>1.1025</v>
      </c>
      <c r="H154" s="87">
        <f>+G154*$F$127</f>
        <v>60.637500000000003</v>
      </c>
      <c r="I154" s="13"/>
      <c r="K154" s="89" t="s">
        <v>40</v>
      </c>
      <c r="L154" s="95" t="s">
        <v>839</v>
      </c>
      <c r="M154" s="95"/>
      <c r="N154" s="95"/>
      <c r="O154" s="300">
        <v>2.5000000000000001E-3</v>
      </c>
      <c r="P154" s="300">
        <f>O154*(100%+$F$130)</f>
        <v>2.5000000000000001E-3</v>
      </c>
      <c r="Q154" s="614">
        <f>IF($F$131="DA",P154*$F$126,0)</f>
        <v>0.55125000000000002</v>
      </c>
      <c r="R154" s="87">
        <f>+Q154*$F$127</f>
        <v>30.318750000000001</v>
      </c>
      <c r="S154" s="13"/>
      <c r="T154" s="13"/>
      <c r="U154" s="480">
        <f t="shared" ref="U154:W157" si="7">+E154+O154</f>
        <v>7.4999999999999997E-3</v>
      </c>
      <c r="V154" s="480">
        <f t="shared" si="7"/>
        <v>7.4999999999999997E-3</v>
      </c>
      <c r="W154" s="614">
        <f t="shared" si="7"/>
        <v>1.6537500000000001</v>
      </c>
      <c r="X154" s="87">
        <f>+W154*$F$127</f>
        <v>90.956249999999997</v>
      </c>
    </row>
    <row r="155" spans="1:24" s="777" customFormat="1" ht="14.25" x14ac:dyDescent="0.2">
      <c r="A155" s="781"/>
      <c r="B155" s="782" t="s">
        <v>1022</v>
      </c>
      <c r="C155" s="782"/>
      <c r="D155" s="782"/>
      <c r="E155" s="783"/>
      <c r="F155" s="784"/>
      <c r="G155" s="786"/>
      <c r="H155" s="787"/>
      <c r="K155" s="772"/>
      <c r="L155" s="782" t="s">
        <v>1022</v>
      </c>
      <c r="M155" s="773"/>
      <c r="N155" s="773"/>
      <c r="O155" s="771">
        <v>5.0000000000000001E-3</v>
      </c>
      <c r="P155" s="300">
        <f>O155*(100%+$F$130)</f>
        <v>5.0000000000000001E-3</v>
      </c>
      <c r="Q155" s="614">
        <f>IF($F$131="DA",P155*$F$126,0)</f>
        <v>1.1025</v>
      </c>
      <c r="R155" s="780">
        <f>+Q155*$F$127</f>
        <v>60.637500000000003</v>
      </c>
      <c r="U155" s="771">
        <f t="shared" si="7"/>
        <v>5.0000000000000001E-3</v>
      </c>
      <c r="V155" s="771">
        <f t="shared" si="7"/>
        <v>5.0000000000000001E-3</v>
      </c>
      <c r="W155" s="614">
        <f t="shared" si="7"/>
        <v>1.1025</v>
      </c>
      <c r="X155" s="780">
        <f>+W155*$F$127</f>
        <v>60.637500000000003</v>
      </c>
    </row>
    <row r="156" spans="1:24" ht="14.25" x14ac:dyDescent="0.2">
      <c r="A156" s="117" t="s">
        <v>41</v>
      </c>
      <c r="B156" s="90" t="s">
        <v>201</v>
      </c>
      <c r="C156" s="90"/>
      <c r="D156" s="90"/>
      <c r="E156" s="479">
        <v>5.0000000000000001E-3</v>
      </c>
      <c r="F156" s="480">
        <f>E156*(100%+$F$129)</f>
        <v>5.0000000000000001E-3</v>
      </c>
      <c r="G156" s="615">
        <f>F156*$F$126</f>
        <v>1.1025</v>
      </c>
      <c r="H156" s="91">
        <f>+G156*$F$127</f>
        <v>60.637500000000003</v>
      </c>
      <c r="I156" s="13"/>
      <c r="K156" s="89" t="s">
        <v>41</v>
      </c>
      <c r="L156" s="95" t="s">
        <v>201</v>
      </c>
      <c r="M156" s="95"/>
      <c r="N156" s="95"/>
      <c r="O156" s="300">
        <v>2.5000000000000001E-3</v>
      </c>
      <c r="P156" s="300">
        <f>O156*(100%+$F$130)</f>
        <v>2.5000000000000001E-3</v>
      </c>
      <c r="Q156" s="614">
        <f>IF($F$131="DA",P156*$F$126,0)</f>
        <v>0.55125000000000002</v>
      </c>
      <c r="R156" s="87">
        <f>+Q156*$F$127</f>
        <v>30.318750000000001</v>
      </c>
      <c r="S156" s="13"/>
      <c r="U156" s="480">
        <f t="shared" si="7"/>
        <v>7.4999999999999997E-3</v>
      </c>
      <c r="V156" s="480">
        <f t="shared" si="7"/>
        <v>7.4999999999999997E-3</v>
      </c>
      <c r="W156" s="614">
        <f t="shared" si="7"/>
        <v>1.6537500000000001</v>
      </c>
      <c r="X156" s="87">
        <f>+W156*$F$127</f>
        <v>90.956249999999997</v>
      </c>
    </row>
    <row r="157" spans="1:24" s="777" customFormat="1" ht="14.25" x14ac:dyDescent="0.2">
      <c r="A157" s="788"/>
      <c r="B157" s="789" t="s">
        <v>1022</v>
      </c>
      <c r="C157" s="789"/>
      <c r="D157" s="789"/>
      <c r="E157" s="790"/>
      <c r="F157" s="794"/>
      <c r="G157" s="792"/>
      <c r="H157" s="793"/>
      <c r="K157" s="827"/>
      <c r="L157" s="828" t="s">
        <v>1022</v>
      </c>
      <c r="M157" s="828"/>
      <c r="N157" s="828"/>
      <c r="O157" s="829">
        <v>0.01</v>
      </c>
      <c r="P157" s="830">
        <f>O157*(100%+$F$130)</f>
        <v>0.01</v>
      </c>
      <c r="Q157" s="831">
        <f>IF($F$131="DA",P157*$F$126,0)</f>
        <v>2.2050000000000001</v>
      </c>
      <c r="R157" s="832">
        <f>+Q157*$F$127</f>
        <v>121.27500000000001</v>
      </c>
      <c r="U157" s="829">
        <f t="shared" si="7"/>
        <v>0.01</v>
      </c>
      <c r="V157" s="829">
        <f t="shared" si="7"/>
        <v>0.01</v>
      </c>
      <c r="W157" s="831">
        <f t="shared" si="7"/>
        <v>2.2050000000000001</v>
      </c>
      <c r="X157" s="832">
        <f>+W157*$F$127</f>
        <v>121.27500000000001</v>
      </c>
    </row>
    <row r="158" spans="1:24" x14ac:dyDescent="0.2">
      <c r="A158" s="120">
        <v>4</v>
      </c>
      <c r="B158" s="102" t="s">
        <v>60</v>
      </c>
      <c r="C158" s="102"/>
      <c r="D158" s="102"/>
      <c r="E158" s="302">
        <f>SUM(E159:E166)</f>
        <v>0.26</v>
      </c>
      <c r="F158" s="302">
        <f>SUM(F159:F166)</f>
        <v>0.26</v>
      </c>
      <c r="G158" s="613">
        <f>SUM(G159:G166)</f>
        <v>57.329999999999991</v>
      </c>
      <c r="H158" s="104">
        <f>SUM(H159:H166)</f>
        <v>3153.15</v>
      </c>
      <c r="I158" s="125">
        <f>IFERROR(H158/'OSNOVNI PODATKI'!$E$350,0)</f>
        <v>0</v>
      </c>
      <c r="K158" s="120">
        <v>4</v>
      </c>
      <c r="L158" s="102" t="s">
        <v>60</v>
      </c>
      <c r="M158" s="102"/>
      <c r="N158" s="102"/>
      <c r="O158" s="302">
        <f>SUM(O159:O166)</f>
        <v>0.04</v>
      </c>
      <c r="P158" s="302">
        <f>SUM(P159:P166)</f>
        <v>0.04</v>
      </c>
      <c r="Q158" s="613">
        <f>SUM(Q159:Q166)</f>
        <v>8.82</v>
      </c>
      <c r="R158" s="104">
        <f>SUM(R159:R166)</f>
        <v>485.10000000000008</v>
      </c>
      <c r="S158" s="125">
        <f>IFERROR(R158/'OSNOVNI PODATKI'!$E$350,0)</f>
        <v>0</v>
      </c>
      <c r="U158" s="302">
        <f>SUM(U159:U166)</f>
        <v>0.30000000000000004</v>
      </c>
      <c r="V158" s="302">
        <f>SUM(V159:V166)</f>
        <v>0.30000000000000004</v>
      </c>
      <c r="W158" s="613">
        <f>SUM(W159:W166)</f>
        <v>66.149999999999991</v>
      </c>
      <c r="X158" s="104">
        <f>SUM(X159:X166)</f>
        <v>3638.2499999999991</v>
      </c>
    </row>
    <row r="159" spans="1:24" ht="14.25" x14ac:dyDescent="0.2">
      <c r="A159" s="89" t="s">
        <v>42</v>
      </c>
      <c r="B159" s="95" t="s">
        <v>202</v>
      </c>
      <c r="C159" s="95"/>
      <c r="D159" s="95"/>
      <c r="E159" s="300"/>
      <c r="F159" s="300"/>
      <c r="G159" s="614">
        <f t="shared" ref="G159:G166" si="8">F159*$F$126</f>
        <v>0</v>
      </c>
      <c r="H159" s="87">
        <f t="shared" ref="H159:H166" si="9">+G159*$F$127</f>
        <v>0</v>
      </c>
      <c r="I159" s="13"/>
      <c r="K159" s="89" t="s">
        <v>42</v>
      </c>
      <c r="L159" s="95" t="s">
        <v>202</v>
      </c>
      <c r="M159" s="95"/>
      <c r="N159" s="95"/>
      <c r="O159" s="300">
        <v>0.01</v>
      </c>
      <c r="P159" s="300">
        <f t="shared" ref="P159:P166" si="10">O159*(100%+$F$130)</f>
        <v>0.01</v>
      </c>
      <c r="Q159" s="614">
        <f t="shared" ref="Q159:Q166" si="11">IF($F$131="DA",P159*$F$126,0)</f>
        <v>2.2050000000000001</v>
      </c>
      <c r="R159" s="87">
        <f t="shared" ref="R159:R166" si="12">+Q159*$F$127</f>
        <v>121.27500000000001</v>
      </c>
      <c r="S159" s="13"/>
      <c r="U159" s="480">
        <f t="shared" ref="U159:W160" si="13">+E159+O159</f>
        <v>0.01</v>
      </c>
      <c r="V159" s="480">
        <f t="shared" si="13"/>
        <v>0.01</v>
      </c>
      <c r="W159" s="614">
        <f t="shared" si="13"/>
        <v>2.2050000000000001</v>
      </c>
      <c r="X159" s="87">
        <f t="shared" ref="X159:X166" si="14">+W159*$F$127</f>
        <v>121.27500000000001</v>
      </c>
    </row>
    <row r="160" spans="1:24" ht="14.25" x14ac:dyDescent="0.2">
      <c r="A160" s="89" t="s">
        <v>43</v>
      </c>
      <c r="B160" s="95" t="s">
        <v>858</v>
      </c>
      <c r="C160" s="95"/>
      <c r="D160" s="95"/>
      <c r="E160" s="300">
        <v>5.5E-2</v>
      </c>
      <c r="F160" s="480">
        <f t="shared" ref="F160:F166" si="15">E160*(100%+$F$129)</f>
        <v>5.5E-2</v>
      </c>
      <c r="G160" s="614">
        <f t="shared" si="8"/>
        <v>12.1275</v>
      </c>
      <c r="H160" s="87">
        <f t="shared" si="9"/>
        <v>667.01249999999993</v>
      </c>
      <c r="I160" s="13"/>
      <c r="K160" s="89" t="s">
        <v>43</v>
      </c>
      <c r="L160" s="95" t="s">
        <v>858</v>
      </c>
      <c r="M160" s="95"/>
      <c r="N160" s="95"/>
      <c r="O160" s="300">
        <v>5.0000000000000001E-3</v>
      </c>
      <c r="P160" s="300">
        <f t="shared" si="10"/>
        <v>5.0000000000000001E-3</v>
      </c>
      <c r="Q160" s="614">
        <f t="shared" si="11"/>
        <v>1.1025</v>
      </c>
      <c r="R160" s="87">
        <f t="shared" si="12"/>
        <v>60.637500000000003</v>
      </c>
      <c r="S160" s="13"/>
      <c r="U160" s="480">
        <f t="shared" si="13"/>
        <v>0.06</v>
      </c>
      <c r="V160" s="480">
        <f t="shared" si="13"/>
        <v>0.06</v>
      </c>
      <c r="W160" s="614">
        <f t="shared" si="13"/>
        <v>13.23</v>
      </c>
      <c r="X160" s="87">
        <f t="shared" si="14"/>
        <v>727.65</v>
      </c>
    </row>
    <row r="161" spans="1:24" s="777" customFormat="1" ht="14.25" x14ac:dyDescent="0.2">
      <c r="A161" s="772"/>
      <c r="B161" s="773" t="s">
        <v>502</v>
      </c>
      <c r="C161" s="773"/>
      <c r="D161" s="773"/>
      <c r="E161" s="771">
        <v>0.16500000000000001</v>
      </c>
      <c r="F161" s="480">
        <f t="shared" si="15"/>
        <v>0.16500000000000001</v>
      </c>
      <c r="G161" s="779">
        <f t="shared" si="8"/>
        <v>36.3825</v>
      </c>
      <c r="H161" s="780">
        <f t="shared" si="9"/>
        <v>2001.0374999999999</v>
      </c>
      <c r="K161" s="772"/>
      <c r="L161" s="773" t="s">
        <v>502</v>
      </c>
      <c r="M161" s="773"/>
      <c r="N161" s="773"/>
      <c r="O161" s="771">
        <v>1.4999999999999999E-2</v>
      </c>
      <c r="P161" s="300">
        <f t="shared" si="10"/>
        <v>1.4999999999999999E-2</v>
      </c>
      <c r="Q161" s="614">
        <f t="shared" si="11"/>
        <v>3.3074999999999997</v>
      </c>
      <c r="R161" s="780">
        <f t="shared" si="12"/>
        <v>181.91249999999999</v>
      </c>
      <c r="U161" s="771">
        <f t="shared" ref="U161:W166" si="16">+E161+O161</f>
        <v>0.18</v>
      </c>
      <c r="V161" s="771">
        <f t="shared" si="16"/>
        <v>0.18</v>
      </c>
      <c r="W161" s="614">
        <f t="shared" si="16"/>
        <v>39.69</v>
      </c>
      <c r="X161" s="780">
        <f t="shared" si="14"/>
        <v>2182.9499999999998</v>
      </c>
    </row>
    <row r="162" spans="1:24" ht="14.25" x14ac:dyDescent="0.2">
      <c r="A162" s="89" t="s">
        <v>44</v>
      </c>
      <c r="B162" s="95" t="s">
        <v>953</v>
      </c>
      <c r="C162" s="95"/>
      <c r="D162" s="95"/>
      <c r="E162" s="300">
        <v>4.0000000000000001E-3</v>
      </c>
      <c r="F162" s="480">
        <f t="shared" si="15"/>
        <v>4.0000000000000001E-3</v>
      </c>
      <c r="G162" s="614">
        <f t="shared" si="8"/>
        <v>0.88200000000000001</v>
      </c>
      <c r="H162" s="87">
        <f t="shared" si="9"/>
        <v>48.51</v>
      </c>
      <c r="I162" s="13"/>
      <c r="K162" s="89" t="s">
        <v>44</v>
      </c>
      <c r="L162" s="95" t="s">
        <v>953</v>
      </c>
      <c r="M162" s="95"/>
      <c r="N162" s="95"/>
      <c r="O162" s="300">
        <v>1E-3</v>
      </c>
      <c r="P162" s="300">
        <f t="shared" si="10"/>
        <v>1E-3</v>
      </c>
      <c r="Q162" s="614">
        <f t="shared" si="11"/>
        <v>0.2205</v>
      </c>
      <c r="R162" s="87">
        <f t="shared" si="12"/>
        <v>12.1275</v>
      </c>
      <c r="S162" s="13"/>
      <c r="U162" s="480">
        <f t="shared" si="16"/>
        <v>5.0000000000000001E-3</v>
      </c>
      <c r="V162" s="480">
        <f t="shared" si="16"/>
        <v>5.0000000000000001E-3</v>
      </c>
      <c r="W162" s="614">
        <f t="shared" si="16"/>
        <v>1.1025</v>
      </c>
      <c r="X162" s="87">
        <f t="shared" si="14"/>
        <v>60.637500000000003</v>
      </c>
    </row>
    <row r="163" spans="1:24" s="777" customFormat="1" ht="14.25" x14ac:dyDescent="0.2">
      <c r="A163" s="772"/>
      <c r="B163" s="773" t="s">
        <v>502</v>
      </c>
      <c r="C163" s="773"/>
      <c r="D163" s="773"/>
      <c r="E163" s="771">
        <v>3.5000000000000001E-3</v>
      </c>
      <c r="F163" s="480">
        <f t="shared" si="15"/>
        <v>3.5000000000000001E-3</v>
      </c>
      <c r="G163" s="779">
        <f t="shared" si="8"/>
        <v>0.77175000000000005</v>
      </c>
      <c r="H163" s="780">
        <f t="shared" si="9"/>
        <v>42.446249999999999</v>
      </c>
      <c r="K163" s="772"/>
      <c r="L163" s="773" t="s">
        <v>502</v>
      </c>
      <c r="M163" s="773"/>
      <c r="N163" s="773"/>
      <c r="O163" s="771">
        <v>1.5E-3</v>
      </c>
      <c r="P163" s="300">
        <f t="shared" si="10"/>
        <v>1.5E-3</v>
      </c>
      <c r="Q163" s="614">
        <f t="shared" si="11"/>
        <v>0.33074999999999999</v>
      </c>
      <c r="R163" s="780">
        <f t="shared" si="12"/>
        <v>18.19125</v>
      </c>
      <c r="U163" s="771">
        <f t="shared" si="16"/>
        <v>5.0000000000000001E-3</v>
      </c>
      <c r="V163" s="771">
        <f t="shared" si="16"/>
        <v>5.0000000000000001E-3</v>
      </c>
      <c r="W163" s="614">
        <f t="shared" si="16"/>
        <v>1.1025</v>
      </c>
      <c r="X163" s="780">
        <f t="shared" si="14"/>
        <v>60.637500000000003</v>
      </c>
    </row>
    <row r="164" spans="1:24" ht="14.25" x14ac:dyDescent="0.2">
      <c r="A164" s="89" t="s">
        <v>45</v>
      </c>
      <c r="B164" s="95" t="s">
        <v>859</v>
      </c>
      <c r="C164" s="95"/>
      <c r="D164" s="95"/>
      <c r="E164" s="300">
        <v>4.0000000000000001E-3</v>
      </c>
      <c r="F164" s="480">
        <f t="shared" si="15"/>
        <v>4.0000000000000001E-3</v>
      </c>
      <c r="G164" s="614">
        <f t="shared" si="8"/>
        <v>0.88200000000000001</v>
      </c>
      <c r="H164" s="87">
        <f t="shared" si="9"/>
        <v>48.51</v>
      </c>
      <c r="I164" s="13"/>
      <c r="K164" s="89" t="s">
        <v>45</v>
      </c>
      <c r="L164" s="95" t="s">
        <v>859</v>
      </c>
      <c r="M164" s="95"/>
      <c r="N164" s="95"/>
      <c r="O164" s="300">
        <v>1E-3</v>
      </c>
      <c r="P164" s="300">
        <f t="shared" si="10"/>
        <v>1E-3</v>
      </c>
      <c r="Q164" s="614">
        <f t="shared" si="11"/>
        <v>0.2205</v>
      </c>
      <c r="R164" s="87">
        <f t="shared" si="12"/>
        <v>12.1275</v>
      </c>
      <c r="S164" s="13"/>
      <c r="U164" s="480">
        <f t="shared" si="16"/>
        <v>5.0000000000000001E-3</v>
      </c>
      <c r="V164" s="480">
        <f t="shared" si="16"/>
        <v>5.0000000000000001E-3</v>
      </c>
      <c r="W164" s="614">
        <f t="shared" si="16"/>
        <v>1.1025</v>
      </c>
      <c r="X164" s="87">
        <f t="shared" si="14"/>
        <v>60.637500000000003</v>
      </c>
    </row>
    <row r="165" spans="1:24" s="777" customFormat="1" ht="14.25" x14ac:dyDescent="0.2">
      <c r="A165" s="772"/>
      <c r="B165" s="773" t="s">
        <v>502</v>
      </c>
      <c r="C165" s="773"/>
      <c r="D165" s="773"/>
      <c r="E165" s="771">
        <v>3.5000000000000001E-3</v>
      </c>
      <c r="F165" s="480">
        <f t="shared" si="15"/>
        <v>3.5000000000000001E-3</v>
      </c>
      <c r="G165" s="779">
        <f t="shared" si="8"/>
        <v>0.77175000000000005</v>
      </c>
      <c r="H165" s="780">
        <f t="shared" si="9"/>
        <v>42.446249999999999</v>
      </c>
      <c r="K165" s="772"/>
      <c r="L165" s="773" t="s">
        <v>502</v>
      </c>
      <c r="M165" s="773"/>
      <c r="N165" s="773"/>
      <c r="O165" s="771">
        <v>1.5E-3</v>
      </c>
      <c r="P165" s="300">
        <f t="shared" si="10"/>
        <v>1.5E-3</v>
      </c>
      <c r="Q165" s="614">
        <f t="shared" si="11"/>
        <v>0.33074999999999999</v>
      </c>
      <c r="R165" s="780">
        <f t="shared" si="12"/>
        <v>18.19125</v>
      </c>
      <c r="U165" s="771">
        <f t="shared" si="16"/>
        <v>5.0000000000000001E-3</v>
      </c>
      <c r="V165" s="771">
        <f t="shared" si="16"/>
        <v>5.0000000000000001E-3</v>
      </c>
      <c r="W165" s="614">
        <f t="shared" si="16"/>
        <v>1.1025</v>
      </c>
      <c r="X165" s="780">
        <f t="shared" si="14"/>
        <v>60.637500000000003</v>
      </c>
    </row>
    <row r="166" spans="1:24" ht="14.25" x14ac:dyDescent="0.2">
      <c r="A166" s="117" t="s">
        <v>46</v>
      </c>
      <c r="B166" s="90" t="s">
        <v>840</v>
      </c>
      <c r="C166" s="90"/>
      <c r="D166" s="90"/>
      <c r="E166" s="479">
        <v>2.5000000000000001E-2</v>
      </c>
      <c r="F166" s="481">
        <f t="shared" si="15"/>
        <v>2.5000000000000001E-2</v>
      </c>
      <c r="G166" s="615">
        <f t="shared" si="8"/>
        <v>5.5125000000000002</v>
      </c>
      <c r="H166" s="91">
        <f t="shared" si="9"/>
        <v>303.1875</v>
      </c>
      <c r="I166" s="13"/>
      <c r="K166" s="117" t="s">
        <v>46</v>
      </c>
      <c r="L166" s="90" t="s">
        <v>840</v>
      </c>
      <c r="M166" s="90"/>
      <c r="N166" s="90"/>
      <c r="O166" s="479">
        <v>5.0000000000000001E-3</v>
      </c>
      <c r="P166" s="300">
        <f t="shared" si="10"/>
        <v>5.0000000000000001E-3</v>
      </c>
      <c r="Q166" s="615">
        <f t="shared" si="11"/>
        <v>1.1025</v>
      </c>
      <c r="R166" s="91">
        <f t="shared" si="12"/>
        <v>60.637500000000003</v>
      </c>
      <c r="S166" s="13"/>
      <c r="U166" s="481">
        <f t="shared" si="16"/>
        <v>3.0000000000000002E-2</v>
      </c>
      <c r="V166" s="481">
        <f t="shared" si="16"/>
        <v>3.0000000000000002E-2</v>
      </c>
      <c r="W166" s="615">
        <f t="shared" si="16"/>
        <v>6.6150000000000002</v>
      </c>
      <c r="X166" s="91">
        <f t="shared" si="14"/>
        <v>363.82499999999999</v>
      </c>
    </row>
    <row r="167" spans="1:24" x14ac:dyDescent="0.2">
      <c r="A167" s="121">
        <v>5</v>
      </c>
      <c r="B167" s="102" t="s">
        <v>47</v>
      </c>
      <c r="C167" s="102"/>
      <c r="D167" s="102"/>
      <c r="E167" s="302">
        <f>SUM(E168:E169)</f>
        <v>1.4999999999999999E-2</v>
      </c>
      <c r="F167" s="302">
        <f>SUM(F168:F169)</f>
        <v>1.4999999999999999E-2</v>
      </c>
      <c r="G167" s="613">
        <f>SUM(G168:G169)</f>
        <v>3.3074999999999997</v>
      </c>
      <c r="H167" s="104">
        <f>SUM(H168:H169)</f>
        <v>181.91249999999999</v>
      </c>
      <c r="I167" s="125">
        <f>IFERROR(H167/'OSNOVNI PODATKI'!$E$350,0)</f>
        <v>0</v>
      </c>
      <c r="K167" s="121">
        <v>5</v>
      </c>
      <c r="L167" s="102" t="s">
        <v>47</v>
      </c>
      <c r="M167" s="102"/>
      <c r="N167" s="102"/>
      <c r="O167" s="302">
        <f>SUM(O168:O169)</f>
        <v>5.0000000000000001E-3</v>
      </c>
      <c r="P167" s="304">
        <f>SUM(P168:P169)</f>
        <v>5.0000000000000001E-3</v>
      </c>
      <c r="Q167" s="613">
        <f>SUM(Q168:Q169)</f>
        <v>1.1025</v>
      </c>
      <c r="R167" s="104">
        <f>SUM(R168:R169)</f>
        <v>60.637500000000003</v>
      </c>
      <c r="S167" s="125">
        <f>IFERROR(R167/'OSNOVNI PODATKI'!$E$350,0)</f>
        <v>0</v>
      </c>
      <c r="U167" s="302">
        <f>SUM(U168:U169)</f>
        <v>0.02</v>
      </c>
      <c r="V167" s="302">
        <f>SUM(V168:V169)</f>
        <v>0.02</v>
      </c>
      <c r="W167" s="613">
        <f>SUM(W168:W169)</f>
        <v>4.41</v>
      </c>
      <c r="X167" s="104">
        <f>SUM(X168:X169)</f>
        <v>242.55</v>
      </c>
    </row>
    <row r="168" spans="1:24" ht="14.25" x14ac:dyDescent="0.2">
      <c r="A168" s="89" t="s">
        <v>48</v>
      </c>
      <c r="B168" s="98" t="s">
        <v>204</v>
      </c>
      <c r="C168" s="98"/>
      <c r="D168" s="98"/>
      <c r="E168" s="300">
        <v>7.4999999999999997E-3</v>
      </c>
      <c r="F168" s="480">
        <f>E168</f>
        <v>7.4999999999999997E-3</v>
      </c>
      <c r="G168" s="614">
        <f>F168*$F$126</f>
        <v>1.6537499999999998</v>
      </c>
      <c r="H168" s="87">
        <f>+G168*$F$127</f>
        <v>90.956249999999997</v>
      </c>
      <c r="I168" s="13"/>
      <c r="K168" s="89" t="s">
        <v>48</v>
      </c>
      <c r="L168" s="98" t="s">
        <v>204</v>
      </c>
      <c r="M168" s="98"/>
      <c r="N168" s="98"/>
      <c r="O168" s="300">
        <v>2.5000000000000001E-3</v>
      </c>
      <c r="P168" s="300">
        <f>O168*(100%+$F$130)</f>
        <v>2.5000000000000001E-3</v>
      </c>
      <c r="Q168" s="614">
        <f>IF($F$131="DA",P168*$F$126,0)</f>
        <v>0.55125000000000002</v>
      </c>
      <c r="R168" s="87">
        <f>+Q168*$F$127</f>
        <v>30.318750000000001</v>
      </c>
      <c r="S168" s="13"/>
      <c r="U168" s="480">
        <f t="shared" ref="U168:W169" si="17">+E168+O168</f>
        <v>0.01</v>
      </c>
      <c r="V168" s="480">
        <f t="shared" si="17"/>
        <v>0.01</v>
      </c>
      <c r="W168" s="614">
        <f t="shared" si="17"/>
        <v>2.2050000000000001</v>
      </c>
      <c r="X168" s="87">
        <f>+W168*$F$127</f>
        <v>121.27500000000001</v>
      </c>
    </row>
    <row r="169" spans="1:24" ht="14.25" x14ac:dyDescent="0.2">
      <c r="A169" s="117" t="s">
        <v>49</v>
      </c>
      <c r="B169" s="123" t="s">
        <v>205</v>
      </c>
      <c r="C169" s="123"/>
      <c r="D169" s="123"/>
      <c r="E169" s="479">
        <v>7.4999999999999997E-3</v>
      </c>
      <c r="F169" s="481">
        <f>E169</f>
        <v>7.4999999999999997E-3</v>
      </c>
      <c r="G169" s="615">
        <f>F169*$F$126</f>
        <v>1.6537499999999998</v>
      </c>
      <c r="H169" s="91">
        <f>+G169*$F$127</f>
        <v>90.956249999999997</v>
      </c>
      <c r="I169" s="13"/>
      <c r="K169" s="117" t="s">
        <v>49</v>
      </c>
      <c r="L169" s="123" t="s">
        <v>205</v>
      </c>
      <c r="M169" s="123"/>
      <c r="N169" s="123"/>
      <c r="O169" s="479">
        <v>2.5000000000000001E-3</v>
      </c>
      <c r="P169" s="300">
        <f>O169*(100%+$F$130)</f>
        <v>2.5000000000000001E-3</v>
      </c>
      <c r="Q169" s="615">
        <f>IF($F$131="DA",P169*$F$126,0)</f>
        <v>0.55125000000000002</v>
      </c>
      <c r="R169" s="91">
        <f>+Q169*$F$127</f>
        <v>30.318750000000001</v>
      </c>
      <c r="S169" s="13"/>
      <c r="U169" s="481">
        <f t="shared" si="17"/>
        <v>0.01</v>
      </c>
      <c r="V169" s="481">
        <f t="shared" si="17"/>
        <v>0.01</v>
      </c>
      <c r="W169" s="615">
        <f t="shared" si="17"/>
        <v>2.2050000000000001</v>
      </c>
      <c r="X169" s="91">
        <f>+W169*$F$127</f>
        <v>121.27500000000001</v>
      </c>
    </row>
    <row r="170" spans="1:24" ht="14.25" x14ac:dyDescent="0.2">
      <c r="A170" s="122">
        <v>6</v>
      </c>
      <c r="B170" s="102" t="s">
        <v>50</v>
      </c>
      <c r="C170" s="102"/>
      <c r="D170" s="102"/>
      <c r="E170" s="103"/>
      <c r="F170" s="103"/>
      <c r="G170" s="607"/>
      <c r="H170" s="104"/>
      <c r="I170" s="13"/>
      <c r="K170" s="122">
        <v>6</v>
      </c>
      <c r="L170" s="102" t="s">
        <v>50</v>
      </c>
      <c r="M170" s="102"/>
      <c r="N170" s="102"/>
      <c r="O170" s="103"/>
      <c r="P170" s="305"/>
      <c r="Q170" s="607"/>
      <c r="R170" s="104"/>
      <c r="S170" s="13"/>
      <c r="U170" s="103"/>
      <c r="V170" s="103"/>
      <c r="W170" s="607"/>
      <c r="X170" s="104"/>
    </row>
    <row r="171" spans="1:24" ht="14.25" x14ac:dyDescent="0.2">
      <c r="A171" s="89" t="s">
        <v>54</v>
      </c>
      <c r="B171" s="98" t="s">
        <v>206</v>
      </c>
      <c r="C171" s="98"/>
      <c r="D171" s="98"/>
      <c r="E171" s="86"/>
      <c r="F171" s="86"/>
      <c r="G171" s="608"/>
      <c r="H171" s="87"/>
      <c r="I171" s="13"/>
      <c r="K171" s="89" t="s">
        <v>54</v>
      </c>
      <c r="L171" s="98" t="s">
        <v>206</v>
      </c>
      <c r="M171" s="98"/>
      <c r="N171" s="98"/>
      <c r="O171" s="86"/>
      <c r="P171" s="86"/>
      <c r="Q171" s="608"/>
      <c r="R171" s="87"/>
      <c r="S171" s="13"/>
      <c r="U171" s="86"/>
      <c r="V171" s="86"/>
      <c r="W171" s="608"/>
      <c r="X171" s="87"/>
    </row>
    <row r="172" spans="1:24" ht="14.25" x14ac:dyDescent="0.2">
      <c r="A172" s="89" t="s">
        <v>55</v>
      </c>
      <c r="B172" s="98" t="s">
        <v>207</v>
      </c>
      <c r="C172" s="98"/>
      <c r="D172" s="98"/>
      <c r="E172" s="86"/>
      <c r="F172" s="86"/>
      <c r="G172" s="608"/>
      <c r="H172" s="87"/>
      <c r="I172" s="13"/>
      <c r="K172" s="89" t="s">
        <v>55</v>
      </c>
      <c r="L172" s="98" t="s">
        <v>207</v>
      </c>
      <c r="M172" s="98"/>
      <c r="N172" s="98"/>
      <c r="O172" s="86"/>
      <c r="P172" s="86"/>
      <c r="Q172" s="608"/>
      <c r="R172" s="87"/>
      <c r="S172" s="13"/>
      <c r="U172" s="86"/>
      <c r="V172" s="86"/>
      <c r="W172" s="608"/>
      <c r="X172" s="87"/>
    </row>
    <row r="173" spans="1:24" ht="14.25" x14ac:dyDescent="0.2">
      <c r="A173" s="117" t="s">
        <v>56</v>
      </c>
      <c r="B173" s="123" t="s">
        <v>208</v>
      </c>
      <c r="C173" s="123"/>
      <c r="D173" s="123"/>
      <c r="E173" s="112"/>
      <c r="F173" s="112"/>
      <c r="G173" s="609"/>
      <c r="H173" s="91"/>
      <c r="I173" s="13"/>
      <c r="K173" s="117" t="s">
        <v>56</v>
      </c>
      <c r="L173" s="123" t="s">
        <v>208</v>
      </c>
      <c r="M173" s="123"/>
      <c r="N173" s="123"/>
      <c r="O173" s="112"/>
      <c r="P173" s="112"/>
      <c r="Q173" s="609"/>
      <c r="R173" s="91"/>
      <c r="S173" s="13"/>
      <c r="U173" s="112"/>
      <c r="V173" s="112"/>
      <c r="W173" s="609"/>
      <c r="X173" s="91"/>
    </row>
    <row r="174" spans="1:24" ht="14.25" x14ac:dyDescent="0.2">
      <c r="A174" s="92"/>
      <c r="B174" s="93"/>
      <c r="C174" s="93"/>
      <c r="D174" s="93"/>
      <c r="E174" s="94"/>
      <c r="F174" s="94"/>
      <c r="G174" s="610"/>
      <c r="H174" s="93"/>
      <c r="I174" s="13"/>
      <c r="K174" s="92"/>
      <c r="L174" s="93"/>
      <c r="M174" s="93"/>
      <c r="N174" s="93"/>
      <c r="O174" s="94"/>
      <c r="P174" s="94"/>
      <c r="Q174" s="610"/>
      <c r="R174" s="93"/>
      <c r="S174" s="13"/>
      <c r="U174" s="94"/>
      <c r="V174" s="94"/>
      <c r="W174" s="610"/>
      <c r="X174" s="93"/>
    </row>
    <row r="175" spans="1:24" x14ac:dyDescent="0.2">
      <c r="A175" s="126"/>
      <c r="B175" s="127" t="s">
        <v>1</v>
      </c>
      <c r="C175" s="127"/>
      <c r="D175" s="127"/>
      <c r="E175" s="128">
        <f>E135+E138+E142+E153+E158+E167+E170</f>
        <v>0.82000000000000006</v>
      </c>
      <c r="F175" s="128">
        <f>F135+F138+F142+F153+F158+F167+F170</f>
        <v>0.82000000000000006</v>
      </c>
      <c r="G175" s="611">
        <f>G135+G138+G142+G153+G158+G167+G170</f>
        <v>180.81</v>
      </c>
      <c r="H175" s="129">
        <f>H135+H138+H142+H153+H158+H167+H170</f>
        <v>9944.5499999999993</v>
      </c>
      <c r="I175" s="125">
        <f>IFERROR(H175/'OSNOVNI PODATKI'!$E$350,0)</f>
        <v>0</v>
      </c>
      <c r="K175" s="126"/>
      <c r="L175" s="127" t="s">
        <v>0</v>
      </c>
      <c r="M175" s="127"/>
      <c r="N175" s="127"/>
      <c r="O175" s="128">
        <f>O135+O138+O142+O153+O158+O167+O170</f>
        <v>0.18000000000000002</v>
      </c>
      <c r="P175" s="128">
        <f>P135+P138+P142+P153+P158+P167+P170</f>
        <v>0.18000000000000002</v>
      </c>
      <c r="Q175" s="611">
        <f>Q135+Q138+Q142+Q153+Q158+Q167+Q170</f>
        <v>39.690000000000005</v>
      </c>
      <c r="R175" s="129">
        <f>R135+R138+R142+R153+R158+R167+R170</f>
        <v>2182.9499999999998</v>
      </c>
      <c r="S175" s="125">
        <f>IFERROR(R175/'OSNOVNI PODATKI'!$E$350,0)</f>
        <v>0</v>
      </c>
      <c r="U175" s="128">
        <f>U135+U138+U142+U153+U158+U167+U170</f>
        <v>1.0000000000000002</v>
      </c>
      <c r="V175" s="128">
        <f>V135+V138+V142+V153+V158+V167+V170</f>
        <v>1.0000000000000002</v>
      </c>
      <c r="W175" s="611">
        <f>W135+W138+W142+W153+W158+W167+W170</f>
        <v>220.50000000000003</v>
      </c>
      <c r="X175" s="129">
        <f>X135+X138+X142+X153+X158+X167+X170</f>
        <v>12127.5</v>
      </c>
    </row>
    <row r="183" spans="3:11" x14ac:dyDescent="0.2">
      <c r="I183" s="237">
        <f>SUM(I184:I191)</f>
        <v>0.26</v>
      </c>
      <c r="J183" s="237">
        <f>SUM(J184:J191)</f>
        <v>0.04</v>
      </c>
      <c r="K183" s="237">
        <f>SUM(K184:K191)</f>
        <v>0.30000000000000004</v>
      </c>
    </row>
    <row r="184" spans="3:11" x14ac:dyDescent="0.2">
      <c r="C184" s="75">
        <f>1+52.5+1+26+1.5</f>
        <v>82</v>
      </c>
      <c r="E184" s="712">
        <v>9.5000000000000001E-2</v>
      </c>
      <c r="F184" s="712">
        <v>5.0000000000000001E-3</v>
      </c>
      <c r="G184" s="717">
        <f>SUM(E184:F184)</f>
        <v>0.1</v>
      </c>
      <c r="I184" s="718">
        <v>0</v>
      </c>
      <c r="J184" s="718">
        <v>0.01</v>
      </c>
      <c r="K184" s="719">
        <f>SUM(I184:J184)</f>
        <v>0.01</v>
      </c>
    </row>
    <row r="185" spans="3:11" x14ac:dyDescent="0.2">
      <c r="E185" s="713">
        <v>0.14249999999999999</v>
      </c>
      <c r="F185" s="713">
        <v>7.4999999999999997E-3</v>
      </c>
      <c r="G185" s="717">
        <f t="shared" ref="G185:G191" si="18">SUM(E185:F185)</f>
        <v>0.15</v>
      </c>
      <c r="I185" s="713">
        <v>5.5E-2</v>
      </c>
      <c r="J185" s="713">
        <v>5.0000000000000001E-3</v>
      </c>
      <c r="K185" s="719">
        <f>SUM(I185:J185)</f>
        <v>0.06</v>
      </c>
    </row>
    <row r="186" spans="3:11" x14ac:dyDescent="0.2">
      <c r="E186" s="714">
        <v>0</v>
      </c>
      <c r="F186" s="714">
        <v>0.03</v>
      </c>
      <c r="G186" s="717">
        <f t="shared" si="18"/>
        <v>0.03</v>
      </c>
      <c r="I186" s="716">
        <v>0.16500000000000001</v>
      </c>
      <c r="J186" s="716">
        <v>1.4999999999999999E-2</v>
      </c>
      <c r="K186" s="720">
        <f>SUM(I186:J186)</f>
        <v>0.18</v>
      </c>
    </row>
    <row r="187" spans="3:11" x14ac:dyDescent="0.2">
      <c r="E187" s="715">
        <v>0</v>
      </c>
      <c r="F187" s="715">
        <v>0.02</v>
      </c>
      <c r="G187" s="717">
        <f t="shared" si="18"/>
        <v>0.02</v>
      </c>
      <c r="I187" s="713">
        <v>4.0000000000000001E-3</v>
      </c>
      <c r="J187" s="713">
        <v>1E-3</v>
      </c>
      <c r="K187" s="719">
        <v>5.0000000000000001E-3</v>
      </c>
    </row>
    <row r="188" spans="3:11" x14ac:dyDescent="0.2">
      <c r="E188" s="713">
        <v>0.23499999999999999</v>
      </c>
      <c r="F188" s="713">
        <v>1.4999999999999999E-2</v>
      </c>
      <c r="G188" s="717">
        <f t="shared" si="18"/>
        <v>0.25</v>
      </c>
      <c r="I188" s="716">
        <v>3.5000000000000001E-3</v>
      </c>
      <c r="J188" s="716">
        <v>1.5E-3</v>
      </c>
      <c r="K188" s="720">
        <v>5.0000000000000001E-3</v>
      </c>
    </row>
    <row r="189" spans="3:11" x14ac:dyDescent="0.2">
      <c r="E189" s="713">
        <v>3.7499999999999999E-2</v>
      </c>
      <c r="F189" s="713">
        <v>2.5000000000000001E-3</v>
      </c>
      <c r="G189" s="717">
        <f t="shared" si="18"/>
        <v>0.04</v>
      </c>
      <c r="I189" s="713">
        <v>4.0000000000000001E-3</v>
      </c>
      <c r="J189" s="713">
        <v>1E-3</v>
      </c>
      <c r="K189" s="719">
        <v>1.4999999999999999E-2</v>
      </c>
    </row>
    <row r="190" spans="3:11" x14ac:dyDescent="0.2">
      <c r="E190" s="716">
        <v>1.4999999999999999E-2</v>
      </c>
      <c r="F190" s="715">
        <v>0</v>
      </c>
      <c r="G190" s="717">
        <f t="shared" si="18"/>
        <v>1.4999999999999999E-2</v>
      </c>
      <c r="I190" s="716">
        <v>3.5000000000000001E-3</v>
      </c>
      <c r="J190" s="716">
        <v>1.5E-3</v>
      </c>
      <c r="K190" s="720">
        <v>5.0000000000000001E-3</v>
      </c>
    </row>
    <row r="191" spans="3:11" x14ac:dyDescent="0.2">
      <c r="E191" s="715">
        <v>0</v>
      </c>
      <c r="F191" s="716">
        <v>1.4999999999999999E-2</v>
      </c>
      <c r="G191" s="717">
        <f t="shared" si="18"/>
        <v>1.4999999999999999E-2</v>
      </c>
      <c r="I191" s="713">
        <v>2.5000000000000001E-2</v>
      </c>
      <c r="J191" s="713">
        <v>5.0000000000000001E-3</v>
      </c>
      <c r="K191" s="719">
        <v>0.02</v>
      </c>
    </row>
    <row r="192" spans="3:11" x14ac:dyDescent="0.2">
      <c r="E192" s="717">
        <f>SUM(E184:E191)</f>
        <v>0.52500000000000002</v>
      </c>
      <c r="F192" s="717">
        <f>SUM(F184:F191)</f>
        <v>9.5000000000000001E-2</v>
      </c>
    </row>
  </sheetData>
  <sheetProtection algorithmName="SHA-512" hashValue="K400uFTZHPoT8VumL8/8J2s33Khzfjvg+4+Ky1FHsio8atHsM1DiPa9+0nH4DAfTWFsVM2MSGLHI1Ph45J1b7w==" saltValue="iD/0WhP56jbuZ6g6QtPLX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Q182"/>
  <sheetViews>
    <sheetView topLeftCell="A73" workbookViewId="0">
      <selection activeCell="B105" sqref="B105"/>
    </sheetView>
  </sheetViews>
  <sheetFormatPr defaultColWidth="9.140625" defaultRowHeight="12.75" x14ac:dyDescent="0.2"/>
  <cols>
    <col min="1" max="1" width="8.140625" style="75" customWidth="1"/>
    <col min="2" max="2" width="26.28515625" style="75" customWidth="1"/>
    <col min="3" max="8" width="13.5703125" style="75" customWidth="1"/>
    <col min="9" max="9" width="14.85546875" style="75" customWidth="1"/>
    <col min="10" max="12" width="13.5703125" style="75" customWidth="1"/>
    <col min="13" max="16384" width="9.140625" style="75"/>
  </cols>
  <sheetData>
    <row r="1" spans="1:17" ht="26.25" x14ac:dyDescent="0.2">
      <c r="B1" s="723" t="s">
        <v>1118</v>
      </c>
      <c r="C1" s="4"/>
      <c r="D1" s="4"/>
      <c r="E1" s="4"/>
      <c r="F1" s="4"/>
      <c r="G1" s="4"/>
      <c r="H1" s="4"/>
      <c r="I1"/>
      <c r="J1"/>
      <c r="K1"/>
      <c r="L1"/>
      <c r="Q1" s="5"/>
    </row>
    <row r="2" spans="1:17" ht="15" thickBot="1" x14ac:dyDescent="0.25">
      <c r="B2" s="11"/>
    </row>
    <row r="3" spans="1:17" s="77" customFormat="1" ht="18.75" x14ac:dyDescent="0.2">
      <c r="A3" s="807" t="s">
        <v>934</v>
      </c>
      <c r="B3" s="807"/>
      <c r="C3" s="807"/>
      <c r="D3" s="807"/>
      <c r="E3" s="807"/>
      <c r="F3" s="807"/>
      <c r="G3" s="807"/>
      <c r="H3" s="807"/>
      <c r="I3" s="807"/>
    </row>
    <row r="4" spans="1:17" s="77" customFormat="1" ht="18.75" x14ac:dyDescent="0.2">
      <c r="A4" s="856"/>
      <c r="B4" s="856"/>
      <c r="C4" s="856"/>
      <c r="D4" s="856"/>
      <c r="E4" s="856"/>
      <c r="F4" s="856"/>
      <c r="G4" s="856"/>
      <c r="H4" s="856"/>
      <c r="I4" s="856"/>
    </row>
    <row r="5" spans="1:17" s="77" customFormat="1" x14ac:dyDescent="0.2">
      <c r="A5" s="80"/>
      <c r="B5" s="538" t="s">
        <v>941</v>
      </c>
      <c r="C5" s="641">
        <f>'OSNOVNI PODATKI'!H11</f>
        <v>1</v>
      </c>
      <c r="D5" s="538" t="str">
        <f>IF(C5=1,'OSNOVNI PODATKI'!B11,'OSNOVNI PODATKI'!B12)</f>
        <v>ENA STAVBA Z RAZLIČNIMI DELI (PRI IZRAČUNU POTREBNIH NU SE UPOŠTEVA SEŠTEVEK POVRŠIN VSEH DELOV)</v>
      </c>
      <c r="E5" s="498"/>
      <c r="F5" s="498"/>
      <c r="G5" s="207"/>
      <c r="H5" s="207"/>
      <c r="I5" s="207"/>
    </row>
    <row r="6" spans="1:17" s="77" customFormat="1" x14ac:dyDescent="0.2">
      <c r="A6" s="80"/>
      <c r="B6" s="538" t="s">
        <v>942</v>
      </c>
      <c r="C6" s="618">
        <f>'OSNOVNI PODATKI'!E329</f>
        <v>400</v>
      </c>
      <c r="D6" s="538"/>
      <c r="E6" s="498"/>
      <c r="F6" s="498"/>
      <c r="G6" s="207"/>
      <c r="H6" s="207"/>
      <c r="I6" s="207"/>
    </row>
    <row r="7" spans="1:17" s="77" customFormat="1" x14ac:dyDescent="0.2">
      <c r="A7" s="80"/>
      <c r="D7" s="209"/>
      <c r="E7" s="209"/>
      <c r="F7" s="209"/>
    </row>
    <row r="8" spans="1:17" s="77" customFormat="1" x14ac:dyDescent="0.2">
      <c r="A8" s="80"/>
      <c r="B8" s="209" t="str">
        <f>'OSNOVNI PODATKI'!A15</f>
        <v>STAVBA 1 / DEL 1</v>
      </c>
      <c r="C8" s="541">
        <f>'OSNOVNI PODATKI'!E15</f>
        <v>0</v>
      </c>
      <c r="D8" s="209"/>
      <c r="E8" s="209"/>
      <c r="F8" s="209"/>
    </row>
    <row r="9" spans="1:17" s="77" customFormat="1" x14ac:dyDescent="0.2">
      <c r="A9" s="80"/>
      <c r="B9" s="202" t="s">
        <v>718</v>
      </c>
      <c r="C9" s="84" t="str">
        <f>'OSNOVNI PODATKI'!E16</f>
        <v>Večstanovanjske stavbe ali skupine stanovanjskih stavb v strnjeni pozidavi, srednji standard</v>
      </c>
      <c r="D9" s="498"/>
      <c r="E9" s="498"/>
      <c r="F9" s="498"/>
      <c r="G9" s="498"/>
      <c r="H9" s="498"/>
      <c r="I9" s="498"/>
    </row>
    <row r="10" spans="1:17" s="77" customFormat="1" x14ac:dyDescent="0.2">
      <c r="A10" s="80"/>
      <c r="B10" s="202" t="s">
        <v>943</v>
      </c>
      <c r="C10" s="84">
        <f>'OSNOVNI PODATKI'!E17</f>
        <v>400</v>
      </c>
      <c r="D10" s="498"/>
      <c r="E10" s="498"/>
      <c r="F10" s="498"/>
      <c r="G10" s="498"/>
      <c r="H10" s="498"/>
      <c r="I10" s="498"/>
    </row>
    <row r="11" spans="1:17" s="77" customFormat="1" x14ac:dyDescent="0.2">
      <c r="A11" s="80"/>
      <c r="B11" s="202" t="s">
        <v>944</v>
      </c>
      <c r="C11" s="84">
        <f>IF($C$5=1,$C$6,C10)</f>
        <v>400</v>
      </c>
      <c r="D11" s="498"/>
      <c r="E11" s="498"/>
      <c r="F11" s="498"/>
      <c r="G11" s="498"/>
      <c r="H11" s="498"/>
      <c r="I11" s="498"/>
    </row>
    <row r="12" spans="1:17" s="77" customFormat="1" x14ac:dyDescent="0.2">
      <c r="A12" s="80"/>
      <c r="B12" s="538" t="s">
        <v>878</v>
      </c>
      <c r="C12" s="1298">
        <f>'OSNOVNI PODATKI'!E27</f>
        <v>-13</v>
      </c>
      <c r="D12" s="498"/>
      <c r="E12" s="498"/>
      <c r="F12" s="498"/>
      <c r="G12" s="498"/>
      <c r="H12" s="498"/>
      <c r="I12" s="498"/>
    </row>
    <row r="13" spans="1:17" s="77" customFormat="1" x14ac:dyDescent="0.2">
      <c r="A13" s="80"/>
      <c r="B13" s="538" t="s">
        <v>1033</v>
      </c>
      <c r="C13" s="1299">
        <f>(45%*C21+10%)*C11*(1000+C12)</f>
        <v>180719.69999999998</v>
      </c>
      <c r="D13" s="498"/>
      <c r="E13" s="498"/>
      <c r="F13" s="498"/>
      <c r="G13" s="498"/>
      <c r="H13" s="498"/>
      <c r="I13" s="498"/>
    </row>
    <row r="14" spans="1:17" s="77" customFormat="1" x14ac:dyDescent="0.2">
      <c r="A14" s="80"/>
      <c r="B14" s="202" t="s">
        <v>116</v>
      </c>
      <c r="C14" s="84" t="str">
        <f>'OSNOVNI PODATKI'!E19</f>
        <v>Cenovni razred II</v>
      </c>
      <c r="D14" s="498"/>
      <c r="E14" s="498"/>
      <c r="F14" s="498"/>
      <c r="G14" s="498"/>
      <c r="H14" s="498"/>
      <c r="I14" s="498"/>
    </row>
    <row r="15" spans="1:17" s="77" customFormat="1" x14ac:dyDescent="0.2">
      <c r="A15" s="80"/>
      <c r="B15" s="530" t="s">
        <v>84</v>
      </c>
      <c r="C15" s="531">
        <f>IFERROR(0.0132*POWER(C13,0.7854)/C11,0)</f>
        <v>0.44398270945509649</v>
      </c>
      <c r="D15" s="532" t="s">
        <v>871</v>
      </c>
      <c r="E15" s="209"/>
      <c r="F15" s="209"/>
    </row>
    <row r="16" spans="1:17" s="77" customFormat="1" x14ac:dyDescent="0.2">
      <c r="A16" s="80"/>
      <c r="B16" s="533" t="s">
        <v>85</v>
      </c>
      <c r="C16" s="534">
        <f>IFERROR(0.0147*POWER(C13,0.7854)/C11,0)</f>
        <v>0.49443529007499376</v>
      </c>
      <c r="D16" s="497" t="s">
        <v>871</v>
      </c>
      <c r="E16" s="209"/>
      <c r="F16" s="209"/>
    </row>
    <row r="17" spans="1:9" s="77" customFormat="1" x14ac:dyDescent="0.2">
      <c r="A17" s="80"/>
      <c r="B17" s="533" t="s">
        <v>86</v>
      </c>
      <c r="C17" s="534">
        <f>IFERROR(0.019*POWER(C13,0.7841)/C11,0)</f>
        <v>0.6290883169444963</v>
      </c>
      <c r="D17" s="497" t="s">
        <v>871</v>
      </c>
      <c r="E17" s="209"/>
      <c r="F17" s="209"/>
    </row>
    <row r="18" spans="1:9" s="77" customFormat="1" x14ac:dyDescent="0.2">
      <c r="A18" s="80"/>
      <c r="B18" s="533" t="s">
        <v>87</v>
      </c>
      <c r="C18" s="534">
        <f>IFERROR(0.0232*POWER(C13,0.7856)/C11,0)</f>
        <v>0.78222467587533873</v>
      </c>
      <c r="D18" s="497" t="s">
        <v>871</v>
      </c>
      <c r="E18" s="209"/>
      <c r="F18" s="209"/>
    </row>
    <row r="19" spans="1:9" s="77" customFormat="1" x14ac:dyDescent="0.2">
      <c r="A19" s="80"/>
      <c r="B19" s="533" t="s">
        <v>88</v>
      </c>
      <c r="C19" s="534">
        <f>IFERROR(0.0277*POWER(C13,0.7843)/C11,0)</f>
        <v>0.91936758849776012</v>
      </c>
      <c r="D19" s="497" t="s">
        <v>871</v>
      </c>
      <c r="E19" s="209"/>
      <c r="F19" s="209"/>
      <c r="G19" s="209"/>
      <c r="H19" s="209"/>
      <c r="I19" s="209"/>
    </row>
    <row r="20" spans="1:9" s="77" customFormat="1" x14ac:dyDescent="0.2">
      <c r="A20" s="80"/>
      <c r="B20" s="535" t="s">
        <v>877</v>
      </c>
      <c r="C20" s="536">
        <f>IFERROR(0.0291*POWER(C13,0.7843)/C11,0)</f>
        <v>0.96583382040739418</v>
      </c>
      <c r="D20" s="495" t="s">
        <v>871</v>
      </c>
      <c r="E20" s="209"/>
      <c r="F20" s="209"/>
      <c r="G20" s="209"/>
      <c r="H20" s="209"/>
      <c r="I20" s="209"/>
    </row>
    <row r="21" spans="1:9" s="77" customFormat="1" x14ac:dyDescent="0.2">
      <c r="A21" s="80"/>
      <c r="B21" s="533" t="str">
        <f>'OSNOVNI PODATKI'!B69</f>
        <v>GRADBENO OBRTNIŠKA DELA (GO)</v>
      </c>
      <c r="C21" s="636">
        <f>'OSNOVNI PODATKI'!D38</f>
        <v>0.79500000000000004</v>
      </c>
      <c r="D21" s="635"/>
      <c r="E21" s="209"/>
      <c r="F21" s="209"/>
      <c r="G21" s="209"/>
      <c r="H21" s="209"/>
      <c r="I21" s="209"/>
    </row>
    <row r="22" spans="1:9" s="77" customFormat="1" x14ac:dyDescent="0.2">
      <c r="A22" s="80"/>
      <c r="B22" s="533" t="str">
        <f>'OSNOVNI PODATKI'!B70</f>
        <v>ELEKTRIČNE INŠTALACIJE (EI)</v>
      </c>
      <c r="C22" s="636">
        <f>'OSNOVNI PODATKI'!D39</f>
        <v>5.494000000000001E-2</v>
      </c>
      <c r="D22" s="635"/>
      <c r="E22" s="209"/>
      <c r="F22" s="209"/>
      <c r="G22" s="209"/>
      <c r="H22" s="209"/>
      <c r="I22" s="209"/>
    </row>
    <row r="23" spans="1:9" s="77" customFormat="1" x14ac:dyDescent="0.2">
      <c r="A23" s="80"/>
      <c r="B23" s="533" t="str">
        <f>'OSNOVNI PODATKI'!B71</f>
        <v>STROJNE INŠTALACIJE (SI)</v>
      </c>
      <c r="C23" s="636">
        <f>'OSNOVNI PODATKI'!D40</f>
        <v>0.13570999999999997</v>
      </c>
      <c r="D23" s="635"/>
      <c r="E23" s="209"/>
      <c r="F23" s="209"/>
      <c r="G23" s="209"/>
      <c r="H23" s="209"/>
      <c r="I23" s="209"/>
    </row>
    <row r="24" spans="1:9" s="77" customFormat="1" x14ac:dyDescent="0.2">
      <c r="A24" s="80"/>
      <c r="B24" s="533" t="str">
        <f>'OSNOVNI PODATKI'!B72</f>
        <v>TEHNOLOGIJA (TH)</v>
      </c>
      <c r="C24" s="636">
        <f>'OSNOVNI PODATKI'!D41</f>
        <v>1.4145000000000001E-2</v>
      </c>
      <c r="D24" s="635"/>
      <c r="E24" s="209"/>
      <c r="F24" s="209"/>
      <c r="G24" s="209"/>
      <c r="H24" s="209"/>
      <c r="I24" s="209"/>
    </row>
    <row r="25" spans="1:9" s="77" customFormat="1" x14ac:dyDescent="0.2">
      <c r="A25" s="80"/>
      <c r="C25" s="84"/>
      <c r="D25" s="498"/>
      <c r="E25" s="209"/>
      <c r="F25" s="209"/>
      <c r="G25" s="209"/>
      <c r="H25" s="209"/>
      <c r="I25" s="209"/>
    </row>
    <row r="26" spans="1:9" s="77" customFormat="1" ht="14.25" x14ac:dyDescent="0.2">
      <c r="B26" s="84" t="s">
        <v>879</v>
      </c>
      <c r="C26" s="515">
        <f>IFERROR(LOOKUP(C14,B15:C19),"/")</f>
        <v>0.49443529007499376</v>
      </c>
      <c r="D26" s="384" t="s">
        <v>870</v>
      </c>
      <c r="E26" s="498"/>
      <c r="F26" s="498"/>
      <c r="G26" s="498"/>
      <c r="H26" s="498"/>
      <c r="I26" s="498"/>
    </row>
    <row r="27" spans="1:9" s="77" customFormat="1" ht="14.25" x14ac:dyDescent="0.2">
      <c r="B27" s="84" t="s">
        <v>880</v>
      </c>
      <c r="C27" s="515" cm="1">
        <f t="array" ref="C27">IFERROR(INDEX(C15:C20,MATCH(C14,B15:B19)+1),"/")</f>
        <v>0.6290883169444963</v>
      </c>
      <c r="D27" s="384" t="s">
        <v>870</v>
      </c>
      <c r="E27" s="498"/>
      <c r="F27" s="498"/>
      <c r="G27" s="498"/>
      <c r="H27" s="498"/>
      <c r="I27" s="498"/>
    </row>
    <row r="28" spans="1:9" s="77" customFormat="1" x14ac:dyDescent="0.2">
      <c r="B28" s="84" t="s">
        <v>732</v>
      </c>
      <c r="C28" s="539">
        <f>IFERROR(ROUND(C26*C10,0),0)</f>
        <v>198</v>
      </c>
      <c r="D28" s="384" t="s">
        <v>872</v>
      </c>
      <c r="E28" s="498"/>
      <c r="F28" s="498"/>
      <c r="G28" s="498"/>
      <c r="H28" s="498"/>
      <c r="I28" s="498"/>
    </row>
    <row r="29" spans="1:9" s="77" customFormat="1" x14ac:dyDescent="0.2">
      <c r="B29" s="84" t="s">
        <v>733</v>
      </c>
      <c r="C29" s="539">
        <f>IFERROR(ROUND(C27*C10,0),0)</f>
        <v>252</v>
      </c>
      <c r="D29" s="384" t="s">
        <v>872</v>
      </c>
      <c r="E29" s="498"/>
      <c r="F29" s="498"/>
      <c r="G29" s="498"/>
      <c r="H29" s="498"/>
      <c r="I29" s="498"/>
    </row>
    <row r="30" spans="1:9" s="77" customFormat="1" x14ac:dyDescent="0.2">
      <c r="A30" s="80"/>
      <c r="C30" s="296"/>
      <c r="D30" s="209"/>
      <c r="E30" s="209"/>
      <c r="F30" s="209"/>
    </row>
    <row r="31" spans="1:9" s="77" customFormat="1" x14ac:dyDescent="0.2">
      <c r="A31" s="80"/>
      <c r="B31" s="209" t="str">
        <f>'OSNOVNI PODATKI'!A46</f>
        <v>STAVBA 2 / DEL 2</v>
      </c>
      <c r="C31" s="541">
        <f>'OSNOVNI PODATKI'!E46</f>
        <v>0</v>
      </c>
      <c r="D31" s="209"/>
      <c r="E31" s="209"/>
      <c r="F31" s="209"/>
    </row>
    <row r="32" spans="1:9" s="77" customFormat="1" x14ac:dyDescent="0.2">
      <c r="A32" s="80"/>
      <c r="B32" s="202" t="s">
        <v>718</v>
      </c>
      <c r="C32" s="84" t="str">
        <f>'OSNOVNI PODATKI'!E47</f>
        <v>Nepodkletene eno in dvostanovanjske stavbe, srednji standard</v>
      </c>
      <c r="D32" s="498"/>
      <c r="E32" s="498"/>
      <c r="F32" s="498"/>
      <c r="G32" s="498"/>
      <c r="H32" s="498"/>
      <c r="I32" s="498"/>
    </row>
    <row r="33" spans="1:9" s="77" customFormat="1" x14ac:dyDescent="0.2">
      <c r="A33" s="80"/>
      <c r="B33" s="202" t="s">
        <v>943</v>
      </c>
      <c r="C33" s="84">
        <f>'OSNOVNI PODATKI'!E48</f>
        <v>0</v>
      </c>
      <c r="D33" s="498"/>
      <c r="E33" s="498"/>
      <c r="F33" s="498"/>
      <c r="G33" s="498"/>
      <c r="H33" s="498"/>
      <c r="I33" s="498"/>
    </row>
    <row r="34" spans="1:9" s="77" customFormat="1" x14ac:dyDescent="0.2">
      <c r="A34" s="80"/>
      <c r="B34" s="202" t="s">
        <v>944</v>
      </c>
      <c r="C34" s="84">
        <f>IF($C$5=1,$C$6,C33)</f>
        <v>400</v>
      </c>
      <c r="D34" s="498"/>
      <c r="E34" s="498"/>
      <c r="F34" s="498"/>
      <c r="G34" s="498"/>
      <c r="H34" s="498"/>
      <c r="I34" s="498"/>
    </row>
    <row r="35" spans="1:9" s="77" customFormat="1" x14ac:dyDescent="0.2">
      <c r="A35" s="80"/>
      <c r="B35" s="538" t="s">
        <v>878</v>
      </c>
      <c r="C35" s="537">
        <f>'OSNOVNI PODATKI'!E58</f>
        <v>230.59999999999991</v>
      </c>
      <c r="D35" s="498"/>
      <c r="E35" s="498"/>
      <c r="F35" s="498"/>
      <c r="G35" s="498"/>
      <c r="H35" s="498"/>
      <c r="I35" s="498"/>
    </row>
    <row r="36" spans="1:9" s="77" customFormat="1" x14ac:dyDescent="0.2">
      <c r="A36" s="80"/>
      <c r="B36" s="538" t="s">
        <v>1033</v>
      </c>
      <c r="C36" s="1299">
        <f>(45%*C44+10%)*C34*(1000+C35)</f>
        <v>228202.46399999998</v>
      </c>
      <c r="D36" s="498"/>
      <c r="E36" s="498"/>
      <c r="F36" s="498"/>
      <c r="G36" s="498"/>
      <c r="H36" s="498"/>
      <c r="I36" s="498"/>
    </row>
    <row r="37" spans="1:9" s="77" customFormat="1" x14ac:dyDescent="0.2">
      <c r="A37" s="80"/>
      <c r="B37" s="202" t="s">
        <v>116</v>
      </c>
      <c r="C37" s="84" t="str">
        <f>'OSNOVNI PODATKI'!E50</f>
        <v>Cenovni razred I</v>
      </c>
      <c r="D37" s="498"/>
      <c r="E37" s="498"/>
      <c r="F37" s="498"/>
      <c r="G37" s="498"/>
      <c r="H37" s="498"/>
      <c r="I37" s="498"/>
    </row>
    <row r="38" spans="1:9" s="77" customFormat="1" x14ac:dyDescent="0.2">
      <c r="A38" s="80"/>
      <c r="B38" s="530" t="s">
        <v>84</v>
      </c>
      <c r="C38" s="531">
        <f>IFERROR(0.0132*POWER(C36,0.7854)/C34,0)</f>
        <v>0.53325965401778674</v>
      </c>
      <c r="D38" s="532" t="s">
        <v>871</v>
      </c>
      <c r="E38" s="209"/>
      <c r="F38" s="209"/>
    </row>
    <row r="39" spans="1:9" s="77" customFormat="1" x14ac:dyDescent="0.2">
      <c r="A39" s="80"/>
      <c r="B39" s="533" t="s">
        <v>85</v>
      </c>
      <c r="C39" s="534">
        <f>IFERROR(0.0147*POWER(C36,0.7854)/C34,0)</f>
        <v>0.59385734197435336</v>
      </c>
      <c r="D39" s="497" t="s">
        <v>871</v>
      </c>
      <c r="E39" s="209"/>
      <c r="F39" s="209"/>
    </row>
    <row r="40" spans="1:9" s="77" customFormat="1" x14ac:dyDescent="0.2">
      <c r="A40" s="80"/>
      <c r="B40" s="533" t="s">
        <v>86</v>
      </c>
      <c r="C40" s="534">
        <f>IFERROR(0.019*POWER(C36,0.7841)/C34,0)</f>
        <v>0.75535755944165284</v>
      </c>
      <c r="D40" s="497" t="s">
        <v>871</v>
      </c>
      <c r="E40" s="209"/>
      <c r="F40" s="209"/>
    </row>
    <row r="41" spans="1:9" s="77" customFormat="1" x14ac:dyDescent="0.2">
      <c r="A41" s="80"/>
      <c r="B41" s="533" t="s">
        <v>87</v>
      </c>
      <c r="C41" s="534">
        <f>IFERROR(0.0232*POWER(C36,0.7856)/C34,0)</f>
        <v>0.93955983793604558</v>
      </c>
      <c r="D41" s="497" t="s">
        <v>871</v>
      </c>
      <c r="E41" s="209"/>
      <c r="F41" s="209"/>
      <c r="G41" s="209"/>
      <c r="H41" s="209"/>
      <c r="I41" s="209"/>
    </row>
    <row r="42" spans="1:9" s="77" customFormat="1" x14ac:dyDescent="0.2">
      <c r="A42" s="80"/>
      <c r="B42" s="533" t="s">
        <v>88</v>
      </c>
      <c r="C42" s="534">
        <f>IFERROR(0.0277*POWER(C36,0.7843)/C34,0)</f>
        <v>1.1039525629101445</v>
      </c>
      <c r="D42" s="497" t="s">
        <v>871</v>
      </c>
      <c r="E42" s="209"/>
      <c r="F42" s="209"/>
      <c r="G42" s="209"/>
      <c r="H42" s="209"/>
      <c r="I42" s="209"/>
    </row>
    <row r="43" spans="1:9" s="77" customFormat="1" x14ac:dyDescent="0.2">
      <c r="A43" s="80"/>
      <c r="B43" s="535" t="s">
        <v>877</v>
      </c>
      <c r="C43" s="536">
        <f>IFERROR(0.0291*POWER(C36,0.7843)/C34,0)</f>
        <v>1.1597479993027151</v>
      </c>
      <c r="D43" s="495" t="s">
        <v>871</v>
      </c>
      <c r="E43" s="209"/>
      <c r="F43" s="209"/>
      <c r="G43" s="209"/>
      <c r="H43" s="209"/>
      <c r="I43" s="209"/>
    </row>
    <row r="44" spans="1:9" s="77" customFormat="1" x14ac:dyDescent="0.2">
      <c r="A44" s="80"/>
      <c r="B44" s="533" t="str">
        <f>'OSNOVNI PODATKI'!B69</f>
        <v>GRADBENO OBRTNIŠKA DELA (GO)</v>
      </c>
      <c r="C44" s="636">
        <f>'OSNOVNI PODATKI'!D69</f>
        <v>0.80800000000000005</v>
      </c>
      <c r="D44" s="635"/>
      <c r="E44" s="209"/>
      <c r="F44" s="209"/>
      <c r="G44" s="209"/>
      <c r="H44" s="209"/>
      <c r="I44" s="209"/>
    </row>
    <row r="45" spans="1:9" s="77" customFormat="1" x14ac:dyDescent="0.2">
      <c r="A45" s="80"/>
      <c r="B45" s="533" t="str">
        <f>'OSNOVNI PODATKI'!B70</f>
        <v>ELEKTRIČNE INŠTALACIJE (EI)</v>
      </c>
      <c r="C45" s="636">
        <f>'OSNOVNI PODATKI'!D70</f>
        <v>4.4544000000000007E-2</v>
      </c>
      <c r="D45" s="635"/>
      <c r="E45" s="209"/>
      <c r="F45" s="209"/>
      <c r="G45" s="209"/>
      <c r="H45" s="209"/>
      <c r="I45" s="209"/>
    </row>
    <row r="46" spans="1:9" s="77" customFormat="1" x14ac:dyDescent="0.2">
      <c r="A46" s="80"/>
      <c r="B46" s="533" t="str">
        <f>'OSNOVNI PODATKI'!B71</f>
        <v>STROJNE INŠTALACIJE (SI)</v>
      </c>
      <c r="C46" s="636">
        <f>'OSNOVNI PODATKI'!D71</f>
        <v>0.14764799999999997</v>
      </c>
      <c r="D46" s="635"/>
      <c r="E46" s="209"/>
      <c r="F46" s="209"/>
      <c r="G46" s="209"/>
      <c r="H46" s="209"/>
      <c r="I46" s="209"/>
    </row>
    <row r="47" spans="1:9" s="77" customFormat="1" x14ac:dyDescent="0.2">
      <c r="A47" s="80"/>
      <c r="B47" s="533" t="str">
        <f>'OSNOVNI PODATKI'!B72</f>
        <v>TEHNOLOGIJA (TH)</v>
      </c>
      <c r="C47" s="636">
        <f>'OSNOVNI PODATKI'!D72</f>
        <v>0</v>
      </c>
      <c r="D47" s="635"/>
      <c r="E47" s="209"/>
      <c r="F47" s="209"/>
      <c r="G47" s="209"/>
      <c r="H47" s="209"/>
      <c r="I47" s="209"/>
    </row>
    <row r="48" spans="1:9" s="77" customFormat="1" x14ac:dyDescent="0.2">
      <c r="A48" s="80"/>
      <c r="C48" s="84"/>
      <c r="D48" s="498"/>
      <c r="E48" s="209"/>
      <c r="F48" s="209"/>
      <c r="G48" s="209"/>
      <c r="H48" s="209"/>
      <c r="I48" s="209"/>
    </row>
    <row r="49" spans="1:9" s="77" customFormat="1" ht="14.25" x14ac:dyDescent="0.2">
      <c r="B49" s="84" t="s">
        <v>879</v>
      </c>
      <c r="C49" s="515">
        <f>IFERROR(LOOKUP(C37,B38:C42),"/")</f>
        <v>0.53325965401778674</v>
      </c>
      <c r="D49" s="384" t="s">
        <v>870</v>
      </c>
      <c r="E49" s="498"/>
      <c r="F49" s="498"/>
      <c r="G49" s="498"/>
      <c r="H49" s="498"/>
      <c r="I49" s="498"/>
    </row>
    <row r="50" spans="1:9" s="77" customFormat="1" ht="14.25" x14ac:dyDescent="0.2">
      <c r="B50" s="84" t="s">
        <v>880</v>
      </c>
      <c r="C50" s="515" cm="1">
        <f t="array" ref="C50">IFERROR(INDEX(C38:C43,MATCH(C37,B38:B42)+1),"/")</f>
        <v>0.59385734197435336</v>
      </c>
      <c r="D50" s="384" t="s">
        <v>870</v>
      </c>
      <c r="E50" s="498"/>
      <c r="F50" s="498"/>
      <c r="G50" s="498"/>
      <c r="H50" s="498"/>
      <c r="I50" s="498"/>
    </row>
    <row r="51" spans="1:9" s="77" customFormat="1" x14ac:dyDescent="0.2">
      <c r="B51" s="84" t="s">
        <v>732</v>
      </c>
      <c r="C51" s="539">
        <f>IFERROR(ROUND(C49*C33,0),0)</f>
        <v>0</v>
      </c>
      <c r="D51" s="384" t="s">
        <v>872</v>
      </c>
      <c r="E51" s="498"/>
      <c r="F51" s="498"/>
      <c r="G51" s="498"/>
      <c r="H51" s="498"/>
      <c r="I51" s="498"/>
    </row>
    <row r="52" spans="1:9" s="77" customFormat="1" x14ac:dyDescent="0.2">
      <c r="B52" s="84" t="s">
        <v>733</v>
      </c>
      <c r="C52" s="539">
        <f>IFERROR(ROUND(C50*C33,0),0)</f>
        <v>0</v>
      </c>
      <c r="D52" s="384" t="s">
        <v>872</v>
      </c>
      <c r="E52" s="498"/>
      <c r="F52" s="498"/>
      <c r="G52" s="498"/>
      <c r="H52" s="498"/>
      <c r="I52" s="498"/>
    </row>
    <row r="53" spans="1:9" s="77" customFormat="1" x14ac:dyDescent="0.2">
      <c r="A53" s="80"/>
      <c r="C53" s="209"/>
      <c r="D53" s="209"/>
      <c r="E53" s="209"/>
      <c r="F53" s="209"/>
    </row>
    <row r="54" spans="1:9" s="77" customFormat="1" x14ac:dyDescent="0.2">
      <c r="A54" s="80"/>
      <c r="B54" s="209" t="str">
        <f>'OSNOVNI PODATKI'!A77</f>
        <v>STAVBA 3 / DEL 3</v>
      </c>
      <c r="C54" s="541">
        <f>'OSNOVNI PODATKI'!E77</f>
        <v>0</v>
      </c>
      <c r="D54" s="209"/>
      <c r="E54" s="209"/>
      <c r="F54" s="209"/>
    </row>
    <row r="55" spans="1:9" s="77" customFormat="1" x14ac:dyDescent="0.2">
      <c r="A55" s="80"/>
      <c r="B55" s="202" t="s">
        <v>718</v>
      </c>
      <c r="C55" s="84" t="str">
        <f>'OSNOVNI PODATKI'!E78</f>
        <v>Nepodkletene eno in dvostanovanjske stavbe, srednji standard</v>
      </c>
      <c r="D55" s="498"/>
      <c r="E55" s="498"/>
      <c r="F55" s="498"/>
      <c r="G55" s="498"/>
      <c r="H55" s="498"/>
      <c r="I55" s="498"/>
    </row>
    <row r="56" spans="1:9" s="77" customFormat="1" x14ac:dyDescent="0.2">
      <c r="A56" s="80"/>
      <c r="B56" s="202" t="s">
        <v>943</v>
      </c>
      <c r="C56" s="84">
        <f>'OSNOVNI PODATKI'!E79</f>
        <v>0</v>
      </c>
      <c r="D56" s="498"/>
      <c r="E56" s="498"/>
      <c r="F56" s="498"/>
      <c r="G56" s="498"/>
      <c r="H56" s="498"/>
      <c r="I56" s="498"/>
    </row>
    <row r="57" spans="1:9" s="77" customFormat="1" x14ac:dyDescent="0.2">
      <c r="A57" s="80"/>
      <c r="B57" s="202" t="s">
        <v>944</v>
      </c>
      <c r="C57" s="84">
        <f>IF($C$5=1,$C$6,C56)</f>
        <v>400</v>
      </c>
      <c r="D57" s="498"/>
      <c r="E57" s="498"/>
      <c r="F57" s="498"/>
      <c r="G57" s="498"/>
      <c r="H57" s="498"/>
      <c r="I57" s="498"/>
    </row>
    <row r="58" spans="1:9" s="77" customFormat="1" x14ac:dyDescent="0.2">
      <c r="A58" s="80"/>
      <c r="B58" s="538" t="s">
        <v>878</v>
      </c>
      <c r="C58" s="537">
        <f>'OSNOVNI PODATKI'!E89</f>
        <v>230.59999999999991</v>
      </c>
      <c r="D58" s="498"/>
      <c r="E58" s="498"/>
      <c r="F58" s="498"/>
      <c r="G58" s="498"/>
      <c r="H58" s="498"/>
      <c r="I58" s="498"/>
    </row>
    <row r="59" spans="1:9" s="77" customFormat="1" x14ac:dyDescent="0.2">
      <c r="A59" s="80"/>
      <c r="B59" s="538" t="s">
        <v>1033</v>
      </c>
      <c r="C59" s="1299">
        <f>(45%*C67+10%)*C57*(1000+C58)</f>
        <v>228202.46399999998</v>
      </c>
      <c r="D59" s="498"/>
      <c r="E59" s="498"/>
      <c r="F59" s="498"/>
      <c r="G59" s="498"/>
      <c r="H59" s="498"/>
      <c r="I59" s="498"/>
    </row>
    <row r="60" spans="1:9" s="77" customFormat="1" x14ac:dyDescent="0.2">
      <c r="A60" s="80"/>
      <c r="B60" s="202" t="s">
        <v>116</v>
      </c>
      <c r="C60" s="84" t="str">
        <f>'OSNOVNI PODATKI'!E51</f>
        <v>Cenovni razred II</v>
      </c>
      <c r="D60" s="498"/>
      <c r="E60" s="498"/>
      <c r="F60" s="498"/>
      <c r="G60" s="498"/>
      <c r="H60" s="498"/>
      <c r="I60" s="498"/>
    </row>
    <row r="61" spans="1:9" s="77" customFormat="1" x14ac:dyDescent="0.2">
      <c r="A61" s="80"/>
      <c r="B61" s="530" t="s">
        <v>84</v>
      </c>
      <c r="C61" s="531">
        <f>IFERROR(0.0132*POWER(C59,0.7854)/C57,0)</f>
        <v>0.53325965401778674</v>
      </c>
      <c r="D61" s="532" t="s">
        <v>871</v>
      </c>
      <c r="E61" s="209"/>
      <c r="F61" s="209"/>
    </row>
    <row r="62" spans="1:9" s="77" customFormat="1" x14ac:dyDescent="0.2">
      <c r="A62" s="80"/>
      <c r="B62" s="533" t="s">
        <v>85</v>
      </c>
      <c r="C62" s="534">
        <f>IFERROR(0.0147*POWER(C59,0.7854)/C57,0)</f>
        <v>0.59385734197435336</v>
      </c>
      <c r="D62" s="497" t="s">
        <v>871</v>
      </c>
      <c r="E62" s="209"/>
      <c r="F62" s="209"/>
      <c r="G62" s="209"/>
      <c r="H62" s="209"/>
      <c r="I62" s="209"/>
    </row>
    <row r="63" spans="1:9" s="77" customFormat="1" x14ac:dyDescent="0.2">
      <c r="A63" s="80"/>
      <c r="B63" s="533" t="s">
        <v>86</v>
      </c>
      <c r="C63" s="534">
        <f>IFERROR(0.019*POWER(C59,0.7841)/C57,0)</f>
        <v>0.75535755944165284</v>
      </c>
      <c r="D63" s="497" t="s">
        <v>871</v>
      </c>
      <c r="E63" s="209"/>
      <c r="F63" s="209"/>
      <c r="G63" s="209"/>
      <c r="H63" s="209"/>
      <c r="I63" s="209"/>
    </row>
    <row r="64" spans="1:9" s="77" customFormat="1" x14ac:dyDescent="0.2">
      <c r="A64" s="80"/>
      <c r="B64" s="533" t="s">
        <v>87</v>
      </c>
      <c r="C64" s="534">
        <f>IFERROR(0.0232*POWER(C59,0.7856)/C57,0)</f>
        <v>0.93955983793604558</v>
      </c>
      <c r="D64" s="497" t="s">
        <v>871</v>
      </c>
      <c r="E64" s="209"/>
      <c r="F64" s="209"/>
      <c r="G64" s="209"/>
      <c r="H64" s="209"/>
      <c r="I64" s="209"/>
    </row>
    <row r="65" spans="1:9" s="77" customFormat="1" x14ac:dyDescent="0.2">
      <c r="A65" s="80"/>
      <c r="B65" s="533" t="s">
        <v>88</v>
      </c>
      <c r="C65" s="534">
        <f>IFERROR(0.0277*POWER(C59,0.7843)/C57,0)</f>
        <v>1.1039525629101445</v>
      </c>
      <c r="D65" s="497" t="s">
        <v>871</v>
      </c>
      <c r="E65" s="209"/>
      <c r="F65" s="209"/>
      <c r="G65" s="209"/>
      <c r="H65" s="209"/>
      <c r="I65" s="209"/>
    </row>
    <row r="66" spans="1:9" s="77" customFormat="1" x14ac:dyDescent="0.2">
      <c r="A66" s="80"/>
      <c r="B66" s="535" t="s">
        <v>877</v>
      </c>
      <c r="C66" s="536">
        <f>IFERROR(0.0291*POWER(C59,0.7843)/C57,0)</f>
        <v>1.1597479993027151</v>
      </c>
      <c r="D66" s="495" t="s">
        <v>871</v>
      </c>
      <c r="E66" s="209"/>
      <c r="F66" s="209"/>
      <c r="G66" s="209"/>
      <c r="H66" s="209"/>
      <c r="I66" s="209"/>
    </row>
    <row r="67" spans="1:9" s="77" customFormat="1" x14ac:dyDescent="0.2">
      <c r="A67" s="80"/>
      <c r="B67" s="533" t="str">
        <f>'OSNOVNI PODATKI'!B100</f>
        <v>GRADBENO OBRTNIŠKA DELA (GO)</v>
      </c>
      <c r="C67" s="636">
        <f>'OSNOVNI PODATKI'!D100</f>
        <v>0.80800000000000005</v>
      </c>
      <c r="D67" s="635"/>
      <c r="E67" s="209"/>
      <c r="F67" s="209"/>
      <c r="G67" s="209"/>
      <c r="H67" s="209"/>
      <c r="I67" s="209"/>
    </row>
    <row r="68" spans="1:9" s="77" customFormat="1" x14ac:dyDescent="0.2">
      <c r="A68" s="80"/>
      <c r="B68" s="533" t="str">
        <f>'OSNOVNI PODATKI'!B101</f>
        <v>ELEKTRIČNE INŠTALACIJE (EI)</v>
      </c>
      <c r="C68" s="636">
        <f>'OSNOVNI PODATKI'!D101</f>
        <v>4.4544000000000007E-2</v>
      </c>
      <c r="D68" s="635"/>
      <c r="E68" s="209"/>
      <c r="F68" s="209"/>
      <c r="G68" s="209"/>
      <c r="H68" s="209"/>
      <c r="I68" s="209"/>
    </row>
    <row r="69" spans="1:9" s="77" customFormat="1" x14ac:dyDescent="0.2">
      <c r="A69" s="80"/>
      <c r="B69" s="533" t="str">
        <f>'OSNOVNI PODATKI'!B102</f>
        <v>STROJNE INŠTALACIJE (SI)</v>
      </c>
      <c r="C69" s="636">
        <f>'OSNOVNI PODATKI'!D102</f>
        <v>0.14764799999999997</v>
      </c>
      <c r="D69" s="635"/>
      <c r="E69" s="209"/>
      <c r="F69" s="209"/>
      <c r="G69" s="209"/>
      <c r="H69" s="209"/>
      <c r="I69" s="209"/>
    </row>
    <row r="70" spans="1:9" s="77" customFormat="1" x14ac:dyDescent="0.2">
      <c r="A70" s="80"/>
      <c r="B70" s="533" t="str">
        <f>'OSNOVNI PODATKI'!B103</f>
        <v>TEHNOLOGIJA (TH)</v>
      </c>
      <c r="C70" s="636">
        <f>'OSNOVNI PODATKI'!D103</f>
        <v>0</v>
      </c>
      <c r="D70" s="635"/>
      <c r="E70" s="209"/>
      <c r="F70" s="209"/>
      <c r="G70" s="209"/>
      <c r="H70" s="209"/>
      <c r="I70" s="209"/>
    </row>
    <row r="71" spans="1:9" s="77" customFormat="1" x14ac:dyDescent="0.2">
      <c r="A71" s="80"/>
      <c r="C71" s="84"/>
      <c r="D71" s="498"/>
      <c r="E71" s="209"/>
      <c r="F71" s="209"/>
      <c r="G71" s="209"/>
      <c r="H71" s="209"/>
      <c r="I71" s="209"/>
    </row>
    <row r="72" spans="1:9" s="77" customFormat="1" ht="14.25" x14ac:dyDescent="0.2">
      <c r="B72" s="84" t="s">
        <v>879</v>
      </c>
      <c r="C72" s="515">
        <f>IFERROR(LOOKUP(C60,B61:C65),"/")</f>
        <v>0.59385734197435336</v>
      </c>
      <c r="D72" s="384" t="s">
        <v>870</v>
      </c>
      <c r="E72" s="498"/>
      <c r="F72" s="498"/>
      <c r="G72" s="498"/>
      <c r="H72" s="498"/>
      <c r="I72" s="498"/>
    </row>
    <row r="73" spans="1:9" s="77" customFormat="1" ht="14.25" x14ac:dyDescent="0.2">
      <c r="B73" s="84" t="s">
        <v>880</v>
      </c>
      <c r="C73" s="515" cm="1">
        <f t="array" ref="C73">IFERROR(INDEX(C61:C66,MATCH(C60,B61:B65)+1),"/")</f>
        <v>0.75535755944165284</v>
      </c>
      <c r="D73" s="384" t="s">
        <v>870</v>
      </c>
      <c r="E73" s="498"/>
      <c r="F73" s="498"/>
      <c r="G73" s="498"/>
      <c r="H73" s="498"/>
      <c r="I73" s="498"/>
    </row>
    <row r="74" spans="1:9" s="77" customFormat="1" x14ac:dyDescent="0.2">
      <c r="B74" s="84" t="s">
        <v>732</v>
      </c>
      <c r="C74" s="539">
        <f>IFERROR(ROUND(C72*C56,0),0)</f>
        <v>0</v>
      </c>
      <c r="D74" s="384" t="s">
        <v>872</v>
      </c>
      <c r="E74" s="498"/>
      <c r="F74" s="498"/>
      <c r="G74" s="498"/>
      <c r="H74" s="498"/>
      <c r="I74" s="498"/>
    </row>
    <row r="75" spans="1:9" s="77" customFormat="1" x14ac:dyDescent="0.2">
      <c r="B75" s="84" t="s">
        <v>733</v>
      </c>
      <c r="C75" s="539">
        <f>IFERROR(ROUND(C73*C56,0),0)</f>
        <v>0</v>
      </c>
      <c r="D75" s="384" t="s">
        <v>872</v>
      </c>
      <c r="E75" s="498"/>
      <c r="F75" s="498"/>
      <c r="G75" s="498"/>
      <c r="H75" s="498"/>
      <c r="I75" s="498"/>
    </row>
    <row r="76" spans="1:9" s="77" customFormat="1" x14ac:dyDescent="0.2">
      <c r="A76" s="80"/>
      <c r="C76" s="209"/>
      <c r="D76" s="209"/>
      <c r="E76" s="209"/>
      <c r="F76" s="209"/>
    </row>
    <row r="77" spans="1:9" s="77" customFormat="1" x14ac:dyDescent="0.2">
      <c r="A77" s="80"/>
      <c r="B77" s="209" t="str">
        <f>'OSNOVNI PODATKI'!A108</f>
        <v>STAVBA 4 / DEL 4</v>
      </c>
      <c r="C77" s="541">
        <f>'OSNOVNI PODATKI'!E108</f>
        <v>0</v>
      </c>
      <c r="D77" s="209"/>
      <c r="E77" s="209"/>
      <c r="F77" s="209"/>
    </row>
    <row r="78" spans="1:9" s="77" customFormat="1" x14ac:dyDescent="0.2">
      <c r="A78" s="80"/>
      <c r="B78" s="202" t="s">
        <v>718</v>
      </c>
      <c r="C78" s="84" t="str">
        <f>'OSNOVNI PODATKI'!E109</f>
        <v>Nepodkletene eno in dvostanovanjske stavbe, srednji standard</v>
      </c>
      <c r="D78" s="498"/>
      <c r="E78" s="498"/>
      <c r="F78" s="498"/>
      <c r="G78" s="498"/>
      <c r="H78" s="498"/>
      <c r="I78" s="498"/>
    </row>
    <row r="79" spans="1:9" s="77" customFormat="1" x14ac:dyDescent="0.2">
      <c r="A79" s="80"/>
      <c r="B79" s="202" t="s">
        <v>943</v>
      </c>
      <c r="C79" s="84">
        <f>'OSNOVNI PODATKI'!E110</f>
        <v>0</v>
      </c>
      <c r="D79" s="498"/>
      <c r="E79" s="498"/>
      <c r="F79" s="498"/>
      <c r="G79" s="498"/>
      <c r="H79" s="498"/>
      <c r="I79" s="498"/>
    </row>
    <row r="80" spans="1:9" s="77" customFormat="1" x14ac:dyDescent="0.2">
      <c r="A80" s="80"/>
      <c r="B80" s="202" t="s">
        <v>944</v>
      </c>
      <c r="C80" s="84">
        <f>IF($C$5=1,$C$6,C79)</f>
        <v>400</v>
      </c>
      <c r="D80" s="498"/>
      <c r="E80" s="498"/>
      <c r="F80" s="498"/>
      <c r="G80" s="498"/>
      <c r="H80" s="498"/>
      <c r="I80" s="498"/>
    </row>
    <row r="81" spans="1:9" s="77" customFormat="1" x14ac:dyDescent="0.2">
      <c r="A81" s="80"/>
      <c r="B81" s="538" t="s">
        <v>878</v>
      </c>
      <c r="C81" s="537">
        <f>'OSNOVNI PODATKI'!E120</f>
        <v>230.59999999999991</v>
      </c>
      <c r="D81" s="498"/>
      <c r="E81" s="498"/>
      <c r="F81" s="498"/>
      <c r="G81" s="498"/>
      <c r="H81" s="498"/>
      <c r="I81" s="498"/>
    </row>
    <row r="82" spans="1:9" s="77" customFormat="1" x14ac:dyDescent="0.2">
      <c r="A82" s="80"/>
      <c r="B82" s="538" t="s">
        <v>1033</v>
      </c>
      <c r="C82" s="1299">
        <f>(45%*C90+10%)*C80*(1000+C81)</f>
        <v>228202.46399999998</v>
      </c>
      <c r="D82" s="498"/>
      <c r="E82" s="498"/>
      <c r="F82" s="498"/>
      <c r="G82" s="498"/>
      <c r="H82" s="498"/>
      <c r="I82" s="498"/>
    </row>
    <row r="83" spans="1:9" s="77" customFormat="1" x14ac:dyDescent="0.2">
      <c r="A83" s="80"/>
      <c r="B83" s="202" t="s">
        <v>116</v>
      </c>
      <c r="C83" s="84" t="str">
        <f>'OSNOVNI PODATKI'!E112</f>
        <v>Cenovni razred I</v>
      </c>
      <c r="D83" s="498"/>
      <c r="E83" s="498"/>
      <c r="F83" s="498"/>
      <c r="G83" s="498"/>
      <c r="H83" s="498"/>
      <c r="I83" s="498"/>
    </row>
    <row r="84" spans="1:9" s="77" customFormat="1" x14ac:dyDescent="0.2">
      <c r="A84" s="80"/>
      <c r="B84" s="530" t="s">
        <v>84</v>
      </c>
      <c r="C84" s="531">
        <f>IFERROR(0.0132*POWER(C82,0.7854)/C80,0)</f>
        <v>0.53325965401778674</v>
      </c>
      <c r="D84" s="532" t="s">
        <v>871</v>
      </c>
      <c r="E84" s="209"/>
      <c r="F84" s="209"/>
    </row>
    <row r="85" spans="1:9" s="77" customFormat="1" x14ac:dyDescent="0.2">
      <c r="A85" s="80"/>
      <c r="B85" s="533" t="s">
        <v>85</v>
      </c>
      <c r="C85" s="534">
        <f>IFERROR(0.0147*POWER(C82,0.7854)/C80,0)</f>
        <v>0.59385734197435336</v>
      </c>
      <c r="D85" s="497" t="s">
        <v>871</v>
      </c>
      <c r="E85" s="209"/>
      <c r="F85" s="209"/>
    </row>
    <row r="86" spans="1:9" s="77" customFormat="1" x14ac:dyDescent="0.2">
      <c r="A86" s="80"/>
      <c r="B86" s="533" t="s">
        <v>86</v>
      </c>
      <c r="C86" s="534">
        <f>IFERROR(0.019*POWER(C82,0.7841)/C80,0)</f>
        <v>0.75535755944165284</v>
      </c>
      <c r="D86" s="497" t="s">
        <v>871</v>
      </c>
      <c r="E86" s="209"/>
      <c r="F86" s="209"/>
      <c r="G86" s="209"/>
      <c r="H86" s="209"/>
      <c r="I86" s="209"/>
    </row>
    <row r="87" spans="1:9" s="77" customFormat="1" x14ac:dyDescent="0.2">
      <c r="A87" s="80"/>
      <c r="B87" s="533" t="s">
        <v>87</v>
      </c>
      <c r="C87" s="534">
        <f>IFERROR(0.0232*POWER(C82,0.7856)/C80,0)</f>
        <v>0.93955983793604558</v>
      </c>
      <c r="D87" s="497" t="s">
        <v>871</v>
      </c>
      <c r="E87" s="209"/>
      <c r="F87" s="209"/>
      <c r="G87" s="209"/>
      <c r="H87" s="209"/>
      <c r="I87" s="209"/>
    </row>
    <row r="88" spans="1:9" s="77" customFormat="1" x14ac:dyDescent="0.2">
      <c r="A88" s="80"/>
      <c r="B88" s="533" t="s">
        <v>88</v>
      </c>
      <c r="C88" s="534">
        <f>IFERROR(0.0277*POWER(C82,0.7843)/C80,0)</f>
        <v>1.1039525629101445</v>
      </c>
      <c r="D88" s="497" t="s">
        <v>871</v>
      </c>
      <c r="E88" s="209"/>
      <c r="F88" s="209"/>
      <c r="G88" s="209"/>
      <c r="H88" s="209"/>
      <c r="I88" s="209"/>
    </row>
    <row r="89" spans="1:9" s="77" customFormat="1" x14ac:dyDescent="0.2">
      <c r="A89" s="80"/>
      <c r="B89" s="535" t="s">
        <v>877</v>
      </c>
      <c r="C89" s="536">
        <f>IFERROR(0.0291*POWER(C82,0.7843)/C80,0)</f>
        <v>1.1597479993027151</v>
      </c>
      <c r="D89" s="495" t="s">
        <v>871</v>
      </c>
      <c r="E89" s="209"/>
      <c r="F89" s="209"/>
      <c r="G89" s="209"/>
      <c r="H89" s="209"/>
      <c r="I89" s="209"/>
    </row>
    <row r="90" spans="1:9" s="77" customFormat="1" x14ac:dyDescent="0.2">
      <c r="A90" s="80"/>
      <c r="B90" s="533" t="str">
        <f>'OSNOVNI PODATKI'!B131</f>
        <v>GRADBENO OBRTNIŠKA DELA (GO)</v>
      </c>
      <c r="C90" s="636">
        <f>'OSNOVNI PODATKI'!D131</f>
        <v>0.80800000000000005</v>
      </c>
      <c r="D90" s="635"/>
      <c r="E90" s="209"/>
      <c r="F90" s="209"/>
      <c r="G90" s="209"/>
      <c r="H90" s="209"/>
      <c r="I90" s="209"/>
    </row>
    <row r="91" spans="1:9" s="77" customFormat="1" x14ac:dyDescent="0.2">
      <c r="A91" s="80"/>
      <c r="B91" s="533" t="str">
        <f>'OSNOVNI PODATKI'!B132</f>
        <v>ELEKTRIČNE INŠTALACIJE (EI)</v>
      </c>
      <c r="C91" s="636">
        <f>'OSNOVNI PODATKI'!D132</f>
        <v>4.4544000000000007E-2</v>
      </c>
      <c r="D91" s="635"/>
      <c r="E91" s="209"/>
      <c r="F91" s="209"/>
      <c r="G91" s="209"/>
      <c r="H91" s="209"/>
      <c r="I91" s="209"/>
    </row>
    <row r="92" spans="1:9" s="77" customFormat="1" x14ac:dyDescent="0.2">
      <c r="A92" s="80"/>
      <c r="B92" s="533" t="str">
        <f>'OSNOVNI PODATKI'!B133</f>
        <v>STROJNE INŠTALACIJE (SI)</v>
      </c>
      <c r="C92" s="636">
        <f>'OSNOVNI PODATKI'!D133</f>
        <v>0.14764799999999997</v>
      </c>
      <c r="D92" s="635"/>
      <c r="E92" s="209"/>
      <c r="F92" s="209"/>
      <c r="G92" s="209"/>
      <c r="H92" s="209"/>
      <c r="I92" s="209"/>
    </row>
    <row r="93" spans="1:9" s="77" customFormat="1" x14ac:dyDescent="0.2">
      <c r="A93" s="80"/>
      <c r="B93" s="533" t="str">
        <f>'OSNOVNI PODATKI'!B134</f>
        <v>TEHNOLOGIJA (TH)</v>
      </c>
      <c r="C93" s="636">
        <f>'OSNOVNI PODATKI'!D134</f>
        <v>0</v>
      </c>
      <c r="D93" s="635"/>
      <c r="E93" s="209"/>
      <c r="F93" s="209"/>
      <c r="G93" s="209"/>
      <c r="H93" s="209"/>
      <c r="I93" s="209"/>
    </row>
    <row r="94" spans="1:9" s="77" customFormat="1" x14ac:dyDescent="0.2">
      <c r="A94" s="80"/>
      <c r="C94" s="84"/>
      <c r="D94" s="498"/>
      <c r="E94" s="209"/>
      <c r="F94" s="209"/>
      <c r="G94" s="209"/>
      <c r="H94" s="209"/>
      <c r="I94" s="209"/>
    </row>
    <row r="95" spans="1:9" s="77" customFormat="1" ht="14.25" x14ac:dyDescent="0.2">
      <c r="B95" s="84" t="s">
        <v>879</v>
      </c>
      <c r="C95" s="515">
        <f>IFERROR(LOOKUP(C83,B84:C88),"/")</f>
        <v>0.53325965401778674</v>
      </c>
      <c r="D95" s="384" t="s">
        <v>870</v>
      </c>
      <c r="E95" s="498"/>
      <c r="F95" s="498"/>
      <c r="G95" s="498"/>
      <c r="H95" s="498"/>
      <c r="I95" s="498"/>
    </row>
    <row r="96" spans="1:9" s="77" customFormat="1" ht="14.25" x14ac:dyDescent="0.2">
      <c r="B96" s="84" t="s">
        <v>880</v>
      </c>
      <c r="C96" s="515" cm="1">
        <f t="array" ref="C96">IFERROR(INDEX(C84:C89,MATCH(C83,B84:B88)+1),"/")</f>
        <v>0.59385734197435336</v>
      </c>
      <c r="D96" s="384" t="s">
        <v>870</v>
      </c>
      <c r="E96" s="498"/>
      <c r="F96" s="498"/>
      <c r="G96" s="498"/>
      <c r="H96" s="498"/>
      <c r="I96" s="498"/>
    </row>
    <row r="97" spans="1:9" s="77" customFormat="1" x14ac:dyDescent="0.2">
      <c r="B97" s="84" t="s">
        <v>732</v>
      </c>
      <c r="C97" s="539">
        <f>IFERROR(ROUND(C95*C79,0),0)</f>
        <v>0</v>
      </c>
      <c r="D97" s="384" t="s">
        <v>872</v>
      </c>
      <c r="E97" s="498"/>
      <c r="F97" s="498"/>
      <c r="G97" s="498"/>
      <c r="H97" s="498"/>
      <c r="I97" s="498"/>
    </row>
    <row r="98" spans="1:9" s="77" customFormat="1" x14ac:dyDescent="0.2">
      <c r="B98" s="84" t="s">
        <v>733</v>
      </c>
      <c r="C98" s="539">
        <f>IFERROR(ROUND(C96*C79,0),0)</f>
        <v>0</v>
      </c>
      <c r="D98" s="384" t="s">
        <v>872</v>
      </c>
      <c r="E98" s="498"/>
      <c r="F98" s="498"/>
      <c r="G98" s="498"/>
      <c r="H98" s="498"/>
      <c r="I98" s="498"/>
    </row>
    <row r="99" spans="1:9" s="77" customFormat="1" x14ac:dyDescent="0.2">
      <c r="A99" s="80"/>
      <c r="C99" s="209"/>
      <c r="D99" s="209"/>
      <c r="E99" s="209"/>
      <c r="F99" s="209"/>
    </row>
    <row r="100" spans="1:9" s="77" customFormat="1" x14ac:dyDescent="0.2">
      <c r="A100" s="80"/>
      <c r="B100" s="209" t="str">
        <f>'OSNOVNI PODATKI'!A139</f>
        <v>STAVBA 5 / DEL 5</v>
      </c>
      <c r="C100" s="541">
        <f>'OSNOVNI PODATKI'!E139</f>
        <v>0</v>
      </c>
      <c r="D100" s="209"/>
      <c r="E100" s="209"/>
      <c r="F100" s="209"/>
    </row>
    <row r="101" spans="1:9" s="77" customFormat="1" x14ac:dyDescent="0.2">
      <c r="A101" s="80"/>
      <c r="B101" s="202" t="s">
        <v>718</v>
      </c>
      <c r="C101" s="84" t="str">
        <f>'OSNOVNI PODATKI'!E140</f>
        <v>Nepodkletene eno in dvostanovanjske stavbe, srednji standard</v>
      </c>
      <c r="D101" s="498"/>
      <c r="E101" s="498"/>
      <c r="F101" s="498"/>
      <c r="G101" s="498"/>
      <c r="H101" s="498"/>
      <c r="I101" s="498"/>
    </row>
    <row r="102" spans="1:9" s="77" customFormat="1" x14ac:dyDescent="0.2">
      <c r="A102" s="80"/>
      <c r="B102" s="202" t="s">
        <v>943</v>
      </c>
      <c r="C102" s="84">
        <f>'OSNOVNI PODATKI'!E141</f>
        <v>0</v>
      </c>
      <c r="D102" s="498"/>
      <c r="E102" s="498"/>
      <c r="F102" s="498"/>
      <c r="G102" s="498"/>
      <c r="H102" s="498"/>
      <c r="I102" s="498"/>
    </row>
    <row r="103" spans="1:9" s="77" customFormat="1" x14ac:dyDescent="0.2">
      <c r="A103" s="80"/>
      <c r="B103" s="202" t="s">
        <v>944</v>
      </c>
      <c r="C103" s="84">
        <f>IF($C$5=1,$C$6,C102)</f>
        <v>400</v>
      </c>
      <c r="D103" s="498"/>
      <c r="E103" s="498"/>
      <c r="F103" s="498"/>
      <c r="G103" s="498"/>
      <c r="H103" s="498"/>
      <c r="I103" s="498"/>
    </row>
    <row r="104" spans="1:9" s="77" customFormat="1" x14ac:dyDescent="0.2">
      <c r="A104" s="80"/>
      <c r="B104" s="538" t="s">
        <v>878</v>
      </c>
      <c r="C104" s="537">
        <f>'OSNOVNI PODATKI'!E151</f>
        <v>230.59999999999991</v>
      </c>
      <c r="D104" s="498"/>
      <c r="E104" s="498"/>
      <c r="F104" s="498"/>
      <c r="G104" s="498"/>
      <c r="H104" s="498"/>
      <c r="I104" s="498"/>
    </row>
    <row r="105" spans="1:9" s="77" customFormat="1" x14ac:dyDescent="0.2">
      <c r="A105" s="80"/>
      <c r="B105" s="538" t="s">
        <v>1033</v>
      </c>
      <c r="C105" s="1299">
        <f>(45%*C113+10%)*C103*(1000+C104)</f>
        <v>228202.46399999998</v>
      </c>
      <c r="D105" s="498"/>
      <c r="E105" s="498"/>
      <c r="F105" s="498"/>
      <c r="G105" s="498"/>
      <c r="H105" s="498"/>
      <c r="I105" s="498"/>
    </row>
    <row r="106" spans="1:9" s="77" customFormat="1" x14ac:dyDescent="0.2">
      <c r="A106" s="80"/>
      <c r="B106" s="202" t="s">
        <v>116</v>
      </c>
      <c r="C106" s="84" t="str">
        <f>'OSNOVNI PODATKI'!E143</f>
        <v>Cenovni razred I</v>
      </c>
      <c r="D106" s="498"/>
      <c r="E106" s="498"/>
      <c r="F106" s="498"/>
      <c r="G106" s="498"/>
      <c r="H106" s="498"/>
      <c r="I106" s="498"/>
    </row>
    <row r="107" spans="1:9" s="77" customFormat="1" x14ac:dyDescent="0.2">
      <c r="A107" s="80"/>
      <c r="B107" s="530" t="s">
        <v>84</v>
      </c>
      <c r="C107" s="531">
        <f>IFERROR(0.0132*POWER(C105,0.7854)/C103,0)</f>
        <v>0.53325965401778674</v>
      </c>
      <c r="D107" s="532" t="s">
        <v>871</v>
      </c>
      <c r="E107" s="209"/>
      <c r="F107" s="209"/>
    </row>
    <row r="108" spans="1:9" s="77" customFormat="1" x14ac:dyDescent="0.2">
      <c r="A108" s="80"/>
      <c r="B108" s="533" t="s">
        <v>85</v>
      </c>
      <c r="C108" s="534">
        <f>IFERROR(0.0147*POWER(C105,0.7854)/C103,0)</f>
        <v>0.59385734197435336</v>
      </c>
      <c r="D108" s="497" t="s">
        <v>871</v>
      </c>
      <c r="E108" s="209"/>
      <c r="F108" s="209"/>
    </row>
    <row r="109" spans="1:9" s="77" customFormat="1" x14ac:dyDescent="0.2">
      <c r="A109" s="80"/>
      <c r="B109" s="533" t="s">
        <v>86</v>
      </c>
      <c r="C109" s="534">
        <f>IFERROR(0.019*POWER(C105,0.7841)/C103,0)</f>
        <v>0.75535755944165284</v>
      </c>
      <c r="D109" s="497" t="s">
        <v>871</v>
      </c>
      <c r="E109" s="209"/>
      <c r="F109" s="209"/>
      <c r="G109" s="209"/>
      <c r="H109" s="209"/>
      <c r="I109" s="209"/>
    </row>
    <row r="110" spans="1:9" s="77" customFormat="1" x14ac:dyDescent="0.2">
      <c r="A110" s="80"/>
      <c r="B110" s="533" t="s">
        <v>87</v>
      </c>
      <c r="C110" s="534">
        <f>IFERROR(0.0232*POWER(C105,0.7856)/C103,0)</f>
        <v>0.93955983793604558</v>
      </c>
      <c r="D110" s="497" t="s">
        <v>871</v>
      </c>
      <c r="E110" s="209"/>
      <c r="F110" s="209"/>
      <c r="G110" s="209"/>
      <c r="H110" s="209"/>
      <c r="I110" s="209"/>
    </row>
    <row r="111" spans="1:9" s="77" customFormat="1" x14ac:dyDescent="0.2">
      <c r="A111" s="80"/>
      <c r="B111" s="533" t="s">
        <v>88</v>
      </c>
      <c r="C111" s="534">
        <f>IFERROR(0.0277*POWER(C105,0.7843)/C103,0)</f>
        <v>1.1039525629101445</v>
      </c>
      <c r="D111" s="497" t="s">
        <v>871</v>
      </c>
      <c r="E111" s="209"/>
      <c r="F111" s="209"/>
      <c r="G111" s="209"/>
      <c r="H111" s="209"/>
      <c r="I111" s="209"/>
    </row>
    <row r="112" spans="1:9" s="77" customFormat="1" x14ac:dyDescent="0.2">
      <c r="A112" s="80"/>
      <c r="B112" s="535" t="s">
        <v>877</v>
      </c>
      <c r="C112" s="536">
        <f>IFERROR(0.0291*POWER(C105,0.7843)/C103,0)</f>
        <v>1.1597479993027151</v>
      </c>
      <c r="D112" s="495" t="s">
        <v>871</v>
      </c>
      <c r="E112" s="209"/>
      <c r="F112" s="209"/>
      <c r="G112" s="209"/>
      <c r="H112" s="209"/>
      <c r="I112" s="209"/>
    </row>
    <row r="113" spans="1:9" s="77" customFormat="1" x14ac:dyDescent="0.2">
      <c r="A113" s="80"/>
      <c r="B113" s="533" t="str">
        <f>'OSNOVNI PODATKI'!B162</f>
        <v>GRADBENO OBRTNIŠKA DELA (GO)</v>
      </c>
      <c r="C113" s="636">
        <f>'OSNOVNI PODATKI'!D162</f>
        <v>0.80800000000000005</v>
      </c>
      <c r="D113" s="635"/>
      <c r="E113" s="209"/>
      <c r="F113" s="209"/>
      <c r="G113" s="209"/>
      <c r="H113" s="209"/>
      <c r="I113" s="209"/>
    </row>
    <row r="114" spans="1:9" s="77" customFormat="1" x14ac:dyDescent="0.2">
      <c r="A114" s="80"/>
      <c r="B114" s="533" t="str">
        <f>'OSNOVNI PODATKI'!B158</f>
        <v>INFORMATIVNA OCENA STROŠKOV GRADNJE</v>
      </c>
      <c r="C114" s="636">
        <f>'OSNOVNI PODATKI'!D163</f>
        <v>4.4544000000000007E-2</v>
      </c>
      <c r="D114" s="635"/>
      <c r="E114" s="209"/>
      <c r="F114" s="209"/>
      <c r="G114" s="209"/>
      <c r="H114" s="209"/>
      <c r="I114" s="209"/>
    </row>
    <row r="115" spans="1:9" s="77" customFormat="1" x14ac:dyDescent="0.2">
      <c r="A115" s="80"/>
      <c r="B115" s="533" t="str">
        <f>'OSNOVNI PODATKI'!B159</f>
        <v>INFORMATIVNA VREDNOST STROŠKOV GRADNJE EUR/m2 BTP</v>
      </c>
      <c r="C115" s="636">
        <f>'OSNOVNI PODATKI'!D164</f>
        <v>0.14764799999999997</v>
      </c>
      <c r="D115" s="635"/>
      <c r="E115" s="209"/>
      <c r="F115" s="209"/>
      <c r="G115" s="209"/>
      <c r="H115" s="209"/>
      <c r="I115" s="209"/>
    </row>
    <row r="116" spans="1:9" s="77" customFormat="1" x14ac:dyDescent="0.2">
      <c r="A116" s="80"/>
      <c r="B116" s="533" t="str">
        <f>'OSNOVNI PODATKI'!B160</f>
        <v>IZBRANA VREDNOST STROŠKOV GRADNJE EUR/m2 BEP</v>
      </c>
      <c r="C116" s="636">
        <f>'OSNOVNI PODATKI'!D165</f>
        <v>0</v>
      </c>
      <c r="D116" s="635"/>
      <c r="E116" s="209"/>
      <c r="F116" s="209"/>
      <c r="G116" s="209"/>
      <c r="H116" s="209"/>
      <c r="I116" s="209"/>
    </row>
    <row r="117" spans="1:9" s="77" customFormat="1" x14ac:dyDescent="0.2">
      <c r="A117" s="80"/>
      <c r="C117" s="84"/>
      <c r="D117" s="498"/>
      <c r="E117" s="209"/>
      <c r="F117" s="209"/>
      <c r="G117" s="209"/>
      <c r="H117" s="209"/>
      <c r="I117" s="209"/>
    </row>
    <row r="118" spans="1:9" s="77" customFormat="1" ht="14.25" x14ac:dyDescent="0.2">
      <c r="B118" s="84" t="s">
        <v>879</v>
      </c>
      <c r="C118" s="515">
        <f>IFERROR(LOOKUP(C106,B107:C111),"/")</f>
        <v>0.53325965401778674</v>
      </c>
      <c r="D118" s="384" t="s">
        <v>870</v>
      </c>
      <c r="E118" s="498"/>
      <c r="F118" s="498"/>
      <c r="G118" s="498"/>
      <c r="H118" s="498"/>
      <c r="I118" s="498"/>
    </row>
    <row r="119" spans="1:9" s="77" customFormat="1" ht="14.25" x14ac:dyDescent="0.2">
      <c r="B119" s="84" t="s">
        <v>880</v>
      </c>
      <c r="C119" s="515" cm="1">
        <f t="array" ref="C119">IFERROR(INDEX(C107:C112,MATCH(C106,B107:B111)+1),"/")</f>
        <v>0.59385734197435336</v>
      </c>
      <c r="D119" s="384" t="s">
        <v>870</v>
      </c>
      <c r="E119" s="498"/>
      <c r="F119" s="498"/>
      <c r="G119" s="498"/>
      <c r="H119" s="498"/>
      <c r="I119" s="498"/>
    </row>
    <row r="120" spans="1:9" s="77" customFormat="1" x14ac:dyDescent="0.2">
      <c r="B120" s="84" t="s">
        <v>732</v>
      </c>
      <c r="C120" s="539">
        <f>IFERROR(ROUND(C118*C102,0),0)</f>
        <v>0</v>
      </c>
      <c r="D120" s="384" t="s">
        <v>872</v>
      </c>
      <c r="E120" s="498"/>
      <c r="F120" s="498"/>
      <c r="G120" s="498"/>
      <c r="H120" s="498"/>
      <c r="I120" s="498"/>
    </row>
    <row r="121" spans="1:9" s="77" customFormat="1" x14ac:dyDescent="0.2">
      <c r="B121" s="84" t="s">
        <v>733</v>
      </c>
      <c r="C121" s="539">
        <f>IFERROR(ROUND(C119*C102,0),0)</f>
        <v>0</v>
      </c>
      <c r="D121" s="384" t="s">
        <v>872</v>
      </c>
      <c r="E121" s="498"/>
      <c r="F121" s="498"/>
      <c r="G121" s="498"/>
      <c r="H121" s="498"/>
      <c r="I121" s="498"/>
    </row>
    <row r="122" spans="1:9" s="77" customFormat="1" x14ac:dyDescent="0.2">
      <c r="A122" s="80"/>
      <c r="C122" s="209"/>
      <c r="D122" s="209"/>
      <c r="E122" s="209"/>
      <c r="F122" s="209"/>
    </row>
    <row r="123" spans="1:9" s="77" customFormat="1" ht="13.5" thickBot="1" x14ac:dyDescent="0.25">
      <c r="B123" s="78"/>
      <c r="D123" s="78"/>
      <c r="E123" s="78"/>
      <c r="F123" s="82"/>
    </row>
    <row r="124" spans="1:9" s="77" customFormat="1" ht="18.75" x14ac:dyDescent="0.2">
      <c r="A124" s="807" t="s">
        <v>1094</v>
      </c>
      <c r="B124" s="807"/>
      <c r="C124" s="807"/>
      <c r="D124" s="807"/>
      <c r="E124" s="807"/>
      <c r="F124" s="807"/>
      <c r="G124" s="807"/>
      <c r="H124" s="807"/>
    </row>
    <row r="125" spans="1:9" s="77" customFormat="1" x14ac:dyDescent="0.2">
      <c r="A125" s="209"/>
      <c r="B125" s="209"/>
      <c r="C125" s="729"/>
      <c r="D125" s="729"/>
      <c r="E125" s="729"/>
      <c r="F125" s="626"/>
      <c r="G125" s="729"/>
      <c r="H125" s="729"/>
    </row>
    <row r="126" spans="1:9" s="77" customFormat="1" x14ac:dyDescent="0.2">
      <c r="A126" s="209"/>
      <c r="B126" s="84" t="s">
        <v>868</v>
      </c>
      <c r="C126" s="209"/>
      <c r="D126" s="209"/>
      <c r="E126" s="209"/>
      <c r="F126" s="496">
        <f>'OSNOVNI PODATKI'!G372</f>
        <v>225</v>
      </c>
      <c r="G126" s="209"/>
      <c r="H126" s="209"/>
    </row>
    <row r="127" spans="1:9" s="77" customFormat="1" x14ac:dyDescent="0.2">
      <c r="A127" s="209"/>
      <c r="B127" s="84" t="s">
        <v>869</v>
      </c>
      <c r="C127" s="207"/>
      <c r="D127" s="83"/>
      <c r="E127" s="83"/>
      <c r="F127" s="482">
        <f>'ARHIGRAM 6'!I16</f>
        <v>55</v>
      </c>
      <c r="G127" s="207"/>
      <c r="H127" s="207"/>
    </row>
    <row r="128" spans="1:9" s="77" customFormat="1" x14ac:dyDescent="0.2">
      <c r="A128" s="209"/>
      <c r="B128" s="209"/>
      <c r="C128" s="209"/>
      <c r="D128" s="209"/>
      <c r="E128" s="209"/>
      <c r="G128" s="209"/>
      <c r="H128" s="209"/>
    </row>
    <row r="129" spans="1:9" s="77" customFormat="1" x14ac:dyDescent="0.2">
      <c r="B129" s="84" t="str">
        <f>'OSNOVNI PODATKI'!B384</f>
        <v>PRIBITEK ZA PRENOVO</v>
      </c>
      <c r="C129" s="207"/>
      <c r="D129" s="83"/>
      <c r="E129" s="83"/>
      <c r="F129" s="310">
        <f>'OSNOVNI PODATKI'!F384</f>
        <v>0</v>
      </c>
      <c r="G129" s="207" t="str">
        <f>+'OSNOVNI PODATKI'!G384</f>
        <v>upošteva se v fazah od 1 do 4., samo za storitve projektiranja</v>
      </c>
      <c r="H129" s="207"/>
    </row>
    <row r="130" spans="1:9" s="77" customFormat="1" ht="27" customHeight="1" x14ac:dyDescent="0.2">
      <c r="B130" s="1322" t="str">
        <f>'OSNOVNI PODATKI'!B387</f>
        <v>AB KONSTRUKCIJA BREZ OPAŽNIH NAČRTOV ALI ENOSTAVNA LESENA KONSTRUKCIJA</v>
      </c>
      <c r="C130" s="1322"/>
      <c r="D130" s="1322"/>
      <c r="E130" s="1322"/>
      <c r="F130" s="646" t="str">
        <f>IF('OSNOVNI PODATKI'!F387=TRUE,"DA","NE")</f>
        <v>DA</v>
      </c>
      <c r="G130" s="207" t="str">
        <f>+'OSNOVNI PODATKI'!G387</f>
        <v>če je opcija izbrana, se v fazi 2.4 GK upošteva odbitek 30 %</v>
      </c>
      <c r="H130" s="207"/>
    </row>
    <row r="131" spans="1:9" s="2" customFormat="1" x14ac:dyDescent="0.2">
      <c r="A131" s="77"/>
      <c r="B131" s="209"/>
      <c r="C131" s="209"/>
      <c r="D131" s="209"/>
      <c r="E131" s="209"/>
      <c r="F131" s="209"/>
      <c r="G131" s="209"/>
    </row>
    <row r="132" spans="1:9" s="2" customFormat="1" x14ac:dyDescent="0.2">
      <c r="A132" s="77"/>
      <c r="B132" s="209"/>
      <c r="C132" s="209"/>
      <c r="D132" s="209"/>
      <c r="E132" s="209"/>
      <c r="F132" s="209"/>
      <c r="G132" s="209"/>
    </row>
    <row r="133" spans="1:9" s="2" customFormat="1" x14ac:dyDescent="0.2">
      <c r="A133" s="77"/>
      <c r="B133" s="209"/>
      <c r="C133" s="209"/>
      <c r="D133" s="209"/>
      <c r="E133" s="209"/>
      <c r="F133" s="209"/>
      <c r="G133" s="209"/>
    </row>
    <row r="134" spans="1:9" s="2" customFormat="1" x14ac:dyDescent="0.2">
      <c r="A134" s="77"/>
      <c r="B134" s="209"/>
      <c r="C134" s="209"/>
      <c r="D134" s="209"/>
      <c r="E134" s="209"/>
      <c r="F134" s="209"/>
      <c r="G134" s="209"/>
    </row>
    <row r="135" spans="1:9" s="12" customFormat="1" ht="26.25" x14ac:dyDescent="0.25">
      <c r="A135" s="105"/>
      <c r="B135" s="106"/>
      <c r="C135" s="106"/>
      <c r="D135" s="106"/>
      <c r="E135" s="107" t="s">
        <v>25</v>
      </c>
      <c r="F135" s="299" t="s">
        <v>481</v>
      </c>
      <c r="G135" s="606" t="s">
        <v>57</v>
      </c>
      <c r="H135" s="108" t="s">
        <v>70</v>
      </c>
      <c r="I135" s="124" t="s">
        <v>907</v>
      </c>
    </row>
    <row r="136" spans="1:9" s="13" customFormat="1" ht="14.25" x14ac:dyDescent="0.2">
      <c r="A136" s="101" t="s">
        <v>29</v>
      </c>
      <c r="B136" s="102" t="s">
        <v>30</v>
      </c>
      <c r="C136" s="102"/>
      <c r="D136" s="102"/>
      <c r="E136" s="103"/>
      <c r="F136" s="103"/>
      <c r="G136" s="607"/>
      <c r="H136" s="104"/>
    </row>
    <row r="137" spans="1:9" s="13" customFormat="1" ht="14.25" x14ac:dyDescent="0.2">
      <c r="A137" s="85" t="s">
        <v>31</v>
      </c>
      <c r="B137" s="97" t="s">
        <v>65</v>
      </c>
      <c r="C137" s="97"/>
      <c r="D137" s="97"/>
      <c r="E137" s="86"/>
      <c r="F137" s="86"/>
      <c r="G137" s="608"/>
      <c r="H137" s="87" t="str">
        <f>IF(I137=TRUE,G137*'VREDNOST NU'!#REF!,"")</f>
        <v/>
      </c>
    </row>
    <row r="138" spans="1:9" s="13" customFormat="1" ht="14.25" x14ac:dyDescent="0.2">
      <c r="A138" s="110" t="s">
        <v>32</v>
      </c>
      <c r="B138" s="111" t="s">
        <v>66</v>
      </c>
      <c r="C138" s="111"/>
      <c r="D138" s="111"/>
      <c r="E138" s="112"/>
      <c r="F138" s="112"/>
      <c r="G138" s="609"/>
      <c r="H138" s="91" t="str">
        <f>IF(I138=TRUE,G138*'VREDNOST NU'!#REF!,"")</f>
        <v/>
      </c>
    </row>
    <row r="139" spans="1:9" s="13" customFormat="1" ht="14.25" x14ac:dyDescent="0.2">
      <c r="A139" s="109" t="s">
        <v>33</v>
      </c>
      <c r="B139" s="102" t="s">
        <v>34</v>
      </c>
      <c r="C139" s="102"/>
      <c r="D139" s="102"/>
      <c r="E139" s="103">
        <f>SUM(E140:E142)</f>
        <v>0.03</v>
      </c>
      <c r="F139" s="103">
        <f>SUM(F140:F142)</f>
        <v>0.03</v>
      </c>
      <c r="G139" s="613">
        <f>SUM(G140:G142)</f>
        <v>6.75</v>
      </c>
      <c r="H139" s="104">
        <f>SUM(H140:H142)</f>
        <v>371.25</v>
      </c>
      <c r="I139" s="125">
        <f>IFERROR(H139/'OSNOVNI PODATKI'!$E$332,0)</f>
        <v>0</v>
      </c>
    </row>
    <row r="140" spans="1:9" s="13" customFormat="1" ht="14.25" x14ac:dyDescent="0.2">
      <c r="A140" s="88" t="s">
        <v>35</v>
      </c>
      <c r="B140" s="96" t="s">
        <v>67</v>
      </c>
      <c r="C140" s="96"/>
      <c r="D140" s="96"/>
      <c r="E140" s="86">
        <v>1.4999999999999999E-2</v>
      </c>
      <c r="F140" s="86">
        <f>E140*(100%+$F$129)</f>
        <v>1.4999999999999999E-2</v>
      </c>
      <c r="G140" s="614">
        <f>F140*$F$126</f>
        <v>3.375</v>
      </c>
      <c r="H140" s="87">
        <f>+G140*'ARHIGRAM 6'!$I$16</f>
        <v>185.625</v>
      </c>
    </row>
    <row r="141" spans="1:9" s="13" customFormat="1" ht="14.25" x14ac:dyDescent="0.2">
      <c r="A141" s="88" t="s">
        <v>36</v>
      </c>
      <c r="B141" s="96" t="s">
        <v>68</v>
      </c>
      <c r="C141" s="96"/>
      <c r="D141" s="96"/>
      <c r="E141" s="86">
        <v>1.4999999999999999E-2</v>
      </c>
      <c r="F141" s="86">
        <f>E141*(100%+$F$129)</f>
        <v>1.4999999999999999E-2</v>
      </c>
      <c r="G141" s="614">
        <f>F141*$F$126</f>
        <v>3.375</v>
      </c>
      <c r="H141" s="87">
        <f>+G141*'ARHIGRAM 6'!$I$16</f>
        <v>185.625</v>
      </c>
    </row>
    <row r="142" spans="1:9" s="13" customFormat="1" ht="14.25" x14ac:dyDescent="0.2">
      <c r="A142" s="114" t="s">
        <v>37</v>
      </c>
      <c r="B142" s="115" t="s">
        <v>837</v>
      </c>
      <c r="C142" s="115"/>
      <c r="D142" s="115"/>
      <c r="E142" s="112"/>
      <c r="F142" s="112"/>
      <c r="G142" s="615"/>
      <c r="H142" s="91"/>
    </row>
    <row r="143" spans="1:9" s="13" customFormat="1" ht="14.25" x14ac:dyDescent="0.2">
      <c r="A143" s="113">
        <v>2</v>
      </c>
      <c r="B143" s="102" t="s">
        <v>38</v>
      </c>
      <c r="C143" s="102"/>
      <c r="D143" s="102"/>
      <c r="E143" s="103">
        <f>+E144+E145+E146+E147+E148</f>
        <v>0.97</v>
      </c>
      <c r="F143" s="103">
        <f>+F144+F145+F146+F147+F148</f>
        <v>0.66999999999999993</v>
      </c>
      <c r="G143" s="616">
        <f>SUM(G144:G148)</f>
        <v>150.75</v>
      </c>
      <c r="H143" s="104">
        <f>SUM(H144:H148)</f>
        <v>8291.25</v>
      </c>
      <c r="I143" s="125">
        <f>IFERROR(H143/'OSNOVNI PODATKI'!$E$332,0)</f>
        <v>0</v>
      </c>
    </row>
    <row r="144" spans="1:9" s="13" customFormat="1" ht="14.25" x14ac:dyDescent="0.2">
      <c r="A144" s="88" t="s">
        <v>51</v>
      </c>
      <c r="B144" s="96" t="s">
        <v>94</v>
      </c>
      <c r="C144" s="96"/>
      <c r="D144" s="96"/>
      <c r="E144" s="99">
        <v>0.15</v>
      </c>
      <c r="F144" s="86">
        <f>E144*(100%+$F$129)</f>
        <v>0.15</v>
      </c>
      <c r="G144" s="614">
        <f>F144*$F$126</f>
        <v>33.75</v>
      </c>
      <c r="H144" s="87">
        <f>+G144*'ARHIGRAM 6'!$I$16</f>
        <v>1856.25</v>
      </c>
    </row>
    <row r="145" spans="1:11" s="13" customFormat="1" ht="14.25" x14ac:dyDescent="0.2">
      <c r="A145" s="89" t="s">
        <v>52</v>
      </c>
      <c r="B145" s="100" t="s">
        <v>737</v>
      </c>
      <c r="C145" s="100"/>
      <c r="D145" s="100"/>
      <c r="E145" s="99">
        <v>0.3</v>
      </c>
      <c r="F145" s="99">
        <f>E145*(100%+$F$129)</f>
        <v>0.3</v>
      </c>
      <c r="G145" s="614">
        <f>F145*$F$126</f>
        <v>67.5</v>
      </c>
      <c r="H145" s="87">
        <f>+G145*'ARHIGRAM 6'!$I$16</f>
        <v>3712.5</v>
      </c>
    </row>
    <row r="146" spans="1:11" s="13" customFormat="1" ht="14.25" x14ac:dyDescent="0.2">
      <c r="A146" s="89" t="s">
        <v>53</v>
      </c>
      <c r="B146" s="100" t="s">
        <v>841</v>
      </c>
      <c r="C146" s="100"/>
      <c r="D146" s="100"/>
      <c r="E146" s="99"/>
      <c r="F146" s="99"/>
      <c r="G146" s="614"/>
      <c r="H146" s="87"/>
    </row>
    <row r="147" spans="1:11" s="13" customFormat="1" ht="14.25" x14ac:dyDescent="0.2">
      <c r="A147" s="89" t="s">
        <v>95</v>
      </c>
      <c r="B147" s="100" t="s">
        <v>738</v>
      </c>
      <c r="C147" s="100"/>
      <c r="D147" s="100"/>
      <c r="E147" s="99">
        <f>52%</f>
        <v>0.52</v>
      </c>
      <c r="F147" s="99">
        <f>(E147+IF(F130="DA",-30%,0%))*(100%+$F$129)</f>
        <v>0.22000000000000003</v>
      </c>
      <c r="G147" s="614">
        <f>F147*$F$126</f>
        <v>49.500000000000007</v>
      </c>
      <c r="H147" s="87">
        <f>+G147*'ARHIGRAM 6'!$I$16</f>
        <v>2722.5000000000005</v>
      </c>
      <c r="K147" s="857"/>
    </row>
    <row r="148" spans="1:11" s="13" customFormat="1" ht="14.25" x14ac:dyDescent="0.2">
      <c r="A148" s="117" t="s">
        <v>96</v>
      </c>
      <c r="B148" s="118" t="s">
        <v>838</v>
      </c>
      <c r="C148" s="118"/>
      <c r="D148" s="118"/>
      <c r="E148" s="119"/>
      <c r="F148" s="119"/>
      <c r="G148" s="615"/>
      <c r="H148" s="91"/>
    </row>
    <row r="149" spans="1:11" s="13" customFormat="1" ht="14.25" x14ac:dyDescent="0.2">
      <c r="A149" s="116" t="s">
        <v>39</v>
      </c>
      <c r="B149" s="102" t="s">
        <v>121</v>
      </c>
      <c r="C149" s="102"/>
      <c r="D149" s="102"/>
      <c r="E149" s="103">
        <f>SUM(E150:E151)</f>
        <v>0</v>
      </c>
      <c r="F149" s="103">
        <f>SUM(F150:F151)</f>
        <v>0</v>
      </c>
      <c r="G149" s="613">
        <f>SUM(G150:G151)</f>
        <v>0</v>
      </c>
      <c r="H149" s="104">
        <f>SUM(H150:H151)</f>
        <v>0</v>
      </c>
      <c r="I149" s="125">
        <f>IFERROR(H149/'OSNOVNI PODATKI'!$E$332,0)</f>
        <v>0</v>
      </c>
    </row>
    <row r="150" spans="1:11" s="13" customFormat="1" ht="14.25" x14ac:dyDescent="0.2">
      <c r="A150" s="89" t="s">
        <v>40</v>
      </c>
      <c r="B150" s="95" t="s">
        <v>839</v>
      </c>
      <c r="C150" s="95"/>
      <c r="D150" s="95"/>
      <c r="E150" s="86"/>
      <c r="F150" s="86"/>
      <c r="G150" s="614"/>
      <c r="H150" s="87"/>
    </row>
    <row r="151" spans="1:11" s="13" customFormat="1" ht="14.25" x14ac:dyDescent="0.2">
      <c r="A151" s="117" t="s">
        <v>41</v>
      </c>
      <c r="B151" s="90" t="s">
        <v>201</v>
      </c>
      <c r="C151" s="90"/>
      <c r="D151" s="90"/>
      <c r="E151" s="112"/>
      <c r="F151" s="112"/>
      <c r="G151" s="615"/>
      <c r="H151" s="91"/>
    </row>
    <row r="152" spans="1:11" s="13" customFormat="1" ht="14.25" x14ac:dyDescent="0.2">
      <c r="A152" s="120">
        <v>4</v>
      </c>
      <c r="B152" s="102" t="s">
        <v>60</v>
      </c>
      <c r="C152" s="102"/>
      <c r="D152" s="102"/>
      <c r="E152" s="103">
        <f>SUM(E153:E157)</f>
        <v>0</v>
      </c>
      <c r="F152" s="103">
        <f>SUM(F153:F157)</f>
        <v>0</v>
      </c>
      <c r="G152" s="613">
        <f>SUM(G153:G157)</f>
        <v>0</v>
      </c>
      <c r="H152" s="104">
        <f>SUM(H153:H157)</f>
        <v>0</v>
      </c>
      <c r="I152" s="125">
        <f>IFERROR(H152/'OSNOVNI PODATKI'!$E$332,0)</f>
        <v>0</v>
      </c>
    </row>
    <row r="153" spans="1:11" s="13" customFormat="1" ht="14.25" x14ac:dyDescent="0.2">
      <c r="A153" s="89" t="s">
        <v>42</v>
      </c>
      <c r="B153" s="95" t="s">
        <v>202</v>
      </c>
      <c r="C153" s="95"/>
      <c r="D153" s="95"/>
      <c r="E153" s="86"/>
      <c r="F153" s="86"/>
      <c r="G153" s="614"/>
      <c r="H153" s="87"/>
    </row>
    <row r="154" spans="1:11" s="13" customFormat="1" ht="14.25" x14ac:dyDescent="0.2">
      <c r="A154" s="89" t="s">
        <v>43</v>
      </c>
      <c r="B154" s="95" t="s">
        <v>858</v>
      </c>
      <c r="C154" s="95"/>
      <c r="D154" s="95"/>
      <c r="E154" s="86"/>
      <c r="F154" s="86"/>
      <c r="G154" s="614"/>
      <c r="H154" s="87"/>
    </row>
    <row r="155" spans="1:11" s="13" customFormat="1" ht="14.25" x14ac:dyDescent="0.2">
      <c r="A155" s="89" t="s">
        <v>44</v>
      </c>
      <c r="B155" s="95" t="s">
        <v>953</v>
      </c>
      <c r="C155" s="95"/>
      <c r="D155" s="95"/>
      <c r="E155" s="86"/>
      <c r="F155" s="86"/>
      <c r="G155" s="614"/>
      <c r="H155" s="87"/>
    </row>
    <row r="156" spans="1:11" s="13" customFormat="1" ht="14.25" x14ac:dyDescent="0.2">
      <c r="A156" s="89" t="s">
        <v>45</v>
      </c>
      <c r="B156" s="95" t="s">
        <v>859</v>
      </c>
      <c r="C156" s="95"/>
      <c r="D156" s="95"/>
      <c r="E156" s="86"/>
      <c r="F156" s="86"/>
      <c r="G156" s="614"/>
      <c r="H156" s="87"/>
    </row>
    <row r="157" spans="1:11" s="13" customFormat="1" ht="14.25" x14ac:dyDescent="0.2">
      <c r="A157" s="117" t="s">
        <v>46</v>
      </c>
      <c r="B157" s="90" t="s">
        <v>840</v>
      </c>
      <c r="C157" s="90"/>
      <c r="D157" s="90"/>
      <c r="E157" s="112"/>
      <c r="F157" s="112"/>
      <c r="G157" s="615"/>
      <c r="H157" s="91"/>
    </row>
    <row r="158" spans="1:11" s="13" customFormat="1" ht="14.25" x14ac:dyDescent="0.2">
      <c r="A158" s="121">
        <v>5</v>
      </c>
      <c r="B158" s="102" t="s">
        <v>47</v>
      </c>
      <c r="C158" s="102"/>
      <c r="D158" s="102"/>
      <c r="E158" s="103">
        <f>SUM(E159:E160)</f>
        <v>0</v>
      </c>
      <c r="F158" s="103">
        <f>SUM(F159:F160)</f>
        <v>0</v>
      </c>
      <c r="G158" s="613">
        <f>SUM(G159:G160)</f>
        <v>0</v>
      </c>
      <c r="H158" s="104">
        <f>SUM(H159:H160)</f>
        <v>0</v>
      </c>
      <c r="I158" s="125">
        <f>IFERROR(H158/'OSNOVNI PODATKI'!$E$332,0)</f>
        <v>0</v>
      </c>
    </row>
    <row r="159" spans="1:11" s="13" customFormat="1" ht="14.25" x14ac:dyDescent="0.2">
      <c r="A159" s="89" t="s">
        <v>48</v>
      </c>
      <c r="B159" s="98" t="s">
        <v>204</v>
      </c>
      <c r="C159" s="98"/>
      <c r="D159" s="98"/>
      <c r="E159" s="86"/>
      <c r="F159" s="86"/>
      <c r="G159" s="614"/>
      <c r="H159" s="87"/>
    </row>
    <row r="160" spans="1:11" s="13" customFormat="1" ht="14.25" x14ac:dyDescent="0.2">
      <c r="A160" s="117" t="s">
        <v>49</v>
      </c>
      <c r="B160" s="123" t="s">
        <v>205</v>
      </c>
      <c r="C160" s="123"/>
      <c r="D160" s="123"/>
      <c r="E160" s="112"/>
      <c r="F160" s="112"/>
      <c r="G160" s="615"/>
      <c r="H160" s="91"/>
    </row>
    <row r="161" spans="1:9" s="13" customFormat="1" ht="14.25" x14ac:dyDescent="0.2">
      <c r="A161" s="122">
        <v>6</v>
      </c>
      <c r="B161" s="102" t="s">
        <v>50</v>
      </c>
      <c r="C161" s="102"/>
      <c r="D161" s="102"/>
      <c r="E161" s="103"/>
      <c r="F161" s="103"/>
      <c r="G161" s="607"/>
      <c r="H161" s="104"/>
    </row>
    <row r="162" spans="1:9" s="13" customFormat="1" ht="14.25" x14ac:dyDescent="0.2">
      <c r="A162" s="89" t="s">
        <v>54</v>
      </c>
      <c r="B162" s="98" t="s">
        <v>206</v>
      </c>
      <c r="C162" s="98"/>
      <c r="D162" s="98"/>
      <c r="E162" s="86"/>
      <c r="F162" s="86"/>
      <c r="G162" s="608"/>
      <c r="H162" s="87"/>
    </row>
    <row r="163" spans="1:9" s="13" customFormat="1" ht="14.25" x14ac:dyDescent="0.2">
      <c r="A163" s="89" t="s">
        <v>55</v>
      </c>
      <c r="B163" s="98" t="s">
        <v>207</v>
      </c>
      <c r="C163" s="98"/>
      <c r="D163" s="98"/>
      <c r="E163" s="86"/>
      <c r="F163" s="86"/>
      <c r="G163" s="608"/>
      <c r="H163" s="87"/>
    </row>
    <row r="164" spans="1:9" s="13" customFormat="1" ht="14.25" x14ac:dyDescent="0.2">
      <c r="A164" s="117" t="s">
        <v>56</v>
      </c>
      <c r="B164" s="123" t="s">
        <v>208</v>
      </c>
      <c r="C164" s="123"/>
      <c r="D164" s="123"/>
      <c r="E164" s="112"/>
      <c r="F164" s="112"/>
      <c r="G164" s="609"/>
      <c r="H164" s="91"/>
    </row>
    <row r="165" spans="1:9" s="13" customFormat="1" ht="14.25" x14ac:dyDescent="0.2">
      <c r="A165" s="92"/>
      <c r="B165" s="93"/>
      <c r="C165" s="93"/>
      <c r="D165" s="93"/>
      <c r="E165" s="94"/>
      <c r="F165" s="94"/>
      <c r="G165" s="610"/>
      <c r="H165" s="93"/>
    </row>
    <row r="166" spans="1:9" s="13" customFormat="1" ht="14.25" x14ac:dyDescent="0.2">
      <c r="A166" s="126"/>
      <c r="B166" s="127" t="s">
        <v>1</v>
      </c>
      <c r="C166" s="127"/>
      <c r="D166" s="127"/>
      <c r="E166" s="128">
        <f>E136+E139+E143+E149+E152+E158+E161</f>
        <v>1</v>
      </c>
      <c r="F166" s="128">
        <f>F136+F139+F143+F149+F152+F158+F161</f>
        <v>0.7</v>
      </c>
      <c r="G166" s="611">
        <f>G136+G139+G143+G149+G152+G158+G161</f>
        <v>157.5</v>
      </c>
      <c r="H166" s="129">
        <f>H136+H139+H143+H149+H152+H158+H161</f>
        <v>8662.5</v>
      </c>
      <c r="I166" s="125" t="e">
        <f>H166/'OSNOVNI PODATKI'!$E$332</f>
        <v>#DIV/0!</v>
      </c>
    </row>
    <row r="167" spans="1:9" s="13" customFormat="1" ht="14.25" x14ac:dyDescent="0.2">
      <c r="A167" s="29"/>
      <c r="B167" s="124"/>
      <c r="E167" s="30"/>
      <c r="G167" s="30"/>
      <c r="H167" s="125"/>
    </row>
    <row r="168" spans="1:9" ht="14.25" x14ac:dyDescent="0.2">
      <c r="A168" s="29"/>
      <c r="B168" s="124"/>
      <c r="C168" s="13"/>
      <c r="D168" s="13"/>
      <c r="E168" s="30"/>
      <c r="G168" s="30"/>
      <c r="H168" s="125"/>
    </row>
    <row r="171" spans="1:9" x14ac:dyDescent="0.2">
      <c r="G171" s="603"/>
    </row>
    <row r="172" spans="1:9" x14ac:dyDescent="0.2">
      <c r="G172" s="603"/>
    </row>
    <row r="173" spans="1:9" x14ac:dyDescent="0.2">
      <c r="G173" s="603"/>
    </row>
    <row r="174" spans="1:9" x14ac:dyDescent="0.2">
      <c r="G174" s="603"/>
    </row>
    <row r="175" spans="1:9" x14ac:dyDescent="0.2">
      <c r="G175" s="603"/>
    </row>
    <row r="176" spans="1:9" x14ac:dyDescent="0.2">
      <c r="G176" s="603"/>
    </row>
    <row r="177" spans="7:7" x14ac:dyDescent="0.2">
      <c r="G177" s="603"/>
    </row>
    <row r="178" spans="7:7" x14ac:dyDescent="0.2">
      <c r="G178" s="603"/>
    </row>
    <row r="179" spans="7:7" x14ac:dyDescent="0.2">
      <c r="G179" s="603"/>
    </row>
    <row r="180" spans="7:7" x14ac:dyDescent="0.2">
      <c r="G180" s="603"/>
    </row>
    <row r="181" spans="7:7" x14ac:dyDescent="0.2">
      <c r="G181" s="603"/>
    </row>
    <row r="182" spans="7:7" x14ac:dyDescent="0.2">
      <c r="G182" s="603"/>
    </row>
  </sheetData>
  <sheetProtection algorithmName="SHA-512" hashValue="UMiLOggFh7tMQgKgRZ/X2GerTXai1DMSL8MWqMiAgl1EnURa0xrnsOou46lNNHXG8f+GEP6XqOatyIAu/ZazWw==" saltValue="0QHC5xdfPDfvcyVFEOwcXw==" spinCount="100000" sheet="1" objects="1" scenarios="1"/>
  <mergeCells count="1">
    <mergeCell ref="B130:E1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A274"/>
  <sheetViews>
    <sheetView topLeftCell="A65" workbookViewId="0">
      <selection activeCell="B82" sqref="B82"/>
    </sheetView>
  </sheetViews>
  <sheetFormatPr defaultColWidth="9.140625" defaultRowHeight="12.75" x14ac:dyDescent="0.2"/>
  <cols>
    <col min="1" max="1" width="8.140625" style="75" customWidth="1"/>
    <col min="2" max="2" width="28.28515625" style="75" customWidth="1"/>
    <col min="3" max="3" width="13.5703125" style="75" customWidth="1"/>
    <col min="4" max="4" width="24.5703125" style="75" customWidth="1"/>
    <col min="5" max="5" width="13.5703125" style="75" customWidth="1"/>
    <col min="6" max="6" width="29.85546875" style="75" customWidth="1"/>
    <col min="7" max="9" width="13.5703125" style="75" customWidth="1"/>
    <col min="10" max="10" width="25.85546875" style="75" customWidth="1"/>
    <col min="11" max="12" width="13.5703125" style="75" customWidth="1"/>
    <col min="13" max="16384" width="9.140625" style="75"/>
  </cols>
  <sheetData>
    <row r="1" spans="1:22" ht="26.25" x14ac:dyDescent="0.2">
      <c r="B1" s="723" t="s">
        <v>1119</v>
      </c>
      <c r="C1" s="4"/>
      <c r="D1" s="4"/>
      <c r="E1" s="4"/>
      <c r="F1" s="4"/>
      <c r="G1" s="4"/>
      <c r="H1" s="4"/>
      <c r="I1"/>
      <c r="J1" s="5"/>
      <c r="K1" s="4"/>
      <c r="L1" s="4"/>
      <c r="M1" s="4"/>
      <c r="N1" s="4"/>
      <c r="R1" s="5"/>
      <c r="S1" s="4"/>
      <c r="T1" s="4"/>
      <c r="U1" s="4"/>
      <c r="V1" s="4"/>
    </row>
    <row r="2" spans="1:22" ht="15" thickBot="1" x14ac:dyDescent="0.25">
      <c r="C2" s="11"/>
    </row>
    <row r="3" spans="1:22" s="77" customFormat="1" ht="18.75" x14ac:dyDescent="0.2">
      <c r="A3" s="807" t="s">
        <v>936</v>
      </c>
      <c r="B3" s="807"/>
      <c r="C3" s="807"/>
      <c r="D3" s="807"/>
      <c r="E3" s="807" t="s">
        <v>937</v>
      </c>
      <c r="F3" s="807"/>
      <c r="G3" s="807"/>
      <c r="H3" s="807"/>
      <c r="I3" s="807" t="s">
        <v>938</v>
      </c>
      <c r="J3" s="807"/>
      <c r="K3" s="807"/>
      <c r="L3" s="807"/>
    </row>
    <row r="4" spans="1:22" s="77" customFormat="1" ht="18.75" x14ac:dyDescent="0.2">
      <c r="A4" s="856"/>
      <c r="B4" s="856"/>
      <c r="C4" s="856"/>
      <c r="D4" s="856"/>
      <c r="E4" s="856"/>
      <c r="F4" s="856"/>
      <c r="G4" s="856"/>
      <c r="H4" s="856"/>
      <c r="I4" s="856"/>
      <c r="J4" s="856"/>
      <c r="K4" s="856"/>
      <c r="L4" s="856"/>
    </row>
    <row r="5" spans="1:22" s="77" customFormat="1" x14ac:dyDescent="0.2">
      <c r="A5" s="80"/>
      <c r="B5" s="538" t="s">
        <v>941</v>
      </c>
      <c r="C5" s="641">
        <f>'OSNOVNI PODATKI'!H11</f>
        <v>1</v>
      </c>
      <c r="D5" s="538" t="str">
        <f>IF(C5=1,'OSNOVNI PODATKI'!B11,'OSNOVNI PODATKI'!B12)</f>
        <v>ENA STAVBA Z RAZLIČNIMI DELI (PRI IZRAČUNU POTREBNIH NU SE UPOŠTEVA SEŠTEVEK POVRŠIN VSEH DELOV)</v>
      </c>
      <c r="E5" s="498"/>
      <c r="F5" s="498"/>
      <c r="G5" s="207"/>
      <c r="H5" s="207"/>
      <c r="I5" s="207"/>
    </row>
    <row r="6" spans="1:22" s="77" customFormat="1" x14ac:dyDescent="0.2">
      <c r="A6" s="80"/>
      <c r="B6" s="538" t="s">
        <v>942</v>
      </c>
      <c r="C6" s="618">
        <f>'OSNOVNI PODATKI'!E329</f>
        <v>400</v>
      </c>
      <c r="D6" s="538"/>
      <c r="E6" s="498"/>
      <c r="F6" s="498"/>
      <c r="G6" s="207"/>
      <c r="H6" s="207"/>
      <c r="I6" s="207"/>
    </row>
    <row r="7" spans="1:22" s="77" customFormat="1" x14ac:dyDescent="0.2">
      <c r="A7" s="80"/>
      <c r="D7" s="209"/>
      <c r="E7" s="209"/>
    </row>
    <row r="8" spans="1:22" s="77" customFormat="1" x14ac:dyDescent="0.2">
      <c r="A8" s="80"/>
      <c r="B8" s="209" t="str">
        <f>'OSNOVNI PODATKI'!A15</f>
        <v>STAVBA 1 / DEL 1</v>
      </c>
      <c r="C8" s="541">
        <f>'OSNOVNI PODATKI'!E15</f>
        <v>0</v>
      </c>
      <c r="D8" s="209"/>
      <c r="E8" s="209"/>
      <c r="I8"/>
    </row>
    <row r="9" spans="1:22" s="77" customFormat="1" x14ac:dyDescent="0.2">
      <c r="A9" s="80"/>
      <c r="B9" s="202" t="s">
        <v>718</v>
      </c>
      <c r="C9" s="84" t="str">
        <f>'OSNOVNI PODATKI'!E16</f>
        <v>Večstanovanjske stavbe ali skupine stanovanjskih stavb v strnjeni pozidavi, srednji standard</v>
      </c>
      <c r="D9" s="498"/>
      <c r="E9" s="209"/>
      <c r="I9"/>
    </row>
    <row r="10" spans="1:22" s="77" customFormat="1" x14ac:dyDescent="0.2">
      <c r="A10" s="80"/>
      <c r="B10" s="202" t="s">
        <v>943</v>
      </c>
      <c r="C10" s="84">
        <f>'OSNOVNI PODATKI'!E17</f>
        <v>400</v>
      </c>
      <c r="D10" s="498"/>
      <c r="E10" s="209"/>
      <c r="F10" s="498"/>
      <c r="G10" s="498"/>
      <c r="H10" s="498"/>
      <c r="I10"/>
    </row>
    <row r="11" spans="1:22" s="77" customFormat="1" x14ac:dyDescent="0.2">
      <c r="A11" s="80"/>
      <c r="B11" s="202" t="s">
        <v>944</v>
      </c>
      <c r="C11" s="84">
        <f>IF($C$5=1,$C$6,C10)</f>
        <v>400</v>
      </c>
      <c r="D11" s="498"/>
      <c r="E11" s="209"/>
      <c r="I11"/>
    </row>
    <row r="12" spans="1:22" s="77" customFormat="1" x14ac:dyDescent="0.2">
      <c r="A12" s="80"/>
      <c r="B12" s="538" t="s">
        <v>878</v>
      </c>
      <c r="C12" s="1298">
        <f>'OSNOVNI PODATKI'!E27</f>
        <v>-13</v>
      </c>
      <c r="D12" s="498"/>
      <c r="E12" s="209"/>
      <c r="F12" s="538"/>
      <c r="G12" s="579"/>
      <c r="I12"/>
      <c r="J12" s="538"/>
      <c r="K12" s="579"/>
    </row>
    <row r="13" spans="1:22" s="77" customFormat="1" x14ac:dyDescent="0.2">
      <c r="A13" s="80"/>
      <c r="B13" s="538" t="s">
        <v>1033</v>
      </c>
      <c r="C13" s="1300">
        <f>C22*C11*(1000+C12)</f>
        <v>21690.312000000002</v>
      </c>
      <c r="D13" s="498"/>
      <c r="E13" s="209"/>
      <c r="F13" s="538" t="s">
        <v>1033</v>
      </c>
      <c r="G13" s="1300">
        <f>C23*C11*(1000+C12)</f>
        <v>53578.307999999983</v>
      </c>
      <c r="I13"/>
      <c r="J13" s="538" t="s">
        <v>1033</v>
      </c>
      <c r="K13" s="1300">
        <f>C24*C11*(1000+C12)</f>
        <v>5584.4459999999999</v>
      </c>
    </row>
    <row r="14" spans="1:22" s="77" customFormat="1" x14ac:dyDescent="0.2">
      <c r="A14" s="80"/>
      <c r="B14" s="202" t="s">
        <v>116</v>
      </c>
      <c r="C14" s="84" t="str">
        <f>'OSNOVNI PODATKI'!E20</f>
        <v>Cenovni razred I</v>
      </c>
      <c r="D14" s="498"/>
      <c r="E14" s="209"/>
      <c r="F14" s="202" t="s">
        <v>116</v>
      </c>
      <c r="G14" s="84" t="str">
        <f>'OSNOVNI PODATKI'!E21</f>
        <v>Cenovni razred I</v>
      </c>
      <c r="H14" s="498"/>
      <c r="I14"/>
      <c r="J14" s="202" t="s">
        <v>116</v>
      </c>
      <c r="K14" s="84" t="str">
        <f>'OSNOVNI PODATKI'!E22</f>
        <v>Cenovni razred I</v>
      </c>
      <c r="L14" s="498"/>
    </row>
    <row r="15" spans="1:22" s="77" customFormat="1" x14ac:dyDescent="0.2">
      <c r="A15" s="80"/>
      <c r="B15" s="530" t="s">
        <v>84</v>
      </c>
      <c r="C15" s="531">
        <f>IFERROR((0.0331*POWER(C13,0.7868))/C11,"/")</f>
        <v>0.21357082887269832</v>
      </c>
      <c r="D15" s="532" t="s">
        <v>871</v>
      </c>
      <c r="E15" s="209"/>
      <c r="F15" s="530" t="s">
        <v>84</v>
      </c>
      <c r="G15" s="531">
        <f>IFERROR((0.0331*POWER(G13,0.7868))/C11,"/")</f>
        <v>0.4350473657562417</v>
      </c>
      <c r="H15" s="532" t="s">
        <v>871</v>
      </c>
      <c r="I15"/>
      <c r="J15" s="530" t="s">
        <v>84</v>
      </c>
      <c r="K15" s="531">
        <f>IFERROR((0.0331*POWER(K13,0.7868))/C11,"/")</f>
        <v>7.3433113417175802E-2</v>
      </c>
      <c r="L15" s="532" t="s">
        <v>871</v>
      </c>
    </row>
    <row r="16" spans="1:22" s="77" customFormat="1" x14ac:dyDescent="0.2">
      <c r="A16" s="80"/>
      <c r="B16" s="533" t="s">
        <v>85</v>
      </c>
      <c r="C16" s="534">
        <f>IFERROR((0.0392*POWER(C13,0.7872))/C11,"/")</f>
        <v>0.25394198657497008</v>
      </c>
      <c r="D16" s="497" t="s">
        <v>871</v>
      </c>
      <c r="E16" s="209"/>
      <c r="F16" s="533" t="s">
        <v>85</v>
      </c>
      <c r="G16" s="534">
        <f>IFERROR((0.0392*POWER(G13,0.7872))/C11,"/")</f>
        <v>0.51747123352116153</v>
      </c>
      <c r="H16" s="497" t="s">
        <v>871</v>
      </c>
      <c r="I16"/>
      <c r="J16" s="533" t="s">
        <v>85</v>
      </c>
      <c r="K16" s="534">
        <f>IFERROR((0.0392*POWER(K13,0.7872))/C11,"/")</f>
        <v>8.726675098144171E-2</v>
      </c>
      <c r="L16" s="497" t="s">
        <v>871</v>
      </c>
    </row>
    <row r="17" spans="1:12" s="77" customFormat="1" x14ac:dyDescent="0.2">
      <c r="A17" s="80"/>
      <c r="B17" s="533" t="s">
        <v>86</v>
      </c>
      <c r="C17" s="534">
        <f>IFERROR((0.0458*POWER(C13,0.7877))/C11,"/")</f>
        <v>0.29818243478020828</v>
      </c>
      <c r="D17" s="497" t="s">
        <v>871</v>
      </c>
      <c r="E17" s="209"/>
      <c r="F17" s="533" t="s">
        <v>86</v>
      </c>
      <c r="G17" s="534">
        <f>IFERROR((0.0458*POWER(G13,0.7877))/C11,"/")</f>
        <v>0.60789716448541442</v>
      </c>
      <c r="H17" s="497" t="s">
        <v>871</v>
      </c>
      <c r="I17"/>
      <c r="J17" s="533" t="s">
        <v>86</v>
      </c>
      <c r="K17" s="534">
        <f>IFERROR((0.0458*POWER(K13,0.7877))/C11,"/")</f>
        <v>0.10240041297548483</v>
      </c>
      <c r="L17" s="497" t="s">
        <v>871</v>
      </c>
    </row>
    <row r="18" spans="1:12" s="77" customFormat="1" x14ac:dyDescent="0.2">
      <c r="A18" s="80"/>
      <c r="B18" s="533" t="s">
        <v>87</v>
      </c>
      <c r="C18" s="534">
        <f>IFERROR((0.0528*POWER(C13,0.7867))/C11,"/")</f>
        <v>0.34034097238635896</v>
      </c>
      <c r="D18" s="497" t="s">
        <v>871</v>
      </c>
      <c r="E18" s="209"/>
      <c r="F18" s="533" t="s">
        <v>87</v>
      </c>
      <c r="G18" s="534">
        <f>IFERROR((0.0528*POWER(G13,0.7867))/C11,"/")</f>
        <v>0.69321758843201087</v>
      </c>
      <c r="H18" s="497" t="s">
        <v>871</v>
      </c>
      <c r="I18"/>
      <c r="J18" s="533" t="s">
        <v>87</v>
      </c>
      <c r="K18" s="534">
        <f>IFERROR((0.0528*POWER(K13,0.7867))/C11,"/")</f>
        <v>0.11703699772010459</v>
      </c>
      <c r="L18" s="497" t="s">
        <v>871</v>
      </c>
    </row>
    <row r="19" spans="1:12" s="77" customFormat="1" x14ac:dyDescent="0.2">
      <c r="A19" s="80"/>
      <c r="B19" s="533"/>
      <c r="C19" s="534"/>
      <c r="D19" s="497"/>
      <c r="E19" s="209"/>
      <c r="F19" s="533"/>
      <c r="G19" s="534"/>
      <c r="H19" s="497"/>
      <c r="I19"/>
      <c r="J19" s="533"/>
      <c r="K19" s="534"/>
      <c r="L19" s="497"/>
    </row>
    <row r="20" spans="1:12" s="77" customFormat="1" x14ac:dyDescent="0.2">
      <c r="A20" s="80"/>
      <c r="B20" s="533"/>
      <c r="C20" s="534"/>
      <c r="D20" s="497"/>
      <c r="E20" s="209"/>
      <c r="F20" s="533"/>
      <c r="G20" s="534"/>
      <c r="H20" s="497"/>
      <c r="I20"/>
      <c r="J20" s="533"/>
      <c r="K20" s="497"/>
      <c r="L20" s="497"/>
    </row>
    <row r="21" spans="1:12" s="77" customFormat="1" x14ac:dyDescent="0.2">
      <c r="A21" s="80"/>
      <c r="B21" s="533" t="str">
        <f>'OSNOVNI PODATKI'!B69</f>
        <v>GRADBENO OBRTNIŠKA DELA (GO)</v>
      </c>
      <c r="C21" s="636">
        <f>'OSNOVNI PODATKI'!D38</f>
        <v>0.79500000000000004</v>
      </c>
      <c r="D21" s="635"/>
      <c r="E21" s="639"/>
      <c r="F21" s="209"/>
      <c r="J21" s="638"/>
      <c r="K21" s="633"/>
      <c r="L21" s="633"/>
    </row>
    <row r="22" spans="1:12" s="77" customFormat="1" x14ac:dyDescent="0.2">
      <c r="A22" s="80"/>
      <c r="B22" s="533" t="str">
        <f>'OSNOVNI PODATKI'!B70</f>
        <v>ELEKTRIČNE INŠTALACIJE (EI)</v>
      </c>
      <c r="C22" s="636">
        <f>'OSNOVNI PODATKI'!D39</f>
        <v>5.494000000000001E-2</v>
      </c>
      <c r="D22" s="635"/>
      <c r="E22" s="639"/>
      <c r="F22" s="209"/>
      <c r="K22" s="633"/>
      <c r="L22" s="633"/>
    </row>
    <row r="23" spans="1:12" s="77" customFormat="1" x14ac:dyDescent="0.2">
      <c r="A23" s="80"/>
      <c r="B23" s="533" t="str">
        <f>'OSNOVNI PODATKI'!B71</f>
        <v>STROJNE INŠTALACIJE (SI)</v>
      </c>
      <c r="C23" s="636">
        <f>'OSNOVNI PODATKI'!D40</f>
        <v>0.13570999999999997</v>
      </c>
      <c r="D23" s="635"/>
      <c r="E23" s="639"/>
      <c r="F23" s="209"/>
      <c r="J23" s="638"/>
      <c r="K23" s="633"/>
      <c r="L23" s="633"/>
    </row>
    <row r="24" spans="1:12" s="77" customFormat="1" x14ac:dyDescent="0.2">
      <c r="A24" s="80"/>
      <c r="B24" s="533" t="str">
        <f>'OSNOVNI PODATKI'!B72</f>
        <v>TEHNOLOGIJA (TH)</v>
      </c>
      <c r="C24" s="636">
        <f>'OSNOVNI PODATKI'!D41</f>
        <v>1.4145000000000001E-2</v>
      </c>
      <c r="D24" s="635"/>
      <c r="E24" s="639"/>
      <c r="F24" s="209"/>
      <c r="J24" s="533"/>
      <c r="K24" s="632"/>
      <c r="L24" s="633"/>
    </row>
    <row r="25" spans="1:12" s="77" customFormat="1" x14ac:dyDescent="0.2">
      <c r="A25" s="80"/>
      <c r="B25" s="533"/>
      <c r="C25" s="636"/>
      <c r="D25" s="635"/>
      <c r="E25" s="639"/>
      <c r="F25" s="209"/>
      <c r="J25" s="533"/>
      <c r="K25" s="632"/>
      <c r="L25" s="633"/>
    </row>
    <row r="26" spans="1:12" s="77" customFormat="1" ht="14.25" x14ac:dyDescent="0.2">
      <c r="B26" s="84" t="s">
        <v>879</v>
      </c>
      <c r="C26" s="515">
        <f>IFERROR(LOOKUP(C14,B15:C18),"/")</f>
        <v>0.21357082887269832</v>
      </c>
      <c r="D26" s="384" t="s">
        <v>870</v>
      </c>
      <c r="E26" s="209"/>
      <c r="F26" s="84" t="s">
        <v>879</v>
      </c>
      <c r="G26" s="515">
        <f>IFERROR(LOOKUP(G14,F15:G18),"/")</f>
        <v>0.4350473657562417</v>
      </c>
      <c r="H26" s="384" t="s">
        <v>870</v>
      </c>
      <c r="I26"/>
      <c r="J26" s="84" t="s">
        <v>879</v>
      </c>
      <c r="K26" s="515">
        <f>IFERROR(LOOKUP(K14,J15:K18),"/")</f>
        <v>7.3433113417175802E-2</v>
      </c>
      <c r="L26" s="384" t="s">
        <v>870</v>
      </c>
    </row>
    <row r="27" spans="1:12" s="77" customFormat="1" ht="14.25" x14ac:dyDescent="0.2">
      <c r="B27" s="84" t="s">
        <v>880</v>
      </c>
      <c r="C27" s="515" cm="1">
        <f t="array" ref="C27">IFERROR(INDEX(C15:C18,MATCH(C14,B15:B18)+1),"/")</f>
        <v>0.25394198657497008</v>
      </c>
      <c r="D27" s="384" t="s">
        <v>870</v>
      </c>
      <c r="E27" s="209"/>
      <c r="F27" s="84" t="s">
        <v>880</v>
      </c>
      <c r="G27" s="515" cm="1">
        <f t="array" ref="G27">IFERROR(INDEX(G15:G18,MATCH(G14,F15:F18)+1),"/")</f>
        <v>0.51747123352116153</v>
      </c>
      <c r="H27" s="384" t="s">
        <v>870</v>
      </c>
      <c r="I27"/>
      <c r="J27" s="84" t="s">
        <v>880</v>
      </c>
      <c r="K27" s="515" cm="1">
        <f t="array" ref="K27">IFERROR(INDEX(K15:K18,MATCH(K14,J15:J18)+1),"/")</f>
        <v>8.726675098144171E-2</v>
      </c>
      <c r="L27" s="384" t="s">
        <v>870</v>
      </c>
    </row>
    <row r="28" spans="1:12" s="77" customFormat="1" x14ac:dyDescent="0.2">
      <c r="B28" s="84" t="s">
        <v>732</v>
      </c>
      <c r="C28" s="539">
        <f>IFERROR(ROUND(C26*$C10,0),0)</f>
        <v>85</v>
      </c>
      <c r="D28" s="384" t="s">
        <v>872</v>
      </c>
      <c r="E28" s="209"/>
      <c r="F28" s="84" t="s">
        <v>732</v>
      </c>
      <c r="G28" s="539">
        <f>IFERROR(ROUND(G26*$C10,0),0)</f>
        <v>174</v>
      </c>
      <c r="H28" s="384" t="s">
        <v>872</v>
      </c>
      <c r="I28"/>
      <c r="J28" s="84" t="s">
        <v>732</v>
      </c>
      <c r="K28" s="539">
        <f>IFERROR(ROUND(K26*$C10,0),0)</f>
        <v>29</v>
      </c>
      <c r="L28" s="384" t="s">
        <v>872</v>
      </c>
    </row>
    <row r="29" spans="1:12" s="77" customFormat="1" x14ac:dyDescent="0.2">
      <c r="B29" s="84" t="s">
        <v>733</v>
      </c>
      <c r="C29" s="539">
        <f>IFERROR(ROUND(C27*$C10,0),0)</f>
        <v>102</v>
      </c>
      <c r="D29" s="384" t="s">
        <v>872</v>
      </c>
      <c r="E29" s="209"/>
      <c r="F29" s="84" t="s">
        <v>733</v>
      </c>
      <c r="G29" s="539">
        <f>IFERROR(ROUND(G27*$C10,0),0)</f>
        <v>207</v>
      </c>
      <c r="H29" s="384" t="s">
        <v>872</v>
      </c>
      <c r="I29"/>
      <c r="J29" s="84" t="s">
        <v>733</v>
      </c>
      <c r="K29" s="539">
        <f>IFERROR(ROUND(K27*$C10,0),0)</f>
        <v>35</v>
      </c>
      <c r="L29" s="384" t="s">
        <v>872</v>
      </c>
    </row>
    <row r="30" spans="1:12" s="77" customFormat="1" x14ac:dyDescent="0.2">
      <c r="A30" s="80"/>
      <c r="C30" s="296"/>
      <c r="D30" s="209"/>
      <c r="E30" s="209"/>
      <c r="I30"/>
    </row>
    <row r="31" spans="1:12" s="77" customFormat="1" x14ac:dyDescent="0.2">
      <c r="A31" s="80"/>
      <c r="B31" s="209" t="str">
        <f>'OSNOVNI PODATKI'!A46</f>
        <v>STAVBA 2 / DEL 2</v>
      </c>
      <c r="C31" s="541">
        <f>'OSNOVNI PODATKI'!E46</f>
        <v>0</v>
      </c>
      <c r="D31" s="209"/>
      <c r="E31" s="209"/>
      <c r="I31"/>
    </row>
    <row r="32" spans="1:12" s="77" customFormat="1" x14ac:dyDescent="0.2">
      <c r="A32" s="80"/>
      <c r="B32" s="202" t="s">
        <v>718</v>
      </c>
      <c r="C32" s="84" t="str">
        <f>'OSNOVNI PODATKI'!E47</f>
        <v>Nepodkletene eno in dvostanovanjske stavbe, srednji standard</v>
      </c>
      <c r="D32" s="498"/>
      <c r="E32" s="209"/>
      <c r="I32"/>
    </row>
    <row r="33" spans="1:12" s="77" customFormat="1" x14ac:dyDescent="0.2">
      <c r="A33" s="80"/>
      <c r="B33" s="202" t="s">
        <v>943</v>
      </c>
      <c r="C33" s="84">
        <f>'OSNOVNI PODATKI'!E48</f>
        <v>0</v>
      </c>
      <c r="D33" s="498"/>
      <c r="E33" s="209"/>
      <c r="F33" s="498"/>
      <c r="G33" s="498"/>
      <c r="H33" s="498"/>
      <c r="I33"/>
    </row>
    <row r="34" spans="1:12" s="77" customFormat="1" x14ac:dyDescent="0.2">
      <c r="A34" s="80"/>
      <c r="B34" s="202" t="s">
        <v>944</v>
      </c>
      <c r="C34" s="84">
        <f>IF($C$5=1,$C$6,C33)</f>
        <v>400</v>
      </c>
      <c r="D34" s="498"/>
      <c r="E34" s="209"/>
      <c r="I34"/>
    </row>
    <row r="35" spans="1:12" s="77" customFormat="1" x14ac:dyDescent="0.2">
      <c r="A35" s="80"/>
      <c r="B35" s="538" t="s">
        <v>878</v>
      </c>
      <c r="C35" s="537">
        <f>'OSNOVNI PODATKI'!E58</f>
        <v>230.59999999999991</v>
      </c>
      <c r="D35" s="498"/>
      <c r="E35" s="209"/>
      <c r="F35" s="538"/>
      <c r="G35" s="579"/>
      <c r="I35"/>
      <c r="J35" s="538"/>
      <c r="K35" s="579"/>
    </row>
    <row r="36" spans="1:12" s="77" customFormat="1" x14ac:dyDescent="0.2">
      <c r="A36" s="80"/>
      <c r="B36" s="538" t="s">
        <v>1033</v>
      </c>
      <c r="C36" s="1300">
        <f>C45*C34*(1000+C35)</f>
        <v>21926.33856</v>
      </c>
      <c r="D36" s="498"/>
      <c r="E36" s="209"/>
      <c r="F36" s="538" t="s">
        <v>1033</v>
      </c>
      <c r="G36" s="1300">
        <f>C46*C34*(1000+C35)</f>
        <v>72678.251519999976</v>
      </c>
      <c r="I36"/>
      <c r="J36" s="538" t="s">
        <v>1033</v>
      </c>
      <c r="K36" s="1300">
        <f>C47*C34*(1000+C35)</f>
        <v>0</v>
      </c>
    </row>
    <row r="37" spans="1:12" s="77" customFormat="1" x14ac:dyDescent="0.2">
      <c r="A37" s="80"/>
      <c r="B37" s="202" t="s">
        <v>116</v>
      </c>
      <c r="C37" s="84" t="str">
        <f>'OSNOVNI PODATKI'!E51</f>
        <v>Cenovni razred II</v>
      </c>
      <c r="D37" s="498"/>
      <c r="E37" s="209"/>
      <c r="F37" s="202" t="s">
        <v>116</v>
      </c>
      <c r="G37" s="84" t="str">
        <f>'OSNOVNI PODATKI'!E52</f>
        <v>Cenovni razred II</v>
      </c>
      <c r="I37"/>
      <c r="J37" s="202" t="s">
        <v>116</v>
      </c>
      <c r="K37" s="84" t="str">
        <f>'OSNOVNI PODATKI'!E53</f>
        <v>Cenovni razred II</v>
      </c>
    </row>
    <row r="38" spans="1:12" s="77" customFormat="1" x14ac:dyDescent="0.2">
      <c r="A38" s="80"/>
      <c r="B38" s="530" t="s">
        <v>84</v>
      </c>
      <c r="C38" s="531">
        <f>IFERROR((0.0331*POWER(C36,0.7868))/C34,"/")</f>
        <v>0.2153972440224059</v>
      </c>
      <c r="D38" s="532" t="s">
        <v>871</v>
      </c>
      <c r="E38" s="209"/>
      <c r="F38" s="530" t="s">
        <v>84</v>
      </c>
      <c r="G38" s="531">
        <f>IFERROR((0.0331*POWER(G36,0.7868))/C34,"/")</f>
        <v>0.55299479032310017</v>
      </c>
      <c r="H38" s="532" t="s">
        <v>871</v>
      </c>
      <c r="I38"/>
      <c r="J38" s="530" t="s">
        <v>84</v>
      </c>
      <c r="K38" s="531">
        <f>IFERROR((0.0331*POWER(K36,0.7868))/C34,"/")</f>
        <v>0</v>
      </c>
      <c r="L38" s="532" t="s">
        <v>871</v>
      </c>
    </row>
    <row r="39" spans="1:12" s="77" customFormat="1" x14ac:dyDescent="0.2">
      <c r="A39" s="80"/>
      <c r="B39" s="533" t="s">
        <v>85</v>
      </c>
      <c r="C39" s="534">
        <f>IFERROR((0.0392*POWER(C36,0.7872))/C34,"/")</f>
        <v>0.25611475657390165</v>
      </c>
      <c r="D39" s="497" t="s">
        <v>871</v>
      </c>
      <c r="E39" s="209"/>
      <c r="F39" s="533" t="s">
        <v>85</v>
      </c>
      <c r="G39" s="534">
        <f>IFERROR((0.0392*POWER(G36,0.7872))/C34,"/")</f>
        <v>0.65784514660560089</v>
      </c>
      <c r="H39" s="497" t="s">
        <v>871</v>
      </c>
      <c r="I39"/>
      <c r="J39" s="533" t="s">
        <v>85</v>
      </c>
      <c r="K39" s="534">
        <f>IFERROR((0.0392*POWER(K36,0.7872))/C34,"/")</f>
        <v>0</v>
      </c>
      <c r="L39" s="497" t="s">
        <v>871</v>
      </c>
    </row>
    <row r="40" spans="1:12" s="77" customFormat="1" x14ac:dyDescent="0.2">
      <c r="A40" s="80"/>
      <c r="B40" s="533" t="s">
        <v>86</v>
      </c>
      <c r="C40" s="534">
        <f>IFERROR((0.0458*POWER(C36,0.7877))/C34,"/")</f>
        <v>0.3007353608408298</v>
      </c>
      <c r="D40" s="497" t="s">
        <v>871</v>
      </c>
      <c r="E40" s="209"/>
      <c r="F40" s="533" t="s">
        <v>86</v>
      </c>
      <c r="G40" s="534">
        <f>IFERROR((0.0458*POWER(G36,0.7877))/C34,"/")</f>
        <v>0.7729186526724432</v>
      </c>
      <c r="H40" s="497" t="s">
        <v>871</v>
      </c>
      <c r="I40"/>
      <c r="J40" s="533" t="s">
        <v>86</v>
      </c>
      <c r="K40" s="534">
        <f>IFERROR((0.0458*POWER(K36,0.7877))/C34,"/")</f>
        <v>0</v>
      </c>
      <c r="L40" s="497" t="s">
        <v>871</v>
      </c>
    </row>
    <row r="41" spans="1:12" s="77" customFormat="1" x14ac:dyDescent="0.2">
      <c r="A41" s="80"/>
      <c r="B41" s="533" t="s">
        <v>87</v>
      </c>
      <c r="C41" s="534">
        <f>IFERROR((0.0528*POWER(C36,0.7867))/C34,"/")</f>
        <v>0.34325112903296739</v>
      </c>
      <c r="D41" s="497" t="s">
        <v>871</v>
      </c>
      <c r="E41" s="209"/>
      <c r="F41" s="533" t="s">
        <v>87</v>
      </c>
      <c r="G41" s="534">
        <f>IFERROR((0.0528*POWER(G36,0.7867))/C34,"/")</f>
        <v>0.88113170469307733</v>
      </c>
      <c r="H41" s="497" t="s">
        <v>871</v>
      </c>
      <c r="I41"/>
      <c r="J41" s="533" t="s">
        <v>87</v>
      </c>
      <c r="K41" s="534">
        <f>IFERROR((0.0528*POWER(K36,0.7867))/C34,"/")</f>
        <v>0</v>
      </c>
      <c r="L41" s="497" t="s">
        <v>871</v>
      </c>
    </row>
    <row r="42" spans="1:12" s="77" customFormat="1" x14ac:dyDescent="0.2">
      <c r="A42" s="80"/>
      <c r="B42" s="533"/>
      <c r="C42" s="534"/>
      <c r="D42" s="497"/>
      <c r="E42" s="209"/>
      <c r="F42" s="533"/>
      <c r="G42" s="534"/>
      <c r="H42" s="497"/>
      <c r="I42"/>
      <c r="J42" s="533"/>
      <c r="K42" s="534"/>
      <c r="L42" s="497"/>
    </row>
    <row r="43" spans="1:12" s="77" customFormat="1" x14ac:dyDescent="0.2">
      <c r="A43" s="80"/>
      <c r="B43" s="533"/>
      <c r="C43" s="534"/>
      <c r="D43" s="497"/>
      <c r="E43" s="209"/>
      <c r="F43" s="533"/>
      <c r="G43" s="534"/>
      <c r="H43" s="497"/>
      <c r="I43"/>
      <c r="J43" s="533"/>
      <c r="K43" s="534"/>
      <c r="L43" s="497"/>
    </row>
    <row r="44" spans="1:12" s="77" customFormat="1" x14ac:dyDescent="0.2">
      <c r="A44" s="80"/>
      <c r="B44" s="533" t="str">
        <f>'OSNOVNI PODATKI'!B69</f>
        <v>GRADBENO OBRTNIŠKA DELA (GO)</v>
      </c>
      <c r="C44" s="636">
        <f>'OSNOVNI PODATKI'!D69</f>
        <v>0.80800000000000005</v>
      </c>
      <c r="D44" s="635"/>
      <c r="E44" s="639"/>
      <c r="F44" s="209"/>
      <c r="J44" s="638"/>
      <c r="L44" s="633"/>
    </row>
    <row r="45" spans="1:12" s="77" customFormat="1" x14ac:dyDescent="0.2">
      <c r="A45" s="80"/>
      <c r="B45" s="533" t="str">
        <f>'OSNOVNI PODATKI'!B70</f>
        <v>ELEKTRIČNE INŠTALACIJE (EI)</v>
      </c>
      <c r="C45" s="636">
        <f>'OSNOVNI PODATKI'!D70</f>
        <v>4.4544000000000007E-2</v>
      </c>
      <c r="D45" s="635"/>
      <c r="E45" s="639"/>
      <c r="F45" s="209"/>
      <c r="J45" s="639"/>
      <c r="K45" s="639"/>
      <c r="L45" s="633"/>
    </row>
    <row r="46" spans="1:12" s="77" customFormat="1" x14ac:dyDescent="0.2">
      <c r="A46" s="80"/>
      <c r="B46" s="533" t="str">
        <f>'OSNOVNI PODATKI'!B71</f>
        <v>STROJNE INŠTALACIJE (SI)</v>
      </c>
      <c r="C46" s="636">
        <f>'OSNOVNI PODATKI'!D71</f>
        <v>0.14764799999999997</v>
      </c>
      <c r="D46" s="635"/>
      <c r="E46" s="639"/>
      <c r="F46" s="209"/>
      <c r="J46" s="638"/>
      <c r="K46" s="632"/>
      <c r="L46" s="633"/>
    </row>
    <row r="47" spans="1:12" s="77" customFormat="1" x14ac:dyDescent="0.2">
      <c r="A47" s="80"/>
      <c r="B47" s="533" t="str">
        <f>'OSNOVNI PODATKI'!B72</f>
        <v>TEHNOLOGIJA (TH)</v>
      </c>
      <c r="C47" s="636">
        <f>'OSNOVNI PODATKI'!D72</f>
        <v>0</v>
      </c>
      <c r="D47" s="635"/>
      <c r="E47" s="639"/>
      <c r="F47" s="209"/>
      <c r="J47" s="533"/>
      <c r="K47" s="632"/>
      <c r="L47" s="633"/>
    </row>
    <row r="48" spans="1:12" s="77" customFormat="1" x14ac:dyDescent="0.2">
      <c r="A48" s="80"/>
      <c r="B48" s="533"/>
      <c r="C48" s="534"/>
      <c r="D48" s="497"/>
      <c r="E48" s="209"/>
      <c r="F48" s="533"/>
      <c r="G48" s="534"/>
      <c r="H48" s="497"/>
      <c r="I48"/>
      <c r="J48" s="533"/>
      <c r="K48" s="534"/>
      <c r="L48" s="497"/>
    </row>
    <row r="49" spans="1:12" s="77" customFormat="1" ht="14.25" x14ac:dyDescent="0.2">
      <c r="B49" s="84" t="s">
        <v>879</v>
      </c>
      <c r="C49" s="515">
        <f>IFERROR(LOOKUP(C37,B38:C41),"/")</f>
        <v>0.25611475657390165</v>
      </c>
      <c r="D49" s="384" t="s">
        <v>870</v>
      </c>
      <c r="E49" s="209"/>
      <c r="F49" s="84" t="s">
        <v>879</v>
      </c>
      <c r="G49" s="515">
        <f>IFERROR(LOOKUP(G37,F38:G41),"/")</f>
        <v>0.65784514660560089</v>
      </c>
      <c r="H49" s="384" t="s">
        <v>870</v>
      </c>
      <c r="I49"/>
      <c r="J49" s="84" t="s">
        <v>879</v>
      </c>
      <c r="K49" s="515">
        <f>IFERROR(LOOKUP(K37,J38:K41),"/")</f>
        <v>0</v>
      </c>
      <c r="L49" s="384" t="s">
        <v>870</v>
      </c>
    </row>
    <row r="50" spans="1:12" s="77" customFormat="1" ht="14.25" x14ac:dyDescent="0.2">
      <c r="B50" s="84" t="s">
        <v>880</v>
      </c>
      <c r="C50" s="515" cm="1">
        <f t="array" ref="C50">IFERROR(INDEX(C38:C41,MATCH(C37,B38:B41)+1),"/")</f>
        <v>0.3007353608408298</v>
      </c>
      <c r="D50" s="384" t="s">
        <v>870</v>
      </c>
      <c r="E50" s="209"/>
      <c r="F50" s="84" t="s">
        <v>880</v>
      </c>
      <c r="G50" s="515" cm="1">
        <f t="array" ref="G50">IFERROR(INDEX(G38:G41,MATCH(G37,F38:F41)+1),"/")</f>
        <v>0.7729186526724432</v>
      </c>
      <c r="H50" s="384" t="s">
        <v>870</v>
      </c>
      <c r="I50"/>
      <c r="J50" s="84" t="s">
        <v>880</v>
      </c>
      <c r="K50" s="515" cm="1">
        <f t="array" ref="K50">IFERROR(INDEX(K38:K41,MATCH(K37,J38:J41)+1),"/")</f>
        <v>0</v>
      </c>
      <c r="L50" s="384" t="s">
        <v>870</v>
      </c>
    </row>
    <row r="51" spans="1:12" s="77" customFormat="1" x14ac:dyDescent="0.2">
      <c r="B51" s="84" t="s">
        <v>732</v>
      </c>
      <c r="C51" s="539">
        <f>IFERROR(ROUND(C49*$C33,0),0)</f>
        <v>0</v>
      </c>
      <c r="D51" s="384" t="s">
        <v>872</v>
      </c>
      <c r="E51" s="209"/>
      <c r="F51" s="84" t="s">
        <v>732</v>
      </c>
      <c r="G51" s="539">
        <f>IFERROR(ROUND(G49*$C33,0),0)</f>
        <v>0</v>
      </c>
      <c r="H51" s="384" t="s">
        <v>872</v>
      </c>
      <c r="I51"/>
      <c r="J51" s="84" t="s">
        <v>732</v>
      </c>
      <c r="K51" s="539">
        <f>IFERROR(ROUND(K49*$C33,0),0)</f>
        <v>0</v>
      </c>
      <c r="L51" s="384" t="s">
        <v>872</v>
      </c>
    </row>
    <row r="52" spans="1:12" s="77" customFormat="1" x14ac:dyDescent="0.2">
      <c r="B52" s="84" t="s">
        <v>733</v>
      </c>
      <c r="C52" s="539">
        <f>IFERROR(ROUND(C50*$C33,0),0)</f>
        <v>0</v>
      </c>
      <c r="D52" s="384" t="s">
        <v>872</v>
      </c>
      <c r="E52" s="209"/>
      <c r="F52" s="84" t="s">
        <v>733</v>
      </c>
      <c r="G52" s="539">
        <f>IFERROR(ROUND(G50*$C33,0),0)</f>
        <v>0</v>
      </c>
      <c r="H52" s="384" t="s">
        <v>872</v>
      </c>
      <c r="I52"/>
      <c r="J52" s="84" t="s">
        <v>733</v>
      </c>
      <c r="K52" s="539">
        <f>IFERROR(ROUND(K50*$C33,0),0)</f>
        <v>0</v>
      </c>
      <c r="L52" s="384" t="s">
        <v>872</v>
      </c>
    </row>
    <row r="53" spans="1:12" s="77" customFormat="1" x14ac:dyDescent="0.2">
      <c r="A53" s="80"/>
      <c r="C53" s="209"/>
      <c r="D53" s="209"/>
      <c r="E53" s="209"/>
      <c r="I53"/>
    </row>
    <row r="54" spans="1:12" s="77" customFormat="1" x14ac:dyDescent="0.2">
      <c r="A54" s="80"/>
      <c r="B54" s="209" t="str">
        <f>'OSNOVNI PODATKI'!A77</f>
        <v>STAVBA 3 / DEL 3</v>
      </c>
      <c r="C54" s="541">
        <f>'OSNOVNI PODATKI'!E77</f>
        <v>0</v>
      </c>
      <c r="D54" s="209"/>
      <c r="E54" s="209"/>
      <c r="I54"/>
    </row>
    <row r="55" spans="1:12" s="77" customFormat="1" x14ac:dyDescent="0.2">
      <c r="A55" s="80"/>
      <c r="B55" s="202" t="s">
        <v>718</v>
      </c>
      <c r="C55" s="84" t="str">
        <f>'OSNOVNI PODATKI'!E78</f>
        <v>Nepodkletene eno in dvostanovanjske stavbe, srednji standard</v>
      </c>
      <c r="D55" s="498"/>
      <c r="E55" s="209"/>
      <c r="I55"/>
    </row>
    <row r="56" spans="1:12" s="77" customFormat="1" x14ac:dyDescent="0.2">
      <c r="A56" s="80"/>
      <c r="B56" s="202" t="s">
        <v>943</v>
      </c>
      <c r="C56" s="84">
        <f>'OSNOVNI PODATKI'!E79</f>
        <v>0</v>
      </c>
      <c r="D56" s="498"/>
      <c r="E56" s="209"/>
      <c r="F56" s="498"/>
      <c r="G56" s="498"/>
      <c r="H56" s="498"/>
      <c r="I56"/>
    </row>
    <row r="57" spans="1:12" s="77" customFormat="1" x14ac:dyDescent="0.2">
      <c r="A57" s="80"/>
      <c r="B57" s="202" t="s">
        <v>944</v>
      </c>
      <c r="C57" s="84">
        <f>IF($C$5=1,$C$6,C56)</f>
        <v>400</v>
      </c>
      <c r="D57" s="498"/>
      <c r="E57" s="209"/>
      <c r="I57"/>
    </row>
    <row r="58" spans="1:12" s="77" customFormat="1" x14ac:dyDescent="0.2">
      <c r="A58" s="80"/>
      <c r="B58" s="538" t="s">
        <v>878</v>
      </c>
      <c r="C58" s="537">
        <f>'OSNOVNI PODATKI'!E89</f>
        <v>230.59999999999991</v>
      </c>
      <c r="D58" s="498"/>
      <c r="E58" s="209"/>
      <c r="F58" s="538"/>
      <c r="G58" s="579"/>
      <c r="I58"/>
      <c r="J58" s="538"/>
      <c r="K58" s="579"/>
    </row>
    <row r="59" spans="1:12" s="77" customFormat="1" x14ac:dyDescent="0.2">
      <c r="A59" s="80"/>
      <c r="B59" s="538" t="s">
        <v>1033</v>
      </c>
      <c r="C59" s="1300">
        <f>C68*C57*(1000+C58)</f>
        <v>21926.33856</v>
      </c>
      <c r="D59" s="498"/>
      <c r="E59" s="209"/>
      <c r="F59" s="538" t="s">
        <v>1033</v>
      </c>
      <c r="G59" s="1300">
        <f>C69*C57*(1000+C58)</f>
        <v>72678.251519999976</v>
      </c>
      <c r="I59"/>
      <c r="J59" s="538" t="s">
        <v>1033</v>
      </c>
      <c r="K59" s="1300">
        <f>C70*C57*(1000+C58)</f>
        <v>0</v>
      </c>
    </row>
    <row r="60" spans="1:12" s="77" customFormat="1" x14ac:dyDescent="0.2">
      <c r="A60" s="80"/>
      <c r="B60" s="202" t="s">
        <v>116</v>
      </c>
      <c r="C60" s="84" t="str">
        <f>'OSNOVNI PODATKI'!E82</f>
        <v>Cenovni razred II</v>
      </c>
      <c r="D60" s="498"/>
      <c r="E60" s="209"/>
      <c r="F60" s="202" t="s">
        <v>116</v>
      </c>
      <c r="G60" s="84" t="str">
        <f>'OSNOVNI PODATKI'!E83</f>
        <v>Cenovni razred II</v>
      </c>
      <c r="I60"/>
      <c r="J60" s="202" t="s">
        <v>116</v>
      </c>
      <c r="K60" s="84" t="str">
        <f>'OSNOVNI PODATKI'!E84</f>
        <v>Cenovni razred II</v>
      </c>
    </row>
    <row r="61" spans="1:12" s="77" customFormat="1" x14ac:dyDescent="0.2">
      <c r="A61" s="80"/>
      <c r="B61" s="530" t="s">
        <v>84</v>
      </c>
      <c r="C61" s="531">
        <f>IFERROR((0.0331*POWER(C59,0.7868))/C57,"/")</f>
        <v>0.2153972440224059</v>
      </c>
      <c r="D61" s="532" t="s">
        <v>871</v>
      </c>
      <c r="E61" s="209"/>
      <c r="F61" s="530" t="s">
        <v>84</v>
      </c>
      <c r="G61" s="531">
        <f>IFERROR((0.0331*POWER(G59,0.7868))/C57,"/")</f>
        <v>0.55299479032310017</v>
      </c>
      <c r="H61" s="532" t="s">
        <v>871</v>
      </c>
      <c r="I61"/>
      <c r="J61" s="530" t="s">
        <v>84</v>
      </c>
      <c r="K61" s="531">
        <f>IFERROR((0.0331*POWER(K59,0.7868))/C57,"/")</f>
        <v>0</v>
      </c>
      <c r="L61" s="532" t="s">
        <v>871</v>
      </c>
    </row>
    <row r="62" spans="1:12" s="77" customFormat="1" x14ac:dyDescent="0.2">
      <c r="A62" s="80"/>
      <c r="B62" s="533" t="s">
        <v>85</v>
      </c>
      <c r="C62" s="534">
        <f>IFERROR((0.0392*POWER(C59,0.7872))/C57,"/")</f>
        <v>0.25611475657390165</v>
      </c>
      <c r="D62" s="497" t="s">
        <v>871</v>
      </c>
      <c r="E62" s="209"/>
      <c r="F62" s="533" t="s">
        <v>85</v>
      </c>
      <c r="G62" s="534">
        <f>IFERROR((0.0392*POWER(G59,0.7872))/C57,"/")</f>
        <v>0.65784514660560089</v>
      </c>
      <c r="H62" s="497" t="s">
        <v>871</v>
      </c>
      <c r="I62"/>
      <c r="J62" s="533" t="s">
        <v>85</v>
      </c>
      <c r="K62" s="534">
        <f>IFERROR((0.0392*POWER(K59,0.7872))/C57,"/")</f>
        <v>0</v>
      </c>
      <c r="L62" s="497" t="s">
        <v>871</v>
      </c>
    </row>
    <row r="63" spans="1:12" s="77" customFormat="1" x14ac:dyDescent="0.2">
      <c r="A63" s="80"/>
      <c r="B63" s="533" t="s">
        <v>86</v>
      </c>
      <c r="C63" s="534">
        <f>IFERROR((0.0458*POWER(C59,0.7877))/C57,"/")</f>
        <v>0.3007353608408298</v>
      </c>
      <c r="D63" s="497" t="s">
        <v>871</v>
      </c>
      <c r="E63" s="209"/>
      <c r="F63" s="533" t="s">
        <v>86</v>
      </c>
      <c r="G63" s="534">
        <f>IFERROR((0.0458*POWER(G59,0.7877))/C57,"/")</f>
        <v>0.7729186526724432</v>
      </c>
      <c r="H63" s="497" t="s">
        <v>871</v>
      </c>
      <c r="I63"/>
      <c r="J63" s="533" t="s">
        <v>86</v>
      </c>
      <c r="K63" s="534">
        <f>IFERROR((0.0458*POWER(K59,0.7877))/C57,"/")</f>
        <v>0</v>
      </c>
      <c r="L63" s="497" t="s">
        <v>871</v>
      </c>
    </row>
    <row r="64" spans="1:12" s="77" customFormat="1" x14ac:dyDescent="0.2">
      <c r="A64" s="80"/>
      <c r="B64" s="533" t="s">
        <v>87</v>
      </c>
      <c r="C64" s="534">
        <f>IFERROR((0.0528*POWER(C59,0.7867))/C57,"/")</f>
        <v>0.34325112903296739</v>
      </c>
      <c r="D64" s="497" t="s">
        <v>871</v>
      </c>
      <c r="E64" s="209"/>
      <c r="F64" s="533" t="s">
        <v>87</v>
      </c>
      <c r="G64" s="534">
        <f>IFERROR((0.0528*POWER(G59,0.7867))/C57,"/")</f>
        <v>0.88113170469307733</v>
      </c>
      <c r="H64" s="497" t="s">
        <v>871</v>
      </c>
      <c r="I64"/>
      <c r="J64" s="533" t="s">
        <v>87</v>
      </c>
      <c r="K64" s="534">
        <f>IFERROR((0.0528*POWER(K59,0.7867))/C57,"/")</f>
        <v>0</v>
      </c>
      <c r="L64" s="497" t="s">
        <v>871</v>
      </c>
    </row>
    <row r="65" spans="1:12" s="77" customFormat="1" x14ac:dyDescent="0.2">
      <c r="A65" s="80"/>
      <c r="B65" s="533"/>
      <c r="C65" s="534"/>
      <c r="D65" s="497"/>
      <c r="E65" s="209"/>
      <c r="F65" s="533"/>
      <c r="G65" s="534"/>
      <c r="H65" s="497"/>
      <c r="I65"/>
      <c r="J65" s="533"/>
      <c r="K65" s="534"/>
      <c r="L65" s="497"/>
    </row>
    <row r="66" spans="1:12" s="77" customFormat="1" x14ac:dyDescent="0.2">
      <c r="A66" s="80"/>
      <c r="B66" s="533"/>
      <c r="C66" s="534"/>
      <c r="D66" s="497"/>
      <c r="E66" s="209"/>
      <c r="F66" s="533"/>
      <c r="G66" s="534"/>
      <c r="H66" s="497"/>
      <c r="I66"/>
      <c r="J66" s="533"/>
      <c r="K66" s="534"/>
      <c r="L66" s="497"/>
    </row>
    <row r="67" spans="1:12" s="77" customFormat="1" x14ac:dyDescent="0.2">
      <c r="A67" s="80"/>
      <c r="B67" s="533" t="str">
        <f>'OSNOVNI PODATKI'!B100</f>
        <v>GRADBENO OBRTNIŠKA DELA (GO)</v>
      </c>
      <c r="C67" s="636">
        <f>'OSNOVNI PODATKI'!D100</f>
        <v>0.80800000000000005</v>
      </c>
      <c r="D67" s="635"/>
      <c r="E67" s="639"/>
      <c r="F67" s="209"/>
      <c r="J67" s="638"/>
      <c r="L67" s="633"/>
    </row>
    <row r="68" spans="1:12" s="77" customFormat="1" x14ac:dyDescent="0.2">
      <c r="A68" s="80"/>
      <c r="B68" s="533" t="str">
        <f>'OSNOVNI PODATKI'!B101</f>
        <v>ELEKTRIČNE INŠTALACIJE (EI)</v>
      </c>
      <c r="C68" s="636">
        <f>'OSNOVNI PODATKI'!D101</f>
        <v>4.4544000000000007E-2</v>
      </c>
      <c r="D68" s="635"/>
      <c r="E68" s="639"/>
      <c r="F68" s="209"/>
      <c r="J68" s="639"/>
      <c r="K68" s="639"/>
      <c r="L68" s="633"/>
    </row>
    <row r="69" spans="1:12" s="77" customFormat="1" x14ac:dyDescent="0.2">
      <c r="A69" s="80"/>
      <c r="B69" s="533" t="str">
        <f>'OSNOVNI PODATKI'!B102</f>
        <v>STROJNE INŠTALACIJE (SI)</v>
      </c>
      <c r="C69" s="636">
        <f>'OSNOVNI PODATKI'!D102</f>
        <v>0.14764799999999997</v>
      </c>
      <c r="D69" s="635"/>
      <c r="E69" s="639"/>
      <c r="F69" s="209"/>
      <c r="J69" s="638"/>
      <c r="K69" s="632"/>
      <c r="L69" s="633"/>
    </row>
    <row r="70" spans="1:12" s="77" customFormat="1" x14ac:dyDescent="0.2">
      <c r="A70" s="80"/>
      <c r="B70" s="533" t="str">
        <f>'OSNOVNI PODATKI'!B103</f>
        <v>TEHNOLOGIJA (TH)</v>
      </c>
      <c r="C70" s="636">
        <f>'OSNOVNI PODATKI'!D103</f>
        <v>0</v>
      </c>
      <c r="D70" s="635"/>
      <c r="E70" s="639"/>
      <c r="F70" s="209"/>
      <c r="J70" s="533"/>
      <c r="K70" s="632"/>
      <c r="L70" s="633"/>
    </row>
    <row r="71" spans="1:12" s="77" customFormat="1" x14ac:dyDescent="0.2">
      <c r="A71" s="80"/>
      <c r="B71" s="533"/>
      <c r="C71" s="534"/>
      <c r="D71" s="497"/>
      <c r="E71" s="209"/>
      <c r="F71" s="533"/>
      <c r="G71" s="534"/>
      <c r="H71" s="497"/>
      <c r="I71"/>
      <c r="J71" s="533"/>
      <c r="K71" s="534"/>
      <c r="L71" s="497"/>
    </row>
    <row r="72" spans="1:12" s="77" customFormat="1" ht="14.25" x14ac:dyDescent="0.2">
      <c r="B72" s="84" t="s">
        <v>879</v>
      </c>
      <c r="C72" s="515">
        <f>IFERROR(LOOKUP(C60,B61:C64),"/")</f>
        <v>0.25611475657390165</v>
      </c>
      <c r="D72" s="384" t="s">
        <v>870</v>
      </c>
      <c r="E72" s="209"/>
      <c r="F72" s="84" t="s">
        <v>879</v>
      </c>
      <c r="G72" s="515">
        <f>IFERROR(LOOKUP(G60,F61:G64),"/")</f>
        <v>0.65784514660560089</v>
      </c>
      <c r="H72" s="384" t="s">
        <v>870</v>
      </c>
      <c r="I72"/>
      <c r="J72" s="84" t="s">
        <v>879</v>
      </c>
      <c r="K72" s="515">
        <f>IFERROR(LOOKUP(K60,J61:K64),"/")</f>
        <v>0</v>
      </c>
      <c r="L72" s="384" t="s">
        <v>870</v>
      </c>
    </row>
    <row r="73" spans="1:12" s="77" customFormat="1" ht="14.25" x14ac:dyDescent="0.2">
      <c r="B73" s="84" t="s">
        <v>880</v>
      </c>
      <c r="C73" s="515" cm="1">
        <f t="array" ref="C73">IFERROR(INDEX(C61:C64,MATCH(C60,B61:B64)+1),"/")</f>
        <v>0.3007353608408298</v>
      </c>
      <c r="D73" s="384" t="s">
        <v>870</v>
      </c>
      <c r="E73" s="209"/>
      <c r="F73" s="84" t="s">
        <v>880</v>
      </c>
      <c r="G73" s="515" cm="1">
        <f t="array" ref="G73">IFERROR(INDEX(G61:G64,MATCH(G60,F61:F64)+1),"/")</f>
        <v>0.7729186526724432</v>
      </c>
      <c r="H73" s="384" t="s">
        <v>870</v>
      </c>
      <c r="I73"/>
      <c r="J73" s="84" t="s">
        <v>880</v>
      </c>
      <c r="K73" s="515" cm="1">
        <f t="array" ref="K73">IFERROR(INDEX(K61:K64,MATCH(K60,J61:J64)+1),"/")</f>
        <v>0</v>
      </c>
      <c r="L73" s="384" t="s">
        <v>870</v>
      </c>
    </row>
    <row r="74" spans="1:12" s="77" customFormat="1" x14ac:dyDescent="0.2">
      <c r="B74" s="84" t="s">
        <v>732</v>
      </c>
      <c r="C74" s="539">
        <f>IFERROR(ROUND(C72*$C56,0),0)</f>
        <v>0</v>
      </c>
      <c r="D74" s="384" t="s">
        <v>872</v>
      </c>
      <c r="E74" s="209"/>
      <c r="F74" s="84" t="s">
        <v>732</v>
      </c>
      <c r="G74" s="539">
        <f>IFERROR(ROUND(G72*$C56,0),0)</f>
        <v>0</v>
      </c>
      <c r="H74" s="384" t="s">
        <v>872</v>
      </c>
      <c r="I74"/>
      <c r="J74" s="84" t="s">
        <v>732</v>
      </c>
      <c r="K74" s="539">
        <f>IFERROR(ROUND(K72*$C56,0),0)</f>
        <v>0</v>
      </c>
      <c r="L74" s="384" t="s">
        <v>872</v>
      </c>
    </row>
    <row r="75" spans="1:12" s="77" customFormat="1" x14ac:dyDescent="0.2">
      <c r="B75" s="84" t="s">
        <v>733</v>
      </c>
      <c r="C75" s="539">
        <f>IFERROR(ROUND(C73*$C56,0),0)</f>
        <v>0</v>
      </c>
      <c r="D75" s="384" t="s">
        <v>872</v>
      </c>
      <c r="E75" s="209"/>
      <c r="F75" s="84" t="s">
        <v>733</v>
      </c>
      <c r="G75" s="539">
        <f>IFERROR(ROUND(G73*$C56,0),0)</f>
        <v>0</v>
      </c>
      <c r="H75" s="384" t="s">
        <v>872</v>
      </c>
      <c r="I75"/>
      <c r="J75" s="84" t="s">
        <v>733</v>
      </c>
      <c r="K75" s="539">
        <f>IFERROR(ROUND(K73*$C56,0),0)</f>
        <v>0</v>
      </c>
      <c r="L75" s="384" t="s">
        <v>872</v>
      </c>
    </row>
    <row r="76" spans="1:12" s="77" customFormat="1" x14ac:dyDescent="0.2">
      <c r="A76" s="80"/>
      <c r="C76" s="209"/>
      <c r="D76" s="209"/>
      <c r="E76" s="209"/>
      <c r="I76"/>
    </row>
    <row r="77" spans="1:12" s="77" customFormat="1" x14ac:dyDescent="0.2">
      <c r="A77" s="80"/>
      <c r="B77" s="209" t="str">
        <f>'OSNOVNI PODATKI'!A108</f>
        <v>STAVBA 4 / DEL 4</v>
      </c>
      <c r="C77" s="541">
        <f>'OSNOVNI PODATKI'!E108</f>
        <v>0</v>
      </c>
      <c r="D77" s="209"/>
      <c r="E77" s="209"/>
      <c r="I77"/>
    </row>
    <row r="78" spans="1:12" s="77" customFormat="1" x14ac:dyDescent="0.2">
      <c r="A78" s="80"/>
      <c r="B78" s="202" t="s">
        <v>718</v>
      </c>
      <c r="C78" s="84" t="str">
        <f>'OSNOVNI PODATKI'!E109</f>
        <v>Nepodkletene eno in dvostanovanjske stavbe, srednji standard</v>
      </c>
      <c r="D78" s="498"/>
      <c r="E78" s="209"/>
      <c r="I78"/>
    </row>
    <row r="79" spans="1:12" s="77" customFormat="1" x14ac:dyDescent="0.2">
      <c r="A79" s="80"/>
      <c r="B79" s="202" t="s">
        <v>943</v>
      </c>
      <c r="C79" s="84">
        <f>'OSNOVNI PODATKI'!E110</f>
        <v>0</v>
      </c>
      <c r="D79" s="498"/>
      <c r="E79" s="209"/>
      <c r="F79" s="498"/>
      <c r="G79" s="498"/>
      <c r="H79" s="498"/>
      <c r="I79"/>
    </row>
    <row r="80" spans="1:12" s="77" customFormat="1" x14ac:dyDescent="0.2">
      <c r="A80" s="80"/>
      <c r="B80" s="202" t="s">
        <v>944</v>
      </c>
      <c r="C80" s="84">
        <f>IF($C$5=1,$C$6,C79)</f>
        <v>400</v>
      </c>
      <c r="D80" s="498"/>
      <c r="E80" s="209"/>
      <c r="I80"/>
    </row>
    <row r="81" spans="1:12" s="77" customFormat="1" x14ac:dyDescent="0.2">
      <c r="A81" s="80"/>
      <c r="B81" s="538" t="s">
        <v>878</v>
      </c>
      <c r="C81" s="537">
        <f>'OSNOVNI PODATKI'!E120</f>
        <v>230.59999999999991</v>
      </c>
      <c r="D81" s="498"/>
      <c r="E81" s="209"/>
      <c r="F81" s="538"/>
      <c r="G81" s="579"/>
      <c r="I81"/>
      <c r="J81" s="538"/>
      <c r="K81" s="579"/>
    </row>
    <row r="82" spans="1:12" s="77" customFormat="1" x14ac:dyDescent="0.2">
      <c r="A82" s="80"/>
      <c r="B82" s="538" t="s">
        <v>1033</v>
      </c>
      <c r="C82" s="1300">
        <f>C91*C80*(1000+C81)</f>
        <v>21926.33856</v>
      </c>
      <c r="D82" s="498"/>
      <c r="E82" s="209"/>
      <c r="F82" s="538" t="s">
        <v>1033</v>
      </c>
      <c r="G82" s="1300">
        <f>C92*C80*(1000+C81)</f>
        <v>72678.251519999976</v>
      </c>
      <c r="I82"/>
      <c r="J82" s="538" t="s">
        <v>1033</v>
      </c>
      <c r="K82" s="1300">
        <f>C93*C80*(1000+C81)</f>
        <v>0</v>
      </c>
    </row>
    <row r="83" spans="1:12" s="77" customFormat="1" x14ac:dyDescent="0.2">
      <c r="A83" s="80"/>
      <c r="B83" s="202" t="s">
        <v>116</v>
      </c>
      <c r="C83" s="84" t="str">
        <f>'OSNOVNI PODATKI'!E113</f>
        <v>Cenovni razred II</v>
      </c>
      <c r="D83" s="498"/>
      <c r="E83" s="209"/>
      <c r="F83" s="202" t="s">
        <v>116</v>
      </c>
      <c r="G83" s="84" t="str">
        <f>'OSNOVNI PODATKI'!E114</f>
        <v>Cenovni razred II</v>
      </c>
      <c r="I83"/>
      <c r="J83" s="202" t="s">
        <v>116</v>
      </c>
      <c r="K83" s="84" t="str">
        <f>'OSNOVNI PODATKI'!E115</f>
        <v>Cenovni razred II</v>
      </c>
    </row>
    <row r="84" spans="1:12" s="77" customFormat="1" x14ac:dyDescent="0.2">
      <c r="A84" s="80"/>
      <c r="B84" s="530" t="s">
        <v>84</v>
      </c>
      <c r="C84" s="531">
        <f>IFERROR((0.0331*POWER(C82,0.7868))/C80,"/")</f>
        <v>0.2153972440224059</v>
      </c>
      <c r="D84" s="532" t="s">
        <v>871</v>
      </c>
      <c r="E84" s="209"/>
      <c r="F84" s="530" t="s">
        <v>84</v>
      </c>
      <c r="G84" s="531">
        <f>IFERROR((0.0331*POWER(G82,0.7868))/C80,"/")</f>
        <v>0.55299479032310017</v>
      </c>
      <c r="H84" s="532" t="s">
        <v>871</v>
      </c>
      <c r="I84"/>
      <c r="J84" s="530" t="s">
        <v>84</v>
      </c>
      <c r="K84" s="531">
        <f>IFERROR((0.0331*POWER(K82,0.7868))/C80,"/")</f>
        <v>0</v>
      </c>
      <c r="L84" s="532" t="s">
        <v>871</v>
      </c>
    </row>
    <row r="85" spans="1:12" s="77" customFormat="1" x14ac:dyDescent="0.2">
      <c r="A85" s="80"/>
      <c r="B85" s="533" t="s">
        <v>85</v>
      </c>
      <c r="C85" s="534">
        <f>IFERROR((0.0392*POWER(C82,0.7872))/C80,"/")</f>
        <v>0.25611475657390165</v>
      </c>
      <c r="D85" s="497" t="s">
        <v>871</v>
      </c>
      <c r="E85" s="209"/>
      <c r="F85" s="533" t="s">
        <v>85</v>
      </c>
      <c r="G85" s="534">
        <f>IFERROR((0.0392*POWER(G82,0.7872))/C80,"/")</f>
        <v>0.65784514660560089</v>
      </c>
      <c r="H85" s="497" t="s">
        <v>871</v>
      </c>
      <c r="I85"/>
      <c r="J85" s="533" t="s">
        <v>85</v>
      </c>
      <c r="K85" s="534">
        <f>IFERROR((0.0392*POWER(K82,0.7872))/C80,"/")</f>
        <v>0</v>
      </c>
      <c r="L85" s="497" t="s">
        <v>871</v>
      </c>
    </row>
    <row r="86" spans="1:12" s="77" customFormat="1" x14ac:dyDescent="0.2">
      <c r="A86" s="80"/>
      <c r="B86" s="533" t="s">
        <v>86</v>
      </c>
      <c r="C86" s="534">
        <f>IFERROR((0.0458*POWER(C82,0.7877))/C80,"/")</f>
        <v>0.3007353608408298</v>
      </c>
      <c r="D86" s="497" t="s">
        <v>871</v>
      </c>
      <c r="E86" s="209"/>
      <c r="F86" s="533" t="s">
        <v>86</v>
      </c>
      <c r="G86" s="534">
        <f>IFERROR((0.0458*POWER(G82,0.7877))/C80,"/")</f>
        <v>0.7729186526724432</v>
      </c>
      <c r="H86" s="497" t="s">
        <v>871</v>
      </c>
      <c r="I86"/>
      <c r="J86" s="533" t="s">
        <v>86</v>
      </c>
      <c r="K86" s="534">
        <f>IFERROR((0.0458*POWER(K82,0.7877))/C80,"/")</f>
        <v>0</v>
      </c>
      <c r="L86" s="497" t="s">
        <v>871</v>
      </c>
    </row>
    <row r="87" spans="1:12" s="77" customFormat="1" x14ac:dyDescent="0.2">
      <c r="A87" s="80"/>
      <c r="B87" s="533" t="s">
        <v>87</v>
      </c>
      <c r="C87" s="534">
        <f>IFERROR((0.0528*POWER(C82,0.7867))/C80,"/")</f>
        <v>0.34325112903296739</v>
      </c>
      <c r="D87" s="497" t="s">
        <v>871</v>
      </c>
      <c r="E87" s="209"/>
      <c r="F87" s="533" t="s">
        <v>87</v>
      </c>
      <c r="G87" s="534">
        <f>IFERROR((0.0528*POWER(G82,0.7867))/C80,"/")</f>
        <v>0.88113170469307733</v>
      </c>
      <c r="H87" s="497" t="s">
        <v>871</v>
      </c>
      <c r="I87"/>
      <c r="J87" s="533" t="s">
        <v>87</v>
      </c>
      <c r="K87" s="534">
        <f>IFERROR((0.0528*POWER(K82,0.7867))/C80,"/")</f>
        <v>0</v>
      </c>
      <c r="L87" s="497" t="s">
        <v>871</v>
      </c>
    </row>
    <row r="88" spans="1:12" s="77" customFormat="1" x14ac:dyDescent="0.2">
      <c r="A88" s="80"/>
      <c r="B88" s="533"/>
      <c r="C88" s="534"/>
      <c r="D88" s="497"/>
      <c r="E88" s="209"/>
      <c r="F88" s="533"/>
      <c r="G88" s="534"/>
      <c r="H88" s="497"/>
      <c r="I88"/>
      <c r="J88" s="533"/>
      <c r="K88" s="534"/>
      <c r="L88" s="497"/>
    </row>
    <row r="89" spans="1:12" s="77" customFormat="1" x14ac:dyDescent="0.2">
      <c r="A89" s="80"/>
      <c r="B89" s="533"/>
      <c r="C89" s="534"/>
      <c r="D89" s="497"/>
      <c r="E89" s="209"/>
      <c r="F89" s="533"/>
      <c r="G89" s="534"/>
      <c r="H89" s="497"/>
      <c r="I89"/>
      <c r="J89" s="533"/>
      <c r="K89" s="534"/>
      <c r="L89" s="497"/>
    </row>
    <row r="90" spans="1:12" s="77" customFormat="1" x14ac:dyDescent="0.2">
      <c r="A90" s="80"/>
      <c r="B90" s="533" t="str">
        <f>'OSNOVNI PODATKI'!B131</f>
        <v>GRADBENO OBRTNIŠKA DELA (GO)</v>
      </c>
      <c r="C90" s="636">
        <f>'OSNOVNI PODATKI'!D131</f>
        <v>0.80800000000000005</v>
      </c>
      <c r="D90" s="635"/>
      <c r="E90" s="639"/>
      <c r="F90" s="209"/>
      <c r="J90" s="638"/>
      <c r="L90" s="633"/>
    </row>
    <row r="91" spans="1:12" s="77" customFormat="1" x14ac:dyDescent="0.2">
      <c r="A91" s="80"/>
      <c r="B91" s="533" t="str">
        <f>'OSNOVNI PODATKI'!B132</f>
        <v>ELEKTRIČNE INŠTALACIJE (EI)</v>
      </c>
      <c r="C91" s="636">
        <f>'OSNOVNI PODATKI'!D132</f>
        <v>4.4544000000000007E-2</v>
      </c>
      <c r="D91" s="635"/>
      <c r="E91" s="639"/>
      <c r="F91" s="209"/>
      <c r="J91" s="639"/>
      <c r="K91" s="639"/>
      <c r="L91" s="633"/>
    </row>
    <row r="92" spans="1:12" s="77" customFormat="1" x14ac:dyDescent="0.2">
      <c r="A92" s="80"/>
      <c r="B92" s="533" t="str">
        <f>'OSNOVNI PODATKI'!B133</f>
        <v>STROJNE INŠTALACIJE (SI)</v>
      </c>
      <c r="C92" s="636">
        <f>'OSNOVNI PODATKI'!D133</f>
        <v>0.14764799999999997</v>
      </c>
      <c r="D92" s="635"/>
      <c r="E92" s="639"/>
      <c r="F92" s="209"/>
      <c r="J92" s="638"/>
      <c r="K92" s="632"/>
      <c r="L92" s="633"/>
    </row>
    <row r="93" spans="1:12" s="77" customFormat="1" x14ac:dyDescent="0.2">
      <c r="A93" s="80"/>
      <c r="B93" s="533" t="str">
        <f>'OSNOVNI PODATKI'!B134</f>
        <v>TEHNOLOGIJA (TH)</v>
      </c>
      <c r="C93" s="636">
        <f>'OSNOVNI PODATKI'!D134</f>
        <v>0</v>
      </c>
      <c r="D93" s="635"/>
      <c r="E93" s="639"/>
      <c r="F93" s="209"/>
      <c r="J93" s="533"/>
      <c r="K93" s="632"/>
      <c r="L93" s="633"/>
    </row>
    <row r="94" spans="1:12" s="77" customFormat="1" x14ac:dyDescent="0.2">
      <c r="A94" s="80"/>
      <c r="B94" s="533"/>
      <c r="C94" s="534"/>
      <c r="D94" s="497"/>
      <c r="E94" s="209"/>
      <c r="F94" s="533"/>
      <c r="G94" s="534"/>
      <c r="H94" s="497"/>
      <c r="I94"/>
      <c r="J94" s="533"/>
      <c r="K94" s="534"/>
      <c r="L94" s="497"/>
    </row>
    <row r="95" spans="1:12" s="77" customFormat="1" ht="14.25" x14ac:dyDescent="0.2">
      <c r="B95" s="84" t="s">
        <v>879</v>
      </c>
      <c r="C95" s="515">
        <f>IFERROR(LOOKUP(C83,B84:C87),"/")</f>
        <v>0.25611475657390165</v>
      </c>
      <c r="D95" s="384" t="s">
        <v>870</v>
      </c>
      <c r="E95" s="209"/>
      <c r="F95" s="84" t="s">
        <v>879</v>
      </c>
      <c r="G95" s="515">
        <f>IFERROR(LOOKUP(G83,F84:G87),"/")</f>
        <v>0.65784514660560089</v>
      </c>
      <c r="H95" s="384" t="s">
        <v>870</v>
      </c>
      <c r="I95"/>
      <c r="J95" s="84" t="s">
        <v>879</v>
      </c>
      <c r="K95" s="515">
        <f>IFERROR(LOOKUP(K83,J84:K87),"/")</f>
        <v>0</v>
      </c>
      <c r="L95" s="384" t="s">
        <v>870</v>
      </c>
    </row>
    <row r="96" spans="1:12" s="77" customFormat="1" ht="14.25" x14ac:dyDescent="0.2">
      <c r="B96" s="84" t="s">
        <v>880</v>
      </c>
      <c r="C96" s="515" cm="1">
        <f t="array" ref="C96">IFERROR(INDEX(C84:C87,MATCH(C83,B84:B87)+1),"/")</f>
        <v>0.3007353608408298</v>
      </c>
      <c r="D96" s="384" t="s">
        <v>870</v>
      </c>
      <c r="E96" s="209"/>
      <c r="F96" s="84" t="s">
        <v>880</v>
      </c>
      <c r="G96" s="515" cm="1">
        <f t="array" ref="G96">IFERROR(INDEX(G84:G87,MATCH(G83,F84:F87)+1),"/")</f>
        <v>0.7729186526724432</v>
      </c>
      <c r="H96" s="384" t="s">
        <v>870</v>
      </c>
      <c r="I96"/>
      <c r="J96" s="84" t="s">
        <v>880</v>
      </c>
      <c r="K96" s="515" cm="1">
        <f t="array" ref="K96">IFERROR(INDEX(K84:K87,MATCH(K83,J84:J87)+1),"/")</f>
        <v>0</v>
      </c>
      <c r="L96" s="384" t="s">
        <v>870</v>
      </c>
    </row>
    <row r="97" spans="1:12" s="77" customFormat="1" x14ac:dyDescent="0.2">
      <c r="B97" s="84" t="s">
        <v>732</v>
      </c>
      <c r="C97" s="539">
        <f>IFERROR(ROUND(C95*$C79,0),0)</f>
        <v>0</v>
      </c>
      <c r="D97" s="384" t="s">
        <v>872</v>
      </c>
      <c r="E97" s="209"/>
      <c r="F97" s="84" t="s">
        <v>732</v>
      </c>
      <c r="G97" s="539">
        <f>IFERROR(ROUND(G95*$C79,0),0)</f>
        <v>0</v>
      </c>
      <c r="H97" s="384" t="s">
        <v>872</v>
      </c>
      <c r="I97"/>
      <c r="J97" s="84" t="s">
        <v>732</v>
      </c>
      <c r="K97" s="539">
        <f>IFERROR(ROUND(K95*$C79,0),0)</f>
        <v>0</v>
      </c>
      <c r="L97" s="384" t="s">
        <v>872</v>
      </c>
    </row>
    <row r="98" spans="1:12" s="77" customFormat="1" x14ac:dyDescent="0.2">
      <c r="B98" s="84" t="s">
        <v>733</v>
      </c>
      <c r="C98" s="539">
        <f>IFERROR(ROUND(C96*$C79,0),0)</f>
        <v>0</v>
      </c>
      <c r="D98" s="384" t="s">
        <v>872</v>
      </c>
      <c r="E98" s="209"/>
      <c r="F98" s="84" t="s">
        <v>733</v>
      </c>
      <c r="G98" s="539">
        <f>IFERROR(ROUND(G96*$C79,0),0)</f>
        <v>0</v>
      </c>
      <c r="H98" s="384" t="s">
        <v>872</v>
      </c>
      <c r="I98"/>
      <c r="J98" s="84" t="s">
        <v>733</v>
      </c>
      <c r="K98" s="539">
        <f>IFERROR(ROUND(K96*$C79,0),0)</f>
        <v>0</v>
      </c>
      <c r="L98" s="384" t="s">
        <v>872</v>
      </c>
    </row>
    <row r="99" spans="1:12" s="77" customFormat="1" x14ac:dyDescent="0.2">
      <c r="A99" s="80"/>
      <c r="C99" s="209"/>
      <c r="D99" s="209"/>
      <c r="E99" s="209"/>
      <c r="I99"/>
    </row>
    <row r="100" spans="1:12" s="77" customFormat="1" x14ac:dyDescent="0.2">
      <c r="A100" s="80"/>
      <c r="B100" s="209" t="str">
        <f>'OSNOVNI PODATKI'!A139</f>
        <v>STAVBA 5 / DEL 5</v>
      </c>
      <c r="C100" s="541">
        <f>'OSNOVNI PODATKI'!E139</f>
        <v>0</v>
      </c>
      <c r="D100" s="209"/>
      <c r="E100" s="209"/>
      <c r="I100"/>
    </row>
    <row r="101" spans="1:12" s="77" customFormat="1" x14ac:dyDescent="0.2">
      <c r="A101" s="80"/>
      <c r="B101" s="202" t="s">
        <v>718</v>
      </c>
      <c r="C101" s="84" t="str">
        <f>'OSNOVNI PODATKI'!E140</f>
        <v>Nepodkletene eno in dvostanovanjske stavbe, srednji standard</v>
      </c>
      <c r="D101" s="498"/>
      <c r="E101" s="209"/>
      <c r="I101"/>
    </row>
    <row r="102" spans="1:12" s="77" customFormat="1" x14ac:dyDescent="0.2">
      <c r="A102" s="80"/>
      <c r="B102" s="202" t="s">
        <v>943</v>
      </c>
      <c r="C102" s="84">
        <f>'OSNOVNI PODATKI'!E141</f>
        <v>0</v>
      </c>
      <c r="D102" s="498"/>
      <c r="E102" s="209"/>
      <c r="F102" s="498"/>
      <c r="G102" s="498"/>
      <c r="H102" s="498"/>
      <c r="I102"/>
    </row>
    <row r="103" spans="1:12" s="77" customFormat="1" x14ac:dyDescent="0.2">
      <c r="A103" s="80"/>
      <c r="B103" s="202" t="s">
        <v>944</v>
      </c>
      <c r="C103" s="84">
        <f>IF($C$5=1,$C$6,C102)</f>
        <v>400</v>
      </c>
      <c r="D103" s="498"/>
      <c r="E103" s="209"/>
      <c r="I103"/>
    </row>
    <row r="104" spans="1:12" s="77" customFormat="1" x14ac:dyDescent="0.2">
      <c r="A104" s="80"/>
      <c r="B104" s="538" t="s">
        <v>878</v>
      </c>
      <c r="C104" s="537">
        <f>'OSNOVNI PODATKI'!E151</f>
        <v>230.59999999999991</v>
      </c>
      <c r="D104" s="498"/>
      <c r="E104" s="209"/>
      <c r="F104" s="538"/>
      <c r="G104" s="579"/>
      <c r="I104"/>
      <c r="J104" s="538"/>
      <c r="K104" s="579"/>
    </row>
    <row r="105" spans="1:12" s="77" customFormat="1" x14ac:dyDescent="0.2">
      <c r="A105" s="80"/>
      <c r="B105" s="538" t="s">
        <v>1033</v>
      </c>
      <c r="C105" s="1300">
        <f>C114*C103*(1000+C104)</f>
        <v>21926.33856</v>
      </c>
      <c r="D105" s="498"/>
      <c r="E105" s="209"/>
      <c r="F105" s="538" t="s">
        <v>1033</v>
      </c>
      <c r="G105" s="1300">
        <f>C115*C103*(1000+C104)</f>
        <v>72678.251519999976</v>
      </c>
      <c r="I105"/>
      <c r="J105" s="538" t="s">
        <v>1033</v>
      </c>
      <c r="K105" s="1300">
        <f>C116*C103*(1000+C104)</f>
        <v>0</v>
      </c>
    </row>
    <row r="106" spans="1:12" s="77" customFormat="1" x14ac:dyDescent="0.2">
      <c r="A106" s="80"/>
      <c r="B106" s="202" t="s">
        <v>116</v>
      </c>
      <c r="C106" s="84" t="str">
        <f>'OSNOVNI PODATKI'!E144</f>
        <v>Cenovni razred II</v>
      </c>
      <c r="D106" s="498"/>
      <c r="E106" s="209"/>
      <c r="F106" s="202" t="s">
        <v>116</v>
      </c>
      <c r="G106" s="84" t="str">
        <f>'OSNOVNI PODATKI'!E145</f>
        <v>Cenovni razred II</v>
      </c>
      <c r="I106"/>
      <c r="J106" s="202" t="s">
        <v>116</v>
      </c>
      <c r="K106" s="84" t="str">
        <f>'OSNOVNI PODATKI'!E146</f>
        <v>Cenovni razred II</v>
      </c>
    </row>
    <row r="107" spans="1:12" s="77" customFormat="1" x14ac:dyDescent="0.2">
      <c r="A107" s="80"/>
      <c r="B107" s="530" t="s">
        <v>84</v>
      </c>
      <c r="C107" s="531">
        <f>IFERROR((0.0331*POWER(C105,0.7868))/C103,"/")</f>
        <v>0.2153972440224059</v>
      </c>
      <c r="D107" s="532" t="s">
        <v>871</v>
      </c>
      <c r="E107" s="209"/>
      <c r="F107" s="530" t="s">
        <v>84</v>
      </c>
      <c r="G107" s="531">
        <f>IFERROR((0.0331*POWER(G105,0.7868))/C103,"/")</f>
        <v>0.55299479032310017</v>
      </c>
      <c r="H107" s="532" t="s">
        <v>871</v>
      </c>
      <c r="I107"/>
      <c r="J107" s="530" t="s">
        <v>84</v>
      </c>
      <c r="K107" s="531">
        <f>IFERROR((0.0331*POWER(K105,0.7868))/C103,"/")</f>
        <v>0</v>
      </c>
      <c r="L107" s="532" t="s">
        <v>871</v>
      </c>
    </row>
    <row r="108" spans="1:12" s="77" customFormat="1" x14ac:dyDescent="0.2">
      <c r="A108" s="80"/>
      <c r="B108" s="533" t="s">
        <v>85</v>
      </c>
      <c r="C108" s="534">
        <f>IFERROR((0.0392*POWER(C105,0.7872))/C103,"/")</f>
        <v>0.25611475657390165</v>
      </c>
      <c r="D108" s="497" t="s">
        <v>871</v>
      </c>
      <c r="E108" s="209"/>
      <c r="F108" s="533" t="s">
        <v>85</v>
      </c>
      <c r="G108" s="534">
        <f>IFERROR((0.0392*POWER(G105,0.7872))/C103,"/")</f>
        <v>0.65784514660560089</v>
      </c>
      <c r="H108" s="497" t="s">
        <v>871</v>
      </c>
      <c r="I108"/>
      <c r="J108" s="533" t="s">
        <v>85</v>
      </c>
      <c r="K108" s="534">
        <f>IFERROR((0.0392*POWER(K105,0.7872))/C103,"/")</f>
        <v>0</v>
      </c>
      <c r="L108" s="497" t="s">
        <v>871</v>
      </c>
    </row>
    <row r="109" spans="1:12" s="77" customFormat="1" x14ac:dyDescent="0.2">
      <c r="A109" s="80"/>
      <c r="B109" s="533" t="s">
        <v>86</v>
      </c>
      <c r="C109" s="534">
        <f>IFERROR((0.0458*POWER(C105,0.7877))/C103,"/")</f>
        <v>0.3007353608408298</v>
      </c>
      <c r="D109" s="497" t="s">
        <v>871</v>
      </c>
      <c r="E109" s="209"/>
      <c r="F109" s="533" t="s">
        <v>86</v>
      </c>
      <c r="G109" s="534">
        <f>IFERROR((0.0458*POWER(G105,0.7877))/C103,"/")</f>
        <v>0.7729186526724432</v>
      </c>
      <c r="H109" s="497" t="s">
        <v>871</v>
      </c>
      <c r="I109"/>
      <c r="J109" s="533" t="s">
        <v>86</v>
      </c>
      <c r="K109" s="534">
        <f>IFERROR((0.0458*POWER(K105,0.7877))/C103,"/")</f>
        <v>0</v>
      </c>
      <c r="L109" s="497" t="s">
        <v>871</v>
      </c>
    </row>
    <row r="110" spans="1:12" s="77" customFormat="1" x14ac:dyDescent="0.2">
      <c r="A110" s="80"/>
      <c r="B110" s="533" t="s">
        <v>87</v>
      </c>
      <c r="C110" s="534">
        <f>IFERROR((0.0528*POWER(C105,0.7867))/C103,"/")</f>
        <v>0.34325112903296739</v>
      </c>
      <c r="D110" s="497" t="s">
        <v>871</v>
      </c>
      <c r="E110" s="209"/>
      <c r="F110" s="533" t="s">
        <v>87</v>
      </c>
      <c r="G110" s="534">
        <f>IFERROR((0.0528*POWER(G105,0.7867))/C103,"/")</f>
        <v>0.88113170469307733</v>
      </c>
      <c r="H110" s="497" t="s">
        <v>871</v>
      </c>
      <c r="I110"/>
      <c r="J110" s="533" t="s">
        <v>87</v>
      </c>
      <c r="K110" s="534">
        <f>IFERROR((0.0528*POWER(K105,0.7867))/C103,"/")</f>
        <v>0</v>
      </c>
      <c r="L110" s="497" t="s">
        <v>871</v>
      </c>
    </row>
    <row r="111" spans="1:12" s="77" customFormat="1" x14ac:dyDescent="0.2">
      <c r="A111" s="80"/>
      <c r="B111" s="533"/>
      <c r="C111" s="534"/>
      <c r="D111" s="497"/>
      <c r="E111" s="209"/>
      <c r="F111" s="533"/>
      <c r="G111" s="534"/>
      <c r="H111" s="497"/>
      <c r="I111"/>
      <c r="J111" s="533"/>
      <c r="K111" s="534"/>
      <c r="L111" s="497"/>
    </row>
    <row r="112" spans="1:12" s="77" customFormat="1" x14ac:dyDescent="0.2">
      <c r="A112" s="80"/>
      <c r="B112" s="533"/>
      <c r="C112" s="534"/>
      <c r="D112" s="497"/>
      <c r="E112" s="209"/>
      <c r="F112" s="533"/>
      <c r="G112" s="534"/>
      <c r="H112" s="497"/>
      <c r="I112"/>
      <c r="J112" s="533"/>
      <c r="K112" s="534"/>
      <c r="L112" s="497"/>
    </row>
    <row r="113" spans="1:26" s="77" customFormat="1" x14ac:dyDescent="0.2">
      <c r="A113" s="80"/>
      <c r="B113" s="533" t="str">
        <f>'OSNOVNI PODATKI'!B162</f>
        <v>GRADBENO OBRTNIŠKA DELA (GO)</v>
      </c>
      <c r="C113" s="636">
        <f>'OSNOVNI PODATKI'!D162</f>
        <v>0.80800000000000005</v>
      </c>
      <c r="D113" s="635"/>
      <c r="E113" s="639"/>
      <c r="F113" s="209"/>
      <c r="J113" s="638"/>
      <c r="L113" s="633"/>
    </row>
    <row r="114" spans="1:26" s="77" customFormat="1" x14ac:dyDescent="0.2">
      <c r="A114" s="80"/>
      <c r="B114" s="533" t="str">
        <f>'OSNOVNI PODATKI'!B158</f>
        <v>INFORMATIVNA OCENA STROŠKOV GRADNJE</v>
      </c>
      <c r="C114" s="636">
        <f>'OSNOVNI PODATKI'!D163</f>
        <v>4.4544000000000007E-2</v>
      </c>
      <c r="D114" s="635"/>
      <c r="E114" s="639"/>
      <c r="F114" s="209"/>
      <c r="J114" s="639"/>
      <c r="K114" s="639"/>
      <c r="L114" s="633"/>
    </row>
    <row r="115" spans="1:26" s="77" customFormat="1" x14ac:dyDescent="0.2">
      <c r="A115" s="80"/>
      <c r="B115" s="533" t="str">
        <f>'OSNOVNI PODATKI'!B159</f>
        <v>INFORMATIVNA VREDNOST STROŠKOV GRADNJE EUR/m2 BTP</v>
      </c>
      <c r="C115" s="636">
        <f>'OSNOVNI PODATKI'!D164</f>
        <v>0.14764799999999997</v>
      </c>
      <c r="D115" s="635"/>
      <c r="E115" s="639"/>
      <c r="F115" s="209"/>
      <c r="J115" s="638"/>
      <c r="K115" s="632"/>
      <c r="L115" s="633"/>
    </row>
    <row r="116" spans="1:26" s="77" customFormat="1" x14ac:dyDescent="0.2">
      <c r="A116" s="80"/>
      <c r="B116" s="533" t="str">
        <f>'OSNOVNI PODATKI'!B160</f>
        <v>IZBRANA VREDNOST STROŠKOV GRADNJE EUR/m2 BEP</v>
      </c>
      <c r="C116" s="636">
        <f>'OSNOVNI PODATKI'!D165</f>
        <v>0</v>
      </c>
      <c r="D116" s="635"/>
      <c r="E116" s="639"/>
      <c r="F116" s="209"/>
      <c r="J116" s="533"/>
      <c r="K116" s="632"/>
      <c r="L116" s="633"/>
    </row>
    <row r="117" spans="1:26" s="77" customFormat="1" x14ac:dyDescent="0.2">
      <c r="A117" s="80"/>
      <c r="B117" s="533"/>
      <c r="C117" s="534"/>
      <c r="D117" s="497"/>
      <c r="E117" s="209"/>
      <c r="F117" s="533"/>
      <c r="G117" s="534"/>
      <c r="H117" s="497"/>
      <c r="I117"/>
      <c r="J117" s="533"/>
      <c r="K117" s="534"/>
      <c r="L117" s="497"/>
    </row>
    <row r="118" spans="1:26" s="77" customFormat="1" ht="14.25" x14ac:dyDescent="0.2">
      <c r="B118" s="84" t="s">
        <v>879</v>
      </c>
      <c r="C118" s="515">
        <f>IFERROR(LOOKUP(C106,B107:C110),"/")</f>
        <v>0.25611475657390165</v>
      </c>
      <c r="D118" s="384" t="s">
        <v>870</v>
      </c>
      <c r="E118" s="209"/>
      <c r="F118" s="84" t="s">
        <v>879</v>
      </c>
      <c r="G118" s="515">
        <f>IFERROR(LOOKUP(G106,F107:G110),"/")</f>
        <v>0.65784514660560089</v>
      </c>
      <c r="H118" s="384" t="s">
        <v>870</v>
      </c>
      <c r="I118"/>
      <c r="J118" s="84" t="s">
        <v>879</v>
      </c>
      <c r="K118" s="515">
        <f>IFERROR(LOOKUP(K106,J107:K110),"/")</f>
        <v>0</v>
      </c>
      <c r="L118" s="384" t="s">
        <v>870</v>
      </c>
    </row>
    <row r="119" spans="1:26" s="77" customFormat="1" ht="14.25" x14ac:dyDescent="0.2">
      <c r="B119" s="84" t="s">
        <v>880</v>
      </c>
      <c r="C119" s="515" cm="1">
        <f t="array" ref="C119">IFERROR(INDEX(C107:C110,MATCH(C106,B107:B110)+1),"/")</f>
        <v>0.3007353608408298</v>
      </c>
      <c r="D119" s="384" t="s">
        <v>870</v>
      </c>
      <c r="E119" s="209"/>
      <c r="F119" s="84" t="s">
        <v>880</v>
      </c>
      <c r="G119" s="515" cm="1">
        <f t="array" ref="G119">IFERROR(INDEX(G107:G110,MATCH(G106,F107:F110)+1),"/")</f>
        <v>0.7729186526724432</v>
      </c>
      <c r="H119" s="384" t="s">
        <v>870</v>
      </c>
      <c r="I119"/>
      <c r="J119" s="84" t="s">
        <v>880</v>
      </c>
      <c r="K119" s="515" cm="1">
        <f t="array" ref="K119">IFERROR(INDEX(K107:K110,MATCH(K106,J107:J110)+1),"/")</f>
        <v>0</v>
      </c>
      <c r="L119" s="384" t="s">
        <v>870</v>
      </c>
    </row>
    <row r="120" spans="1:26" s="77" customFormat="1" x14ac:dyDescent="0.2">
      <c r="B120" s="84" t="s">
        <v>732</v>
      </c>
      <c r="C120" s="539">
        <f>IFERROR(ROUND(C118*$C102,0),0)</f>
        <v>0</v>
      </c>
      <c r="D120" s="384" t="s">
        <v>872</v>
      </c>
      <c r="E120" s="209"/>
      <c r="F120" s="84" t="s">
        <v>732</v>
      </c>
      <c r="G120" s="539">
        <f>IFERROR(ROUND(G118*$C102,0),0)</f>
        <v>0</v>
      </c>
      <c r="H120" s="384" t="s">
        <v>872</v>
      </c>
      <c r="I120"/>
      <c r="J120" s="84" t="s">
        <v>732</v>
      </c>
      <c r="K120" s="539">
        <f>IFERROR(ROUND(K118*$C102,0),0)</f>
        <v>0</v>
      </c>
      <c r="L120" s="384" t="s">
        <v>872</v>
      </c>
    </row>
    <row r="121" spans="1:26" s="77" customFormat="1" x14ac:dyDescent="0.2">
      <c r="B121" s="84" t="s">
        <v>733</v>
      </c>
      <c r="C121" s="539">
        <f>IFERROR(ROUND(C119*$C102,0),0)</f>
        <v>0</v>
      </c>
      <c r="D121" s="384" t="s">
        <v>872</v>
      </c>
      <c r="E121" s="209"/>
      <c r="F121" s="84" t="s">
        <v>733</v>
      </c>
      <c r="G121" s="539">
        <f>IFERROR(ROUND(G119*$C102,0),0)</f>
        <v>0</v>
      </c>
      <c r="H121" s="384" t="s">
        <v>872</v>
      </c>
      <c r="I121"/>
      <c r="J121" s="84" t="s">
        <v>733</v>
      </c>
      <c r="K121" s="539">
        <f>IFERROR(ROUND(K119*$C102,0),0)</f>
        <v>0</v>
      </c>
      <c r="L121" s="384" t="s">
        <v>872</v>
      </c>
    </row>
    <row r="122" spans="1:26" s="77" customFormat="1" x14ac:dyDescent="0.2">
      <c r="A122" s="80"/>
      <c r="C122" s="209"/>
      <c r="D122" s="209"/>
      <c r="E122" s="209"/>
      <c r="F122" s="209"/>
      <c r="I122"/>
    </row>
    <row r="123" spans="1:26" customFormat="1" ht="13.5" thickBot="1" x14ac:dyDescent="0.25">
      <c r="T123" s="478"/>
      <c r="U123" s="478"/>
      <c r="V123" s="478"/>
      <c r="W123" s="478"/>
      <c r="X123" s="478"/>
      <c r="Y123" s="478"/>
      <c r="Z123" s="478"/>
    </row>
    <row r="124" spans="1:26" s="77" customFormat="1" ht="18.75" x14ac:dyDescent="0.2">
      <c r="A124" s="807" t="s">
        <v>122</v>
      </c>
      <c r="B124" s="805"/>
      <c r="C124" s="806"/>
      <c r="D124" s="806"/>
      <c r="E124" s="806"/>
      <c r="F124" s="806"/>
      <c r="G124" s="806"/>
      <c r="H124" s="805"/>
      <c r="I124" s="805"/>
      <c r="J124" s="805"/>
    </row>
    <row r="125" spans="1:26" s="77" customFormat="1" x14ac:dyDescent="0.2">
      <c r="A125" s="209"/>
      <c r="B125" s="209"/>
      <c r="C125" s="209"/>
      <c r="D125" s="209"/>
      <c r="E125" s="209"/>
      <c r="G125" s="209"/>
      <c r="H125" s="209"/>
    </row>
    <row r="126" spans="1:26" s="77" customFormat="1" x14ac:dyDescent="0.2">
      <c r="A126" s="209"/>
      <c r="B126" s="84" t="s">
        <v>868</v>
      </c>
      <c r="C126" s="209"/>
      <c r="D126" s="209"/>
      <c r="E126" s="209"/>
      <c r="F126" s="496">
        <f>'OSNOVNI PODATKI'!G373</f>
        <v>93.5</v>
      </c>
      <c r="H126" s="209"/>
      <c r="I126" s="209"/>
      <c r="J126" s="209"/>
    </row>
    <row r="127" spans="1:26" s="77" customFormat="1" x14ac:dyDescent="0.2">
      <c r="A127" s="209"/>
      <c r="B127" s="84" t="s">
        <v>869</v>
      </c>
      <c r="C127" s="207"/>
      <c r="D127" s="83"/>
      <c r="E127" s="83"/>
      <c r="F127" s="482">
        <f>'ARHIGRAM 6'!I16</f>
        <v>55</v>
      </c>
      <c r="G127" s="207"/>
      <c r="H127" s="207"/>
      <c r="I127" s="207"/>
      <c r="J127" s="207"/>
    </row>
    <row r="128" spans="1:26" s="77" customFormat="1" x14ac:dyDescent="0.2">
      <c r="A128" s="209"/>
      <c r="B128" s="209"/>
      <c r="C128" s="209"/>
      <c r="D128" s="209"/>
      <c r="E128" s="209"/>
      <c r="G128" s="209"/>
      <c r="H128" s="209"/>
      <c r="I128" s="209"/>
      <c r="J128" s="209"/>
    </row>
    <row r="129" spans="1:10" s="77" customFormat="1" x14ac:dyDescent="0.2">
      <c r="B129" s="84" t="str">
        <f>'OSNOVNI PODATKI'!$B$384</f>
        <v>PRIBITEK ZA PRENOVO</v>
      </c>
      <c r="C129" s="207"/>
      <c r="D129" s="83"/>
      <c r="E129" s="83"/>
      <c r="F129" s="310">
        <f>'OSNOVNI PODATKI'!$F$384</f>
        <v>0</v>
      </c>
      <c r="G129" s="207" t="str">
        <f>'OSNOVNI PODATKI'!G384</f>
        <v>upošteva se v fazah od 1 do 4., samo za storitve projektiranja</v>
      </c>
      <c r="H129" s="207"/>
      <c r="I129" s="207"/>
      <c r="J129" s="207"/>
    </row>
    <row r="130" spans="1:10" x14ac:dyDescent="0.2">
      <c r="B130" s="84" t="str">
        <f>'OSNOVNI PODATKI'!B388</f>
        <v>BREZ NAČRTA UTOROV IN PREBOJEV V NAČRTIH INŠTALACIJ</v>
      </c>
      <c r="C130" s="207"/>
      <c r="D130" s="83"/>
      <c r="E130" s="83"/>
      <c r="F130" s="646" t="str">
        <f>IF('OSNOVNI PODATKI'!F388=TRUE,"DA","NE")</f>
        <v>DA</v>
      </c>
      <c r="G130" s="207" t="str">
        <f>+'OSNOVNI PODATKI'!G388</f>
        <v>če je opcija izbrana, se v fazi 2.4 EI, SI, TH upošteva odbitek 4 %</v>
      </c>
      <c r="H130" s="207"/>
      <c r="I130" s="207"/>
      <c r="J130" s="207"/>
    </row>
    <row r="131" spans="1:10" x14ac:dyDescent="0.2">
      <c r="B131" s="84" t="str">
        <f>'OSNOVNI PODATKI'!B389</f>
        <v>BREZ PREVERJANJA MONTAŽNIH IN DELAVNIŠKIH NAČRTOV V TEHNIČNIH NAČRTIH</v>
      </c>
      <c r="C131" s="207"/>
      <c r="D131" s="83"/>
      <c r="E131" s="83"/>
      <c r="F131" s="646" t="str">
        <f>IF('OSNOVNI PODATKI'!F389=TRUE,"DA","NE")</f>
        <v>DA</v>
      </c>
      <c r="G131" s="207" t="str">
        <f>+'OSNOVNI PODATKI'!G389</f>
        <v>če je opcija izbrana, se v fazi 2.4 EI, SI, TH upošteva odbitek 4 %</v>
      </c>
      <c r="H131" s="207"/>
      <c r="I131" s="207"/>
      <c r="J131" s="207"/>
    </row>
    <row r="132" spans="1:10" s="77" customFormat="1" x14ac:dyDescent="0.2">
      <c r="B132" s="296"/>
      <c r="D132" s="298"/>
      <c r="E132" s="298"/>
      <c r="F132" s="846"/>
      <c r="G132" s="847"/>
    </row>
    <row r="133" spans="1:10" s="77" customFormat="1" x14ac:dyDescent="0.2">
      <c r="B133" s="204"/>
      <c r="D133" s="78"/>
      <c r="E133" s="78"/>
      <c r="F133" s="846"/>
      <c r="G133" s="847"/>
    </row>
    <row r="134" spans="1:10" s="2" customFormat="1" x14ac:dyDescent="0.2">
      <c r="A134" s="77"/>
      <c r="B134" s="210" t="s">
        <v>959</v>
      </c>
      <c r="C134" s="210"/>
      <c r="D134" s="210"/>
      <c r="E134" s="210"/>
      <c r="F134" s="210"/>
      <c r="G134" s="210"/>
      <c r="H134" s="210"/>
      <c r="I134" s="210"/>
      <c r="J134" s="210"/>
    </row>
    <row r="135" spans="1:10" x14ac:dyDescent="0.2">
      <c r="A135" s="209"/>
      <c r="B135" s="211"/>
      <c r="C135" s="211"/>
      <c r="D135" s="211"/>
      <c r="E135" s="211"/>
      <c r="F135" s="211"/>
      <c r="G135" s="211"/>
      <c r="H135" s="211"/>
      <c r="I135" s="211"/>
      <c r="J135" s="211"/>
    </row>
    <row r="136" spans="1:10" ht="38.25" x14ac:dyDescent="0.2">
      <c r="A136" s="105"/>
      <c r="B136" s="106"/>
      <c r="C136" s="106"/>
      <c r="D136" s="106"/>
      <c r="E136" s="107" t="s">
        <v>25</v>
      </c>
      <c r="F136" s="299" t="s">
        <v>481</v>
      </c>
      <c r="G136" s="606" t="s">
        <v>57</v>
      </c>
      <c r="H136" s="108" t="s">
        <v>70</v>
      </c>
      <c r="I136" s="411" t="s">
        <v>907</v>
      </c>
      <c r="J136" s="411" t="s">
        <v>909</v>
      </c>
    </row>
    <row r="137" spans="1:10" ht="14.25" x14ac:dyDescent="0.2">
      <c r="A137" s="101" t="s">
        <v>29</v>
      </c>
      <c r="B137" s="102" t="s">
        <v>30</v>
      </c>
      <c r="C137" s="102"/>
      <c r="D137" s="102"/>
      <c r="E137" s="103"/>
      <c r="F137" s="103"/>
      <c r="G137" s="607"/>
      <c r="H137" s="104"/>
      <c r="I137" s="13"/>
    </row>
    <row r="138" spans="1:10" ht="14.25" x14ac:dyDescent="0.2">
      <c r="A138" s="85" t="s">
        <v>31</v>
      </c>
      <c r="B138" s="97" t="s">
        <v>65</v>
      </c>
      <c r="C138" s="97"/>
      <c r="D138" s="97"/>
      <c r="E138" s="86"/>
      <c r="F138" s="86"/>
      <c r="G138" s="608"/>
      <c r="H138" s="87" t="str">
        <f>IF(J145=TRUE,G138*'VREDNOST NU'!#REF!,"")</f>
        <v/>
      </c>
      <c r="I138" s="13"/>
    </row>
    <row r="139" spans="1:10" ht="14.25" x14ac:dyDescent="0.2">
      <c r="A139" s="110" t="s">
        <v>32</v>
      </c>
      <c r="B139" s="111" t="s">
        <v>66</v>
      </c>
      <c r="C139" s="111"/>
      <c r="D139" s="111"/>
      <c r="E139" s="112"/>
      <c r="F139" s="112"/>
      <c r="G139" s="609"/>
      <c r="H139" s="91" t="str">
        <f>IF(J146=TRUE,G139*'VREDNOST NU'!#REF!,"")</f>
        <v/>
      </c>
      <c r="I139" s="13"/>
    </row>
    <row r="140" spans="1:10" x14ac:dyDescent="0.2">
      <c r="A140" s="109" t="s">
        <v>33</v>
      </c>
      <c r="B140" s="102" t="s">
        <v>34</v>
      </c>
      <c r="C140" s="102"/>
      <c r="D140" s="102"/>
      <c r="E140" s="103">
        <f>SUM(E141:E143)</f>
        <v>0.02</v>
      </c>
      <c r="F140" s="103">
        <f>SUM(F141:F143)</f>
        <v>0.02</v>
      </c>
      <c r="G140" s="613">
        <f>SUM(G141:G143)</f>
        <v>1.87</v>
      </c>
      <c r="H140" s="104">
        <f>SUM(H141:H143)</f>
        <v>102.85000000000001</v>
      </c>
      <c r="I140" s="125">
        <f>IFERROR(H140/'OSNOVNI PODATKI'!$E$332,0)</f>
        <v>0</v>
      </c>
      <c r="J140" s="125">
        <f>IFERROR(H140/'OSNOVNI PODATKI'!$E$334,0)</f>
        <v>0</v>
      </c>
    </row>
    <row r="141" spans="1:10" s="77" customFormat="1" ht="14.25" x14ac:dyDescent="0.2">
      <c r="A141" s="88" t="s">
        <v>35</v>
      </c>
      <c r="B141" s="96" t="s">
        <v>67</v>
      </c>
      <c r="C141" s="96"/>
      <c r="D141" s="96"/>
      <c r="E141" s="86">
        <v>0.01</v>
      </c>
      <c r="F141" s="86">
        <f>E141*(100%+$F$129)</f>
        <v>0.01</v>
      </c>
      <c r="G141" s="614">
        <f>F141*$F$126</f>
        <v>0.93500000000000005</v>
      </c>
      <c r="H141" s="87">
        <f>+G141*'ARHIGRAM 6'!$I$16</f>
        <v>51.425000000000004</v>
      </c>
      <c r="I141" s="13"/>
    </row>
    <row r="142" spans="1:10" s="2" customFormat="1" ht="14.25" x14ac:dyDescent="0.2">
      <c r="A142" s="88" t="s">
        <v>36</v>
      </c>
      <c r="B142" s="96" t="s">
        <v>68</v>
      </c>
      <c r="C142" s="96"/>
      <c r="D142" s="96"/>
      <c r="E142" s="86">
        <v>0.01</v>
      </c>
      <c r="F142" s="86">
        <f>E142*(100%+$F$129)</f>
        <v>0.01</v>
      </c>
      <c r="G142" s="614">
        <f>F142*$F$126</f>
        <v>0.93500000000000005</v>
      </c>
      <c r="H142" s="87">
        <f>+G142*'ARHIGRAM 6'!$I$16</f>
        <v>51.425000000000004</v>
      </c>
      <c r="I142" s="13"/>
    </row>
    <row r="143" spans="1:10" s="12" customFormat="1" ht="14.25" x14ac:dyDescent="0.25">
      <c r="A143" s="114" t="s">
        <v>37</v>
      </c>
      <c r="B143" s="115" t="s">
        <v>837</v>
      </c>
      <c r="C143" s="115"/>
      <c r="D143" s="115"/>
      <c r="E143" s="112">
        <v>0</v>
      </c>
      <c r="F143" s="112">
        <f>E143*(100%+$F$129)</f>
        <v>0</v>
      </c>
      <c r="G143" s="615">
        <f>F143*$F$126</f>
        <v>0</v>
      </c>
      <c r="H143" s="91">
        <f>+G143*'ARHIGRAM 6'!$I$16</f>
        <v>0</v>
      </c>
      <c r="I143" s="13"/>
    </row>
    <row r="144" spans="1:10" s="13" customFormat="1" ht="14.25" x14ac:dyDescent="0.2">
      <c r="A144" s="113">
        <v>2</v>
      </c>
      <c r="B144" s="102" t="s">
        <v>38</v>
      </c>
      <c r="C144" s="102"/>
      <c r="D144" s="102"/>
      <c r="E144" s="103">
        <f>SUM(E145:E150)</f>
        <v>0.57000000000000006</v>
      </c>
      <c r="F144" s="103">
        <f>SUM(F145:F150)</f>
        <v>0.49000000000000005</v>
      </c>
      <c r="G144" s="616">
        <f>SUM(G145:G150)</f>
        <v>45.814999999999991</v>
      </c>
      <c r="H144" s="104">
        <f>SUM(H145:H150)</f>
        <v>2519.8249999999998</v>
      </c>
      <c r="I144" s="125">
        <f>IFERROR(H144/'OSNOVNI PODATKI'!$E$332,0)</f>
        <v>0</v>
      </c>
      <c r="J144" s="125">
        <f>IFERROR(H144/'OSNOVNI PODATKI'!$E$334,0)</f>
        <v>0</v>
      </c>
    </row>
    <row r="145" spans="1:27" s="13" customFormat="1" ht="14.25" x14ac:dyDescent="0.2">
      <c r="A145" s="88" t="s">
        <v>51</v>
      </c>
      <c r="B145" s="96" t="s">
        <v>94</v>
      </c>
      <c r="C145" s="96"/>
      <c r="D145" s="96"/>
      <c r="E145" s="99">
        <v>0.09</v>
      </c>
      <c r="F145" s="99">
        <f>E145*(100%+$F$129)</f>
        <v>0.09</v>
      </c>
      <c r="G145" s="614">
        <f>F145*$F$126</f>
        <v>8.4149999999999991</v>
      </c>
      <c r="H145" s="87">
        <f>+G145*'ARHIGRAM 6'!$I$16</f>
        <v>462.82499999999993</v>
      </c>
    </row>
    <row r="146" spans="1:27" s="13" customFormat="1" ht="14.25" x14ac:dyDescent="0.2">
      <c r="A146" s="89" t="s">
        <v>52</v>
      </c>
      <c r="B146" s="100" t="s">
        <v>737</v>
      </c>
      <c r="C146" s="100"/>
      <c r="D146" s="100"/>
      <c r="E146" s="99">
        <v>0.19</v>
      </c>
      <c r="F146" s="99">
        <f>E146*(100%+$F$129)</f>
        <v>0.19</v>
      </c>
      <c r="G146" s="614">
        <f>F146*$F$126</f>
        <v>17.765000000000001</v>
      </c>
      <c r="H146" s="87">
        <f>+G146*'ARHIGRAM 6'!$I$16</f>
        <v>977.07500000000005</v>
      </c>
    </row>
    <row r="147" spans="1:27" s="13" customFormat="1" ht="14.25" x14ac:dyDescent="0.2">
      <c r="A147" s="89" t="s">
        <v>53</v>
      </c>
      <c r="B147" s="100" t="s">
        <v>841</v>
      </c>
      <c r="C147" s="100"/>
      <c r="D147" s="100"/>
      <c r="E147" s="99"/>
      <c r="F147" s="99"/>
      <c r="G147" s="614"/>
      <c r="H147" s="87"/>
    </row>
    <row r="148" spans="1:27" s="13" customFormat="1" ht="14.25" x14ac:dyDescent="0.2">
      <c r="A148" s="89" t="s">
        <v>95</v>
      </c>
      <c r="B148" s="100" t="s">
        <v>738</v>
      </c>
      <c r="C148" s="100"/>
      <c r="D148" s="100"/>
      <c r="E148" s="99">
        <v>0.22</v>
      </c>
      <c r="F148" s="99">
        <f>(E148+IF(F130="DA",-4%,0%)+IF(F131="DA",-4%,0%))*(100%+F129)</f>
        <v>0.13999999999999999</v>
      </c>
      <c r="G148" s="614">
        <f>F148*$F$126</f>
        <v>13.089999999999998</v>
      </c>
      <c r="H148" s="87">
        <f>+G148*'ARHIGRAM 6'!$I$16</f>
        <v>719.94999999999993</v>
      </c>
    </row>
    <row r="149" spans="1:27" s="13" customFormat="1" ht="14.25" x14ac:dyDescent="0.2">
      <c r="A149" s="89" t="s">
        <v>96</v>
      </c>
      <c r="B149" s="100" t="s">
        <v>838</v>
      </c>
      <c r="C149" s="100"/>
      <c r="D149" s="100"/>
      <c r="E149" s="99">
        <v>0.05</v>
      </c>
      <c r="F149" s="99">
        <f>E149*(100%+$F$129)</f>
        <v>0.05</v>
      </c>
      <c r="G149" s="614">
        <f>F149*$F$126</f>
        <v>4.6749999999999998</v>
      </c>
      <c r="H149" s="87">
        <f>+G149*'ARHIGRAM 6'!$I$16</f>
        <v>257.125</v>
      </c>
    </row>
    <row r="150" spans="1:27" s="777" customFormat="1" ht="14.25" x14ac:dyDescent="0.2">
      <c r="A150" s="827"/>
      <c r="B150" s="828" t="s">
        <v>954</v>
      </c>
      <c r="C150" s="828"/>
      <c r="D150" s="828"/>
      <c r="E150" s="829">
        <v>0.02</v>
      </c>
      <c r="F150" s="848">
        <f>E150*(100%+$F$129)</f>
        <v>0.02</v>
      </c>
      <c r="G150" s="849">
        <f>F150*$F$126</f>
        <v>1.87</v>
      </c>
      <c r="H150" s="832">
        <f>+G150*$F$127</f>
        <v>102.85000000000001</v>
      </c>
      <c r="K150" s="13"/>
      <c r="L150" s="13"/>
      <c r="M150" s="13"/>
      <c r="N150" s="13"/>
      <c r="O150" s="13"/>
      <c r="P150" s="13"/>
      <c r="Q150" s="13"/>
      <c r="R150" s="13"/>
      <c r="S150" s="13"/>
      <c r="T150" s="13"/>
      <c r="U150" s="13"/>
      <c r="V150" s="13"/>
      <c r="W150" s="13"/>
      <c r="X150" s="13"/>
      <c r="Y150" s="13"/>
      <c r="Z150" s="13"/>
      <c r="AA150" s="13"/>
    </row>
    <row r="151" spans="1:27" s="13" customFormat="1" ht="14.25" x14ac:dyDescent="0.2">
      <c r="A151" s="116" t="s">
        <v>39</v>
      </c>
      <c r="B151" s="102" t="s">
        <v>121</v>
      </c>
      <c r="C151" s="102"/>
      <c r="D151" s="102"/>
      <c r="E151" s="103">
        <f>SUM(E152:E153)</f>
        <v>0.05</v>
      </c>
      <c r="F151" s="103">
        <f>SUM(F152:F153)</f>
        <v>0.05</v>
      </c>
      <c r="G151" s="613">
        <f>SUM(G152:G153)</f>
        <v>4.6749999999999998</v>
      </c>
      <c r="H151" s="104">
        <f>SUM(H152:H153)</f>
        <v>257.125</v>
      </c>
      <c r="I151" s="125">
        <f>IFERROR(H151/'OSNOVNI PODATKI'!$E$332,0)</f>
        <v>0</v>
      </c>
      <c r="J151" s="125">
        <f>IFERROR(H151/'OSNOVNI PODATKI'!$E$334,0)</f>
        <v>0</v>
      </c>
    </row>
    <row r="152" spans="1:27" s="13" customFormat="1" ht="14.25" x14ac:dyDescent="0.2">
      <c r="A152" s="89" t="s">
        <v>40</v>
      </c>
      <c r="B152" s="95" t="s">
        <v>839</v>
      </c>
      <c r="C152" s="95"/>
      <c r="D152" s="95"/>
      <c r="E152" s="86">
        <v>0.03</v>
      </c>
      <c r="F152" s="86">
        <f>E152*(100%+$F$129)</f>
        <v>0.03</v>
      </c>
      <c r="G152" s="614">
        <f>F152*$F$126</f>
        <v>2.8049999999999997</v>
      </c>
      <c r="H152" s="87">
        <f>+G152*'ARHIGRAM 6'!$I$16</f>
        <v>154.27499999999998</v>
      </c>
    </row>
    <row r="153" spans="1:27" s="13" customFormat="1" ht="14.25" x14ac:dyDescent="0.2">
      <c r="A153" s="117" t="s">
        <v>41</v>
      </c>
      <c r="B153" s="90" t="s">
        <v>201</v>
      </c>
      <c r="C153" s="90"/>
      <c r="D153" s="90"/>
      <c r="E153" s="112">
        <v>0.02</v>
      </c>
      <c r="F153" s="112">
        <f>E153*(100%+$F$129)</f>
        <v>0.02</v>
      </c>
      <c r="G153" s="615">
        <f>F153*$F$126</f>
        <v>1.87</v>
      </c>
      <c r="H153" s="91">
        <f>+G153*'ARHIGRAM 6'!$I$16</f>
        <v>102.85000000000001</v>
      </c>
    </row>
    <row r="154" spans="1:27" s="13" customFormat="1" ht="14.25" x14ac:dyDescent="0.2">
      <c r="A154" s="120">
        <v>4</v>
      </c>
      <c r="B154" s="102" t="s">
        <v>60</v>
      </c>
      <c r="C154" s="102"/>
      <c r="D154" s="102"/>
      <c r="E154" s="103">
        <f>SUM(E155:E162)</f>
        <v>0.35000000000000009</v>
      </c>
      <c r="F154" s="103">
        <f>SUM(F155:F162)</f>
        <v>0.35000000000000009</v>
      </c>
      <c r="G154" s="613">
        <f>SUM(G155:G162)</f>
        <v>32.725000000000001</v>
      </c>
      <c r="H154" s="104">
        <f>SUM(H155:H162)</f>
        <v>1799.875</v>
      </c>
      <c r="I154" s="125">
        <f>IFERROR(H154/'OSNOVNI PODATKI'!$E$332,0)</f>
        <v>0</v>
      </c>
      <c r="J154" s="125">
        <f>IFERROR(H154/'OSNOVNI PODATKI'!$E$334,0)</f>
        <v>0</v>
      </c>
    </row>
    <row r="155" spans="1:27" s="13" customFormat="1" ht="14.25" x14ac:dyDescent="0.2">
      <c r="A155" s="89" t="s">
        <v>42</v>
      </c>
      <c r="B155" s="95" t="s">
        <v>202</v>
      </c>
      <c r="C155" s="95"/>
      <c r="D155" s="95"/>
      <c r="E155" s="86">
        <v>0</v>
      </c>
      <c r="F155" s="86">
        <f t="shared" ref="F155:F162" si="0">E155*(100%+$F$129)</f>
        <v>0</v>
      </c>
      <c r="G155" s="614">
        <f t="shared" ref="G155:G162" si="1">F155*$F$126</f>
        <v>0</v>
      </c>
      <c r="H155" s="87">
        <f>+G155*'ARHIGRAM 6'!$I$16</f>
        <v>0</v>
      </c>
    </row>
    <row r="156" spans="1:27" s="13" customFormat="1" ht="14.25" x14ac:dyDescent="0.2">
      <c r="A156" s="89" t="s">
        <v>43</v>
      </c>
      <c r="B156" s="95" t="s">
        <v>858</v>
      </c>
      <c r="C156" s="95"/>
      <c r="D156" s="95"/>
      <c r="E156" s="86">
        <v>7.0000000000000007E-2</v>
      </c>
      <c r="F156" s="86">
        <f t="shared" si="0"/>
        <v>7.0000000000000007E-2</v>
      </c>
      <c r="G156" s="614">
        <f t="shared" si="1"/>
        <v>6.5450000000000008</v>
      </c>
      <c r="H156" s="87">
        <f>+G156*'ARHIGRAM 6'!$I$16</f>
        <v>359.97500000000002</v>
      </c>
    </row>
    <row r="157" spans="1:27" s="777" customFormat="1" ht="14.25" x14ac:dyDescent="0.2">
      <c r="A157" s="772"/>
      <c r="B157" s="773" t="s">
        <v>502</v>
      </c>
      <c r="C157" s="773"/>
      <c r="D157" s="773"/>
      <c r="E157" s="771">
        <v>0.23</v>
      </c>
      <c r="F157" s="778">
        <f t="shared" si="0"/>
        <v>0.23</v>
      </c>
      <c r="G157" s="821">
        <f t="shared" si="1"/>
        <v>21.505000000000003</v>
      </c>
      <c r="H157" s="780">
        <f>+G157*$F$127</f>
        <v>1182.7750000000001</v>
      </c>
      <c r="K157" s="13"/>
      <c r="L157" s="13"/>
      <c r="M157" s="13"/>
      <c r="N157" s="13"/>
      <c r="O157" s="13"/>
      <c r="P157" s="13"/>
      <c r="Q157" s="13"/>
      <c r="R157" s="13"/>
      <c r="S157" s="13"/>
      <c r="T157" s="13"/>
      <c r="U157" s="13"/>
      <c r="V157" s="13"/>
      <c r="W157" s="13"/>
      <c r="X157" s="13"/>
      <c r="Y157" s="13"/>
      <c r="Z157" s="13"/>
      <c r="AA157" s="13"/>
    </row>
    <row r="158" spans="1:27" s="13" customFormat="1" ht="14.25" x14ac:dyDescent="0.2">
      <c r="A158" s="89" t="s">
        <v>44</v>
      </c>
      <c r="B158" s="95" t="s">
        <v>953</v>
      </c>
      <c r="C158" s="95"/>
      <c r="D158" s="95"/>
      <c r="E158" s="86">
        <v>6.0000000000000001E-3</v>
      </c>
      <c r="F158" s="86">
        <f t="shared" si="0"/>
        <v>6.0000000000000001E-3</v>
      </c>
      <c r="G158" s="614">
        <f t="shared" si="1"/>
        <v>0.56100000000000005</v>
      </c>
      <c r="H158" s="87">
        <f>+G158*'ARHIGRAM 6'!$I$16</f>
        <v>30.855000000000004</v>
      </c>
    </row>
    <row r="159" spans="1:27" s="777" customFormat="1" ht="14.25" x14ac:dyDescent="0.2">
      <c r="A159" s="772"/>
      <c r="B159" s="773" t="s">
        <v>502</v>
      </c>
      <c r="C159" s="773"/>
      <c r="D159" s="773"/>
      <c r="E159" s="771">
        <v>4.0000000000000001E-3</v>
      </c>
      <c r="F159" s="778">
        <f t="shared" si="0"/>
        <v>4.0000000000000001E-3</v>
      </c>
      <c r="G159" s="821">
        <f t="shared" si="1"/>
        <v>0.374</v>
      </c>
      <c r="H159" s="780">
        <f>+G159*$F$127</f>
        <v>20.57</v>
      </c>
      <c r="K159" s="13"/>
      <c r="L159" s="13"/>
      <c r="M159" s="13"/>
      <c r="N159" s="13"/>
      <c r="O159" s="13"/>
      <c r="P159" s="13"/>
      <c r="Q159" s="13"/>
      <c r="R159" s="13"/>
      <c r="S159" s="13"/>
      <c r="T159" s="13"/>
      <c r="U159" s="13"/>
      <c r="V159" s="13"/>
      <c r="W159" s="13"/>
      <c r="X159" s="13"/>
      <c r="Y159" s="13"/>
      <c r="Z159" s="13"/>
      <c r="AA159" s="13"/>
    </row>
    <row r="160" spans="1:27" s="13" customFormat="1" ht="14.25" x14ac:dyDescent="0.2">
      <c r="A160" s="89" t="s">
        <v>45</v>
      </c>
      <c r="B160" s="95" t="s">
        <v>859</v>
      </c>
      <c r="C160" s="95"/>
      <c r="D160" s="95"/>
      <c r="E160" s="86">
        <v>1.2E-2</v>
      </c>
      <c r="F160" s="86">
        <f t="shared" si="0"/>
        <v>1.2E-2</v>
      </c>
      <c r="G160" s="614">
        <f t="shared" si="1"/>
        <v>1.1220000000000001</v>
      </c>
      <c r="H160" s="87">
        <f>+G160*'ARHIGRAM 6'!$I$16</f>
        <v>61.710000000000008</v>
      </c>
    </row>
    <row r="161" spans="1:27" s="777" customFormat="1" ht="14.25" x14ac:dyDescent="0.2">
      <c r="A161" s="772"/>
      <c r="B161" s="773" t="s">
        <v>502</v>
      </c>
      <c r="C161" s="773"/>
      <c r="D161" s="773"/>
      <c r="E161" s="771">
        <v>8.0000000000000002E-3</v>
      </c>
      <c r="F161" s="778">
        <f t="shared" si="0"/>
        <v>8.0000000000000002E-3</v>
      </c>
      <c r="G161" s="821">
        <f t="shared" si="1"/>
        <v>0.748</v>
      </c>
      <c r="H161" s="780">
        <f>+G161*$F$127</f>
        <v>41.14</v>
      </c>
      <c r="K161" s="13"/>
      <c r="L161" s="13"/>
      <c r="M161" s="13"/>
      <c r="N161" s="13"/>
      <c r="O161" s="13"/>
      <c r="P161" s="13"/>
      <c r="Q161" s="13"/>
      <c r="R161" s="13"/>
      <c r="S161" s="13"/>
      <c r="T161" s="13"/>
      <c r="U161" s="13"/>
      <c r="V161" s="13"/>
      <c r="W161" s="13"/>
      <c r="X161" s="13"/>
      <c r="Y161" s="13"/>
      <c r="Z161" s="13"/>
      <c r="AA161" s="13"/>
    </row>
    <row r="162" spans="1:27" s="13" customFormat="1" ht="14.25" x14ac:dyDescent="0.2">
      <c r="A162" s="117" t="s">
        <v>46</v>
      </c>
      <c r="B162" s="90" t="s">
        <v>840</v>
      </c>
      <c r="C162" s="90"/>
      <c r="D162" s="90"/>
      <c r="E162" s="112">
        <v>0.02</v>
      </c>
      <c r="F162" s="112">
        <f t="shared" si="0"/>
        <v>0.02</v>
      </c>
      <c r="G162" s="615">
        <f t="shared" si="1"/>
        <v>1.87</v>
      </c>
      <c r="H162" s="91">
        <f>+G162*'ARHIGRAM 6'!$I$16</f>
        <v>102.85000000000001</v>
      </c>
    </row>
    <row r="163" spans="1:27" s="13" customFormat="1" ht="14.25" x14ac:dyDescent="0.2">
      <c r="A163" s="121">
        <v>5</v>
      </c>
      <c r="B163" s="102" t="s">
        <v>47</v>
      </c>
      <c r="C163" s="102"/>
      <c r="D163" s="102"/>
      <c r="E163" s="103">
        <f>SUM(E164:E165)</f>
        <v>0.01</v>
      </c>
      <c r="F163" s="103">
        <f>SUM(F164:F165)</f>
        <v>0.01</v>
      </c>
      <c r="G163" s="613">
        <f>SUM(G164:G165)</f>
        <v>0.93500000000000005</v>
      </c>
      <c r="H163" s="104">
        <f>SUM(H164:H165)</f>
        <v>51.425000000000004</v>
      </c>
      <c r="I163" s="125">
        <f>IFERROR(H163/'OSNOVNI PODATKI'!$E$332,0)</f>
        <v>0</v>
      </c>
      <c r="J163" s="125">
        <f>IFERROR(H163/'OSNOVNI PODATKI'!$E$334,0)</f>
        <v>0</v>
      </c>
    </row>
    <row r="164" spans="1:27" s="13" customFormat="1" ht="14.25" x14ac:dyDescent="0.2">
      <c r="A164" s="89" t="s">
        <v>48</v>
      </c>
      <c r="B164" s="98" t="s">
        <v>204</v>
      </c>
      <c r="C164" s="98"/>
      <c r="D164" s="98"/>
      <c r="E164" s="86">
        <v>5.0000000000000001E-3</v>
      </c>
      <c r="F164" s="86">
        <f>E164</f>
        <v>5.0000000000000001E-3</v>
      </c>
      <c r="G164" s="614">
        <f>F164*$F$126</f>
        <v>0.46750000000000003</v>
      </c>
      <c r="H164" s="87">
        <f>+G164*'ARHIGRAM 6'!$I$16</f>
        <v>25.712500000000002</v>
      </c>
    </row>
    <row r="165" spans="1:27" s="13" customFormat="1" ht="14.25" x14ac:dyDescent="0.2">
      <c r="A165" s="117" t="s">
        <v>49</v>
      </c>
      <c r="B165" s="123" t="s">
        <v>205</v>
      </c>
      <c r="C165" s="123"/>
      <c r="D165" s="123"/>
      <c r="E165" s="112">
        <v>5.0000000000000001E-3</v>
      </c>
      <c r="F165" s="112">
        <f>E165</f>
        <v>5.0000000000000001E-3</v>
      </c>
      <c r="G165" s="615">
        <f>F165*$F$126</f>
        <v>0.46750000000000003</v>
      </c>
      <c r="H165" s="91">
        <f>+G165*'ARHIGRAM 6'!$I$16</f>
        <v>25.712500000000002</v>
      </c>
    </row>
    <row r="166" spans="1:27" s="13" customFormat="1" ht="14.25" x14ac:dyDescent="0.2">
      <c r="A166" s="122">
        <v>6</v>
      </c>
      <c r="B166" s="102" t="s">
        <v>50</v>
      </c>
      <c r="C166" s="102"/>
      <c r="D166" s="102"/>
      <c r="E166" s="103"/>
      <c r="F166" s="103"/>
      <c r="G166" s="607"/>
      <c r="H166" s="104"/>
    </row>
    <row r="167" spans="1:27" s="13" customFormat="1" ht="14.25" x14ac:dyDescent="0.2">
      <c r="A167" s="89" t="s">
        <v>54</v>
      </c>
      <c r="B167" s="98" t="s">
        <v>206</v>
      </c>
      <c r="C167" s="98"/>
      <c r="D167" s="98"/>
      <c r="E167" s="86"/>
      <c r="F167" s="86"/>
      <c r="G167" s="608"/>
      <c r="H167" s="87"/>
    </row>
    <row r="168" spans="1:27" s="13" customFormat="1" ht="14.25" x14ac:dyDescent="0.2">
      <c r="A168" s="89" t="s">
        <v>55</v>
      </c>
      <c r="B168" s="98" t="s">
        <v>207</v>
      </c>
      <c r="C168" s="98"/>
      <c r="D168" s="98"/>
      <c r="E168" s="86"/>
      <c r="F168" s="86"/>
      <c r="G168" s="608"/>
      <c r="H168" s="87"/>
    </row>
    <row r="169" spans="1:27" s="13" customFormat="1" ht="14.25" x14ac:dyDescent="0.2">
      <c r="A169" s="117" t="s">
        <v>56</v>
      </c>
      <c r="B169" s="123" t="s">
        <v>208</v>
      </c>
      <c r="C169" s="123"/>
      <c r="D169" s="123"/>
      <c r="E169" s="112"/>
      <c r="F169" s="112"/>
      <c r="G169" s="609"/>
      <c r="H169" s="91"/>
    </row>
    <row r="170" spans="1:27" s="13" customFormat="1" ht="14.25" x14ac:dyDescent="0.2">
      <c r="A170" s="92"/>
      <c r="B170" s="93"/>
      <c r="C170" s="93"/>
      <c r="D170" s="93"/>
      <c r="E170" s="94"/>
      <c r="F170" s="94"/>
      <c r="G170" s="610"/>
      <c r="H170" s="93"/>
    </row>
    <row r="171" spans="1:27" s="13" customFormat="1" ht="14.25" x14ac:dyDescent="0.2">
      <c r="A171" s="126"/>
      <c r="B171" s="127" t="s">
        <v>1</v>
      </c>
      <c r="C171" s="127"/>
      <c r="D171" s="127"/>
      <c r="E171" s="128">
        <f>E137+E140+E144+E151+E154+E163+E166</f>
        <v>1.0000000000000002</v>
      </c>
      <c r="F171" s="128">
        <f>F137+F140+F144+F151+F154+F163+F166</f>
        <v>0.92000000000000015</v>
      </c>
      <c r="G171" s="611">
        <f>G137+G140+G144+G151+G154+G163+G166</f>
        <v>86.019999999999982</v>
      </c>
      <c r="H171" s="129">
        <f>H137+H140+H144+H151+H154+H163+H166</f>
        <v>4731.0999999999995</v>
      </c>
      <c r="I171" s="125">
        <f>IFERROR(H171/'OSNOVNI PODATKI'!$E$332,0)</f>
        <v>0</v>
      </c>
      <c r="J171" s="125">
        <f>IFERROR(H171/'OSNOVNI PODATKI'!$E$334,0)</f>
        <v>0</v>
      </c>
    </row>
    <row r="172" spans="1:27" s="13" customFormat="1" ht="14.25" x14ac:dyDescent="0.2">
      <c r="A172" s="29"/>
      <c r="B172" s="124"/>
      <c r="E172" s="30"/>
      <c r="G172" s="30"/>
      <c r="H172" s="125"/>
    </row>
    <row r="173" spans="1:27" s="13" customFormat="1" ht="14.25" x14ac:dyDescent="0.2">
      <c r="A173" s="29"/>
      <c r="B173" s="124"/>
      <c r="E173" s="30"/>
      <c r="G173" s="30"/>
      <c r="H173" s="125"/>
    </row>
    <row r="174" spans="1:27" s="13" customFormat="1" ht="15" thickBot="1" x14ac:dyDescent="0.25">
      <c r="A174" s="75"/>
      <c r="B174" s="75"/>
      <c r="C174" s="75"/>
      <c r="D174" s="75"/>
      <c r="E174" s="75"/>
      <c r="F174" s="75"/>
      <c r="G174" s="75"/>
    </row>
    <row r="175" spans="1:27" s="13" customFormat="1" ht="18.75" x14ac:dyDescent="0.2">
      <c r="A175" s="807" t="s">
        <v>123</v>
      </c>
      <c r="B175" s="807"/>
      <c r="C175" s="807"/>
      <c r="D175" s="807"/>
      <c r="E175" s="807"/>
      <c r="F175" s="807"/>
      <c r="G175" s="807"/>
      <c r="H175" s="807"/>
      <c r="I175" s="807"/>
      <c r="J175" s="807"/>
    </row>
    <row r="176" spans="1:27" s="77" customFormat="1" x14ac:dyDescent="0.2">
      <c r="A176" s="209"/>
      <c r="B176" s="209"/>
      <c r="C176" s="729"/>
      <c r="D176" s="729"/>
      <c r="E176" s="729"/>
      <c r="F176" s="626"/>
      <c r="G176" s="729"/>
      <c r="H176" s="729"/>
    </row>
    <row r="177" spans="1:10" s="77" customFormat="1" x14ac:dyDescent="0.2">
      <c r="A177" s="209"/>
      <c r="B177" s="84" t="s">
        <v>868</v>
      </c>
      <c r="C177" s="209"/>
      <c r="D177" s="209"/>
      <c r="E177" s="209"/>
      <c r="F177" s="496">
        <f>'OSNOVNI PODATKI'!G374</f>
        <v>190.5</v>
      </c>
      <c r="G177" s="626"/>
      <c r="H177" s="209"/>
    </row>
    <row r="178" spans="1:10" s="77" customFormat="1" x14ac:dyDescent="0.2">
      <c r="A178" s="209"/>
      <c r="B178" s="84" t="s">
        <v>869</v>
      </c>
      <c r="C178" s="207"/>
      <c r="D178" s="83"/>
      <c r="E178" s="83"/>
      <c r="F178" s="482">
        <f>'ARHIGRAM 6'!$I$16</f>
        <v>55</v>
      </c>
      <c r="G178" s="207"/>
      <c r="H178" s="207"/>
    </row>
    <row r="179" spans="1:10" s="77" customFormat="1" x14ac:dyDescent="0.2">
      <c r="A179" s="209"/>
      <c r="B179" s="209"/>
      <c r="C179" s="209"/>
      <c r="D179" s="209"/>
      <c r="E179" s="209"/>
      <c r="G179" s="207"/>
      <c r="H179" s="209"/>
    </row>
    <row r="180" spans="1:10" s="77" customFormat="1" x14ac:dyDescent="0.2">
      <c r="B180" s="84" t="str">
        <f>'OSNOVNI PODATKI'!$B$384</f>
        <v>PRIBITEK ZA PRENOVO</v>
      </c>
      <c r="C180" s="207"/>
      <c r="D180" s="83"/>
      <c r="E180" s="83"/>
      <c r="F180" s="310">
        <f>'OSNOVNI PODATKI'!F384</f>
        <v>0</v>
      </c>
      <c r="G180" s="207" t="str">
        <f>G129</f>
        <v>upošteva se v fazah od 1 do 4., samo za storitve projektiranja</v>
      </c>
      <c r="H180" s="207"/>
    </row>
    <row r="181" spans="1:10" x14ac:dyDescent="0.2">
      <c r="B181" s="84" t="str">
        <f>'OSNOVNI PODATKI'!B388</f>
        <v>BREZ NAČRTA UTOROV IN PREBOJEV V NAČRTIH INŠTALACIJ</v>
      </c>
      <c r="C181" s="207"/>
      <c r="D181" s="83"/>
      <c r="E181" s="83"/>
      <c r="F181" s="646" t="str">
        <f>IF('OSNOVNI PODATKI'!F388=TRUE,"DA","NE")</f>
        <v>DA</v>
      </c>
      <c r="G181" s="850" t="str">
        <f>G130</f>
        <v>če je opcija izbrana, se v fazi 2.4 EI, SI, TH upošteva odbitek 4 %</v>
      </c>
      <c r="H181" s="207"/>
    </row>
    <row r="182" spans="1:10" x14ac:dyDescent="0.2">
      <c r="B182" s="84" t="str">
        <f>'OSNOVNI PODATKI'!B389</f>
        <v>BREZ PREVERJANJA MONTAŽNIH IN DELAVNIŠKIH NAČRTOV V TEHNIČNIH NAČRTIH</v>
      </c>
      <c r="C182" s="207"/>
      <c r="D182" s="83"/>
      <c r="E182" s="83"/>
      <c r="F182" s="646" t="str">
        <f>IF('OSNOVNI PODATKI'!F389=TRUE,"DA","NE")</f>
        <v>DA</v>
      </c>
      <c r="G182" s="850" t="str">
        <f>G131</f>
        <v>če je opcija izbrana, se v fazi 2.4 EI, SI, TH upošteva odbitek 4 %</v>
      </c>
      <c r="H182" s="207"/>
    </row>
    <row r="183" spans="1:10" s="77" customFormat="1" x14ac:dyDescent="0.2">
      <c r="B183" s="296"/>
      <c r="D183" s="298"/>
      <c r="E183" s="298"/>
      <c r="F183" s="617"/>
    </row>
    <row r="184" spans="1:10" s="77" customFormat="1" x14ac:dyDescent="0.2">
      <c r="B184" s="204"/>
      <c r="D184" s="78"/>
      <c r="E184" s="78"/>
      <c r="F184" s="617"/>
    </row>
    <row r="185" spans="1:10" s="2" customFormat="1" x14ac:dyDescent="0.2">
      <c r="A185" s="77"/>
      <c r="B185" s="209"/>
      <c r="C185" s="209"/>
      <c r="D185" s="209"/>
      <c r="E185" s="209"/>
      <c r="F185" s="209"/>
      <c r="G185" s="209"/>
    </row>
    <row r="186" spans="1:10" s="13" customFormat="1" ht="14.25" x14ac:dyDescent="0.2">
      <c r="A186" s="211"/>
      <c r="B186" s="211"/>
      <c r="C186" s="211"/>
      <c r="D186" s="211"/>
      <c r="E186" s="211"/>
      <c r="F186" s="211"/>
      <c r="G186" s="211"/>
      <c r="H186" s="211"/>
    </row>
    <row r="187" spans="1:10" s="13" customFormat="1" ht="38.25" x14ac:dyDescent="0.2">
      <c r="A187" s="105"/>
      <c r="B187" s="106"/>
      <c r="C187" s="106"/>
      <c r="D187" s="106"/>
      <c r="E187" s="107" t="s">
        <v>25</v>
      </c>
      <c r="F187" s="299" t="s">
        <v>481</v>
      </c>
      <c r="G187" s="606" t="s">
        <v>57</v>
      </c>
      <c r="H187" s="108" t="s">
        <v>70</v>
      </c>
      <c r="I187" s="411" t="s">
        <v>907</v>
      </c>
      <c r="J187" s="411" t="s">
        <v>1087</v>
      </c>
    </row>
    <row r="188" spans="1:10" s="13" customFormat="1" ht="14.25" x14ac:dyDescent="0.2">
      <c r="A188" s="101" t="s">
        <v>29</v>
      </c>
      <c r="B188" s="102" t="s">
        <v>30</v>
      </c>
      <c r="C188" s="102"/>
      <c r="D188" s="102"/>
      <c r="E188" s="103"/>
      <c r="F188" s="103"/>
      <c r="G188" s="607"/>
      <c r="H188" s="104"/>
      <c r="J188" s="75"/>
    </row>
    <row r="189" spans="1:10" s="13" customFormat="1" ht="14.25" x14ac:dyDescent="0.2">
      <c r="A189" s="85" t="s">
        <v>31</v>
      </c>
      <c r="B189" s="97" t="s">
        <v>65</v>
      </c>
      <c r="C189" s="97"/>
      <c r="D189" s="97"/>
      <c r="E189" s="86"/>
      <c r="F189" s="86"/>
      <c r="G189" s="608"/>
      <c r="H189" s="87" t="str">
        <f>IF(J196=TRUE,G189*'VREDNOST NU'!#REF!,"")</f>
        <v/>
      </c>
      <c r="J189" s="75"/>
    </row>
    <row r="190" spans="1:10" ht="14.25" x14ac:dyDescent="0.2">
      <c r="A190" s="110" t="s">
        <v>32</v>
      </c>
      <c r="B190" s="111" t="s">
        <v>66</v>
      </c>
      <c r="C190" s="111"/>
      <c r="D190" s="111"/>
      <c r="E190" s="112"/>
      <c r="F190" s="112"/>
      <c r="G190" s="609"/>
      <c r="H190" s="91" t="str">
        <f>IF(J197=TRUE,G190*'VREDNOST NU'!#REF!,"")</f>
        <v/>
      </c>
      <c r="I190" s="13"/>
    </row>
    <row r="191" spans="1:10" x14ac:dyDescent="0.2">
      <c r="A191" s="109" t="s">
        <v>33</v>
      </c>
      <c r="B191" s="102" t="s">
        <v>34</v>
      </c>
      <c r="C191" s="102"/>
      <c r="D191" s="102"/>
      <c r="E191" s="103">
        <f>SUM(E192:E194)</f>
        <v>0.02</v>
      </c>
      <c r="F191" s="103">
        <f>SUM(F192:F194)</f>
        <v>0.02</v>
      </c>
      <c r="G191" s="613">
        <f>SUM(G192:G194)</f>
        <v>3.81</v>
      </c>
      <c r="H191" s="104">
        <f>SUM(H192:H194)</f>
        <v>209.55</v>
      </c>
      <c r="I191" s="125">
        <f>IFERROR(H191/'OSNOVNI PODATKI'!$E$332,0)</f>
        <v>0</v>
      </c>
      <c r="J191" s="125">
        <f>IFERROR(H191/'OSNOVNI PODATKI'!$E$335,0)</f>
        <v>0</v>
      </c>
    </row>
    <row r="192" spans="1:10" s="77" customFormat="1" ht="14.25" x14ac:dyDescent="0.2">
      <c r="A192" s="88" t="s">
        <v>35</v>
      </c>
      <c r="B192" s="96" t="s">
        <v>67</v>
      </c>
      <c r="C192" s="96"/>
      <c r="D192" s="96"/>
      <c r="E192" s="86">
        <v>0.01</v>
      </c>
      <c r="F192" s="86">
        <f>E192*(100%+$F$129)</f>
        <v>0.01</v>
      </c>
      <c r="G192" s="614">
        <f>F192*$F$177</f>
        <v>1.905</v>
      </c>
      <c r="H192" s="87">
        <f>+G192*'ARHIGRAM 6'!$I$16</f>
        <v>104.77500000000001</v>
      </c>
      <c r="I192" s="13"/>
    </row>
    <row r="193" spans="1:27" s="2" customFormat="1" ht="14.25" x14ac:dyDescent="0.2">
      <c r="A193" s="88" t="s">
        <v>36</v>
      </c>
      <c r="B193" s="96" t="s">
        <v>68</v>
      </c>
      <c r="C193" s="96"/>
      <c r="D193" s="96"/>
      <c r="E193" s="86">
        <v>0.01</v>
      </c>
      <c r="F193" s="86">
        <f>E193*(100%+$F$129)</f>
        <v>0.01</v>
      </c>
      <c r="G193" s="614">
        <f>F193*$F$177</f>
        <v>1.905</v>
      </c>
      <c r="H193" s="87">
        <f>+G193*'ARHIGRAM 6'!$I$16</f>
        <v>104.77500000000001</v>
      </c>
      <c r="I193" s="13"/>
    </row>
    <row r="194" spans="1:27" s="12" customFormat="1" ht="14.25" x14ac:dyDescent="0.25">
      <c r="A194" s="114" t="s">
        <v>37</v>
      </c>
      <c r="B194" s="115" t="s">
        <v>837</v>
      </c>
      <c r="C194" s="115"/>
      <c r="D194" s="115"/>
      <c r="E194" s="112">
        <v>0</v>
      </c>
      <c r="F194" s="112">
        <f>E194*(100%+$F$129)</f>
        <v>0</v>
      </c>
      <c r="G194" s="615">
        <f>F194*$F$177</f>
        <v>0</v>
      </c>
      <c r="H194" s="91">
        <f>+G194*'ARHIGRAM 6'!$I$16</f>
        <v>0</v>
      </c>
      <c r="I194" s="13"/>
    </row>
    <row r="195" spans="1:27" s="13" customFormat="1" ht="14.25" x14ac:dyDescent="0.25">
      <c r="A195" s="113">
        <v>2</v>
      </c>
      <c r="B195" s="102" t="s">
        <v>38</v>
      </c>
      <c r="C195" s="102"/>
      <c r="D195" s="102"/>
      <c r="E195" s="103">
        <f>SUM(E196:E201)</f>
        <v>0.57000000000000006</v>
      </c>
      <c r="F195" s="103">
        <f>SUM(F196:F201)</f>
        <v>0.49000000000000005</v>
      </c>
      <c r="G195" s="616">
        <f>SUM(G196:G201)</f>
        <v>93.345000000000013</v>
      </c>
      <c r="H195" s="104">
        <f>SUM(H196:H201)</f>
        <v>5133.9749999999995</v>
      </c>
      <c r="I195" s="125">
        <f>IFERROR(H195/'OSNOVNI PODATKI'!$E$332,0)</f>
        <v>0</v>
      </c>
      <c r="J195" s="125">
        <f>IFERROR(H195/'OSNOVNI PODATKI'!$E$335,0)</f>
        <v>0</v>
      </c>
      <c r="K195" s="12"/>
    </row>
    <row r="196" spans="1:27" s="13" customFormat="1" ht="14.25" x14ac:dyDescent="0.25">
      <c r="A196" s="88" t="s">
        <v>51</v>
      </c>
      <c r="B196" s="96" t="s">
        <v>94</v>
      </c>
      <c r="C196" s="96"/>
      <c r="D196" s="96"/>
      <c r="E196" s="99">
        <v>0.09</v>
      </c>
      <c r="F196" s="99">
        <f>E196*(100%+$F$129)</f>
        <v>0.09</v>
      </c>
      <c r="G196" s="614">
        <f>F196*$F$177</f>
        <v>17.145</v>
      </c>
      <c r="H196" s="87">
        <f>+G196*'ARHIGRAM 6'!$I$16</f>
        <v>942.97500000000002</v>
      </c>
      <c r="K196" s="12"/>
    </row>
    <row r="197" spans="1:27" s="13" customFormat="1" ht="14.25" x14ac:dyDescent="0.25">
      <c r="A197" s="89" t="s">
        <v>52</v>
      </c>
      <c r="B197" s="100" t="s">
        <v>737</v>
      </c>
      <c r="C197" s="100"/>
      <c r="D197" s="100"/>
      <c r="E197" s="99">
        <v>0.19</v>
      </c>
      <c r="F197" s="99">
        <f>E197*(100%+$F$129)</f>
        <v>0.19</v>
      </c>
      <c r="G197" s="614">
        <f>F197*$F$177</f>
        <v>36.195</v>
      </c>
      <c r="H197" s="87">
        <f>+G197*'ARHIGRAM 6'!$I$16</f>
        <v>1990.7249999999999</v>
      </c>
      <c r="K197" s="12"/>
    </row>
    <row r="198" spans="1:27" s="13" customFormat="1" ht="14.25" x14ac:dyDescent="0.25">
      <c r="A198" s="89" t="s">
        <v>53</v>
      </c>
      <c r="B198" s="100" t="s">
        <v>841</v>
      </c>
      <c r="C198" s="100"/>
      <c r="D198" s="100"/>
      <c r="E198" s="99"/>
      <c r="F198" s="99"/>
      <c r="G198" s="614"/>
      <c r="H198" s="87"/>
      <c r="K198" s="12"/>
    </row>
    <row r="199" spans="1:27" s="13" customFormat="1" ht="14.25" x14ac:dyDescent="0.25">
      <c r="A199" s="89" t="s">
        <v>95</v>
      </c>
      <c r="B199" s="100" t="s">
        <v>738</v>
      </c>
      <c r="C199" s="100"/>
      <c r="D199" s="100"/>
      <c r="E199" s="99">
        <v>0.22</v>
      </c>
      <c r="F199" s="99">
        <f>(E199+IF(F181="DA",-4%,0%)+IF(F182="DA",-4%,0%))*(100%+F180)</f>
        <v>0.13999999999999999</v>
      </c>
      <c r="G199" s="614">
        <f>F199*$F$177</f>
        <v>26.669999999999998</v>
      </c>
      <c r="H199" s="87">
        <f>+G199*'ARHIGRAM 6'!$I$16</f>
        <v>1466.85</v>
      </c>
      <c r="K199" s="12"/>
    </row>
    <row r="200" spans="1:27" s="13" customFormat="1" ht="14.25" x14ac:dyDescent="0.25">
      <c r="A200" s="89" t="s">
        <v>96</v>
      </c>
      <c r="B200" s="100" t="s">
        <v>838</v>
      </c>
      <c r="C200" s="100"/>
      <c r="D200" s="100"/>
      <c r="E200" s="99">
        <v>0.05</v>
      </c>
      <c r="F200" s="99">
        <f>E200*(100%+$F$129)</f>
        <v>0.05</v>
      </c>
      <c r="G200" s="614">
        <f>F200*$F$177</f>
        <v>9.5250000000000004</v>
      </c>
      <c r="H200" s="87">
        <f>+G200*'ARHIGRAM 6'!$I$16</f>
        <v>523.875</v>
      </c>
      <c r="K200" s="12"/>
    </row>
    <row r="201" spans="1:27" s="777" customFormat="1" ht="14.25" x14ac:dyDescent="0.25">
      <c r="A201" s="827"/>
      <c r="B201" s="828" t="s">
        <v>954</v>
      </c>
      <c r="C201" s="828"/>
      <c r="D201" s="828"/>
      <c r="E201" s="829">
        <v>0.02</v>
      </c>
      <c r="F201" s="848">
        <f>E201*(100%+$F$129)</f>
        <v>0.02</v>
      </c>
      <c r="G201" s="849">
        <f>F201*F177</f>
        <v>3.81</v>
      </c>
      <c r="H201" s="832">
        <f>+G201*$F$127</f>
        <v>209.55</v>
      </c>
      <c r="K201" s="12"/>
      <c r="L201" s="13"/>
      <c r="M201" s="13"/>
      <c r="N201" s="13"/>
      <c r="O201" s="13"/>
      <c r="P201" s="13"/>
      <c r="Q201" s="13"/>
      <c r="R201" s="13"/>
      <c r="S201" s="13"/>
      <c r="T201" s="13"/>
      <c r="U201" s="13"/>
      <c r="V201" s="13"/>
      <c r="W201" s="13"/>
      <c r="X201" s="13"/>
      <c r="Y201" s="13"/>
      <c r="Z201" s="13"/>
      <c r="AA201" s="13"/>
    </row>
    <row r="202" spans="1:27" s="13" customFormat="1" ht="14.25" x14ac:dyDescent="0.25">
      <c r="A202" s="116" t="s">
        <v>39</v>
      </c>
      <c r="B202" s="102" t="s">
        <v>121</v>
      </c>
      <c r="C202" s="102"/>
      <c r="D202" s="102"/>
      <c r="E202" s="103">
        <f>SUM(E203:E204)</f>
        <v>0.05</v>
      </c>
      <c r="F202" s="103">
        <f>SUM(F203:F204)</f>
        <v>0.05</v>
      </c>
      <c r="G202" s="613">
        <f>SUM(G203:G204)</f>
        <v>9.5250000000000004</v>
      </c>
      <c r="H202" s="104">
        <f>SUM(H203:H204)</f>
        <v>523.875</v>
      </c>
      <c r="I202" s="125">
        <f>IFERROR(H202/'OSNOVNI PODATKI'!$E$332,0)</f>
        <v>0</v>
      </c>
      <c r="J202" s="125">
        <f>IFERROR(H202/'OSNOVNI PODATKI'!$E$335,0)</f>
        <v>0</v>
      </c>
      <c r="K202" s="12"/>
    </row>
    <row r="203" spans="1:27" s="13" customFormat="1" ht="14.25" x14ac:dyDescent="0.25">
      <c r="A203" s="89" t="s">
        <v>40</v>
      </c>
      <c r="B203" s="95" t="s">
        <v>839</v>
      </c>
      <c r="C203" s="95"/>
      <c r="D203" s="95"/>
      <c r="E203" s="86">
        <v>0.03</v>
      </c>
      <c r="F203" s="86">
        <f>E203*(100%+$F$129)</f>
        <v>0.03</v>
      </c>
      <c r="G203" s="614">
        <f>F203*$F$177</f>
        <v>5.7149999999999999</v>
      </c>
      <c r="H203" s="87">
        <f>+G203*'ARHIGRAM 6'!$I$16</f>
        <v>314.32499999999999</v>
      </c>
      <c r="K203" s="12"/>
    </row>
    <row r="204" spans="1:27" s="13" customFormat="1" ht="14.25" x14ac:dyDescent="0.25">
      <c r="A204" s="117" t="s">
        <v>41</v>
      </c>
      <c r="B204" s="90" t="s">
        <v>201</v>
      </c>
      <c r="C204" s="90"/>
      <c r="D204" s="90"/>
      <c r="E204" s="112">
        <v>0.02</v>
      </c>
      <c r="F204" s="112">
        <f>E204*(100%+$F$129)</f>
        <v>0.02</v>
      </c>
      <c r="G204" s="615">
        <f>F204*$F$177</f>
        <v>3.81</v>
      </c>
      <c r="H204" s="91">
        <f>+G204*'ARHIGRAM 6'!$I$16</f>
        <v>209.55</v>
      </c>
      <c r="K204" s="12"/>
    </row>
    <row r="205" spans="1:27" s="13" customFormat="1" ht="14.25" x14ac:dyDescent="0.25">
      <c r="A205" s="120">
        <v>4</v>
      </c>
      <c r="B205" s="102" t="s">
        <v>60</v>
      </c>
      <c r="C205" s="102"/>
      <c r="D205" s="102"/>
      <c r="E205" s="103">
        <f>SUM(E206:E213)</f>
        <v>0.35000000000000009</v>
      </c>
      <c r="F205" s="103">
        <f>SUM(F206:F213)</f>
        <v>0.35000000000000009</v>
      </c>
      <c r="G205" s="613">
        <f>SUM(G206:G213)</f>
        <v>66.675000000000011</v>
      </c>
      <c r="H205" s="104">
        <f>SUM(H206:H213)</f>
        <v>3667.1250000000005</v>
      </c>
      <c r="I205" s="125">
        <f>IFERROR(H205/'OSNOVNI PODATKI'!$E$332,0)</f>
        <v>0</v>
      </c>
      <c r="J205" s="125">
        <f>IFERROR(H205/'OSNOVNI PODATKI'!$E$335,0)</f>
        <v>0</v>
      </c>
      <c r="K205" s="12"/>
    </row>
    <row r="206" spans="1:27" s="13" customFormat="1" ht="14.25" x14ac:dyDescent="0.2">
      <c r="A206" s="89" t="s">
        <v>42</v>
      </c>
      <c r="B206" s="95" t="s">
        <v>202</v>
      </c>
      <c r="C206" s="95"/>
      <c r="D206" s="95"/>
      <c r="E206" s="86">
        <v>0</v>
      </c>
      <c r="F206" s="86">
        <f t="shared" ref="F206:F213" si="2">E206*(100%+$F$129)</f>
        <v>0</v>
      </c>
      <c r="G206" s="614">
        <f t="shared" ref="G206:G213" si="3">F206*$F$177</f>
        <v>0</v>
      </c>
      <c r="H206" s="87">
        <f>+G206*'ARHIGRAM 6'!$I$16</f>
        <v>0</v>
      </c>
    </row>
    <row r="207" spans="1:27" s="13" customFormat="1" ht="14.25" x14ac:dyDescent="0.2">
      <c r="A207" s="89" t="s">
        <v>43</v>
      </c>
      <c r="B207" s="95" t="s">
        <v>858</v>
      </c>
      <c r="C207" s="95"/>
      <c r="D207" s="95"/>
      <c r="E207" s="86">
        <v>7.0000000000000007E-2</v>
      </c>
      <c r="F207" s="86">
        <f t="shared" si="2"/>
        <v>7.0000000000000007E-2</v>
      </c>
      <c r="G207" s="614">
        <f t="shared" si="3"/>
        <v>13.335000000000001</v>
      </c>
      <c r="H207" s="87">
        <f>+G207*'ARHIGRAM 6'!$I$16</f>
        <v>733.42500000000007</v>
      </c>
    </row>
    <row r="208" spans="1:27" s="777" customFormat="1" ht="14.25" x14ac:dyDescent="0.2">
      <c r="A208" s="772"/>
      <c r="B208" s="773" t="s">
        <v>502</v>
      </c>
      <c r="C208" s="773"/>
      <c r="D208" s="773"/>
      <c r="E208" s="771">
        <v>0.23</v>
      </c>
      <c r="F208" s="778">
        <f t="shared" si="2"/>
        <v>0.23</v>
      </c>
      <c r="G208" s="821">
        <f>F208*F177</f>
        <v>43.815000000000005</v>
      </c>
      <c r="H208" s="780">
        <f>+G208*$F$127</f>
        <v>2409.8250000000003</v>
      </c>
      <c r="K208" s="13"/>
      <c r="L208" s="13"/>
      <c r="M208" s="13"/>
      <c r="N208" s="13"/>
      <c r="O208" s="13"/>
      <c r="P208" s="13"/>
      <c r="Q208" s="13"/>
      <c r="R208" s="13"/>
      <c r="S208" s="13"/>
      <c r="T208" s="13"/>
      <c r="U208" s="13"/>
      <c r="V208" s="13"/>
      <c r="W208" s="13"/>
      <c r="X208" s="13"/>
      <c r="Y208" s="13"/>
      <c r="Z208" s="13"/>
      <c r="AA208" s="13"/>
    </row>
    <row r="209" spans="1:27" s="13" customFormat="1" ht="14.25" x14ac:dyDescent="0.2">
      <c r="A209" s="89" t="s">
        <v>44</v>
      </c>
      <c r="B209" s="95" t="s">
        <v>953</v>
      </c>
      <c r="C209" s="95"/>
      <c r="D209" s="95"/>
      <c r="E209" s="86">
        <v>6.0000000000000001E-3</v>
      </c>
      <c r="F209" s="86">
        <f t="shared" si="2"/>
        <v>6.0000000000000001E-3</v>
      </c>
      <c r="G209" s="614">
        <f t="shared" si="3"/>
        <v>1.143</v>
      </c>
      <c r="H209" s="87">
        <f>+G209*'ARHIGRAM 6'!$I$16</f>
        <v>62.865000000000002</v>
      </c>
    </row>
    <row r="210" spans="1:27" s="777" customFormat="1" ht="14.25" x14ac:dyDescent="0.2">
      <c r="A210" s="772"/>
      <c r="B210" s="773" t="s">
        <v>502</v>
      </c>
      <c r="C210" s="773"/>
      <c r="D210" s="773"/>
      <c r="E210" s="771">
        <v>4.0000000000000001E-3</v>
      </c>
      <c r="F210" s="778">
        <f t="shared" si="2"/>
        <v>4.0000000000000001E-3</v>
      </c>
      <c r="G210" s="821">
        <f>F210*F177</f>
        <v>0.76200000000000001</v>
      </c>
      <c r="H210" s="780">
        <f>+G210*$F$127</f>
        <v>41.910000000000004</v>
      </c>
      <c r="K210" s="13"/>
      <c r="L210" s="13"/>
      <c r="M210" s="13"/>
      <c r="N210" s="13"/>
      <c r="O210" s="13"/>
      <c r="P210" s="13"/>
      <c r="Q210" s="13"/>
      <c r="R210" s="13"/>
      <c r="S210" s="13"/>
      <c r="T210" s="13"/>
      <c r="U210" s="13"/>
      <c r="V210" s="13"/>
      <c r="W210" s="13"/>
      <c r="X210" s="13"/>
      <c r="Y210" s="13"/>
      <c r="Z210" s="13"/>
      <c r="AA210" s="13"/>
    </row>
    <row r="211" spans="1:27" s="13" customFormat="1" ht="14.25" x14ac:dyDescent="0.2">
      <c r="A211" s="89" t="s">
        <v>45</v>
      </c>
      <c r="B211" s="95" t="s">
        <v>859</v>
      </c>
      <c r="C211" s="95"/>
      <c r="D211" s="95"/>
      <c r="E211" s="86">
        <v>1.2E-2</v>
      </c>
      <c r="F211" s="86">
        <f t="shared" si="2"/>
        <v>1.2E-2</v>
      </c>
      <c r="G211" s="614">
        <f t="shared" si="3"/>
        <v>2.286</v>
      </c>
      <c r="H211" s="87">
        <f>+G211*'ARHIGRAM 6'!$I$16</f>
        <v>125.73</v>
      </c>
    </row>
    <row r="212" spans="1:27" s="777" customFormat="1" ht="14.25" x14ac:dyDescent="0.2">
      <c r="A212" s="772"/>
      <c r="B212" s="773" t="s">
        <v>502</v>
      </c>
      <c r="C212" s="773"/>
      <c r="D212" s="773"/>
      <c r="E212" s="771">
        <v>8.0000000000000002E-3</v>
      </c>
      <c r="F212" s="778">
        <f t="shared" si="2"/>
        <v>8.0000000000000002E-3</v>
      </c>
      <c r="G212" s="821">
        <f>F212*F177</f>
        <v>1.524</v>
      </c>
      <c r="H212" s="780">
        <f>+G212*$F$127</f>
        <v>83.820000000000007</v>
      </c>
      <c r="K212" s="13"/>
      <c r="L212" s="13"/>
      <c r="M212" s="13"/>
      <c r="N212" s="13"/>
      <c r="O212" s="13"/>
      <c r="P212" s="13"/>
      <c r="Q212" s="13"/>
      <c r="R212" s="13"/>
      <c r="S212" s="13"/>
      <c r="T212" s="13"/>
      <c r="U212" s="13"/>
      <c r="V212" s="13"/>
      <c r="W212" s="13"/>
      <c r="X212" s="13"/>
      <c r="Y212" s="13"/>
      <c r="Z212" s="13"/>
      <c r="AA212" s="13"/>
    </row>
    <row r="213" spans="1:27" s="13" customFormat="1" ht="14.25" x14ac:dyDescent="0.2">
      <c r="A213" s="117" t="s">
        <v>46</v>
      </c>
      <c r="B213" s="90" t="s">
        <v>840</v>
      </c>
      <c r="C213" s="90"/>
      <c r="D213" s="90"/>
      <c r="E213" s="112">
        <v>0.02</v>
      </c>
      <c r="F213" s="112">
        <f t="shared" si="2"/>
        <v>0.02</v>
      </c>
      <c r="G213" s="615">
        <f t="shared" si="3"/>
        <v>3.81</v>
      </c>
      <c r="H213" s="91">
        <f>+G213*'ARHIGRAM 6'!$I$16</f>
        <v>209.55</v>
      </c>
    </row>
    <row r="214" spans="1:27" s="13" customFormat="1" ht="14.25" x14ac:dyDescent="0.2">
      <c r="A214" s="121">
        <v>5</v>
      </c>
      <c r="B214" s="102" t="s">
        <v>47</v>
      </c>
      <c r="C214" s="102"/>
      <c r="D214" s="102"/>
      <c r="E214" s="103">
        <f>SUM(E215:E216)</f>
        <v>0.01</v>
      </c>
      <c r="F214" s="103">
        <f>SUM(F215:F216)</f>
        <v>0.01</v>
      </c>
      <c r="G214" s="613">
        <f>SUM(G215:G216)</f>
        <v>1.905</v>
      </c>
      <c r="H214" s="104">
        <f>SUM(H215:H216)</f>
        <v>104.77500000000001</v>
      </c>
      <c r="I214" s="125">
        <f>IFERROR(H214/'OSNOVNI PODATKI'!$E$332,0)</f>
        <v>0</v>
      </c>
      <c r="J214" s="125">
        <f>IFERROR(H214/'OSNOVNI PODATKI'!$E$335,0)</f>
        <v>0</v>
      </c>
    </row>
    <row r="215" spans="1:27" s="13" customFormat="1" ht="14.25" x14ac:dyDescent="0.2">
      <c r="A215" s="89" t="s">
        <v>48</v>
      </c>
      <c r="B215" s="98" t="s">
        <v>204</v>
      </c>
      <c r="C215" s="98"/>
      <c r="D215" s="98"/>
      <c r="E215" s="86">
        <v>5.0000000000000001E-3</v>
      </c>
      <c r="F215" s="86">
        <f>E215*(100%+$F$129)</f>
        <v>5.0000000000000001E-3</v>
      </c>
      <c r="G215" s="614">
        <f>F215*$F$177</f>
        <v>0.95250000000000001</v>
      </c>
      <c r="H215" s="87">
        <f>+G215*'ARHIGRAM 6'!$I$16</f>
        <v>52.387500000000003</v>
      </c>
    </row>
    <row r="216" spans="1:27" s="13" customFormat="1" ht="14.25" x14ac:dyDescent="0.2">
      <c r="A216" s="117" t="s">
        <v>49</v>
      </c>
      <c r="B216" s="123" t="s">
        <v>205</v>
      </c>
      <c r="C216" s="123"/>
      <c r="D216" s="123"/>
      <c r="E216" s="112">
        <v>5.0000000000000001E-3</v>
      </c>
      <c r="F216" s="112">
        <f>E216*(100%+$F$129)</f>
        <v>5.0000000000000001E-3</v>
      </c>
      <c r="G216" s="615">
        <f>F216*$F$177</f>
        <v>0.95250000000000001</v>
      </c>
      <c r="H216" s="91">
        <f>+G216*'ARHIGRAM 6'!$I$16</f>
        <v>52.387500000000003</v>
      </c>
    </row>
    <row r="217" spans="1:27" s="13" customFormat="1" ht="14.25" x14ac:dyDescent="0.2">
      <c r="A217" s="122">
        <v>6</v>
      </c>
      <c r="B217" s="102" t="s">
        <v>50</v>
      </c>
      <c r="C217" s="102"/>
      <c r="D217" s="102"/>
      <c r="E217" s="103"/>
      <c r="F217" s="103"/>
      <c r="G217" s="607"/>
      <c r="H217" s="104"/>
    </row>
    <row r="218" spans="1:27" s="13" customFormat="1" ht="14.25" x14ac:dyDescent="0.2">
      <c r="A218" s="89" t="s">
        <v>54</v>
      </c>
      <c r="B218" s="98" t="s">
        <v>206</v>
      </c>
      <c r="C218" s="98"/>
      <c r="D218" s="98"/>
      <c r="E218" s="86"/>
      <c r="F218" s="86"/>
      <c r="G218" s="608"/>
      <c r="H218" s="87"/>
    </row>
    <row r="219" spans="1:27" s="13" customFormat="1" ht="14.25" x14ac:dyDescent="0.2">
      <c r="A219" s="89" t="s">
        <v>55</v>
      </c>
      <c r="B219" s="98" t="s">
        <v>207</v>
      </c>
      <c r="C219" s="98"/>
      <c r="D219" s="98"/>
      <c r="E219" s="86"/>
      <c r="F219" s="86"/>
      <c r="G219" s="608"/>
      <c r="H219" s="87"/>
    </row>
    <row r="220" spans="1:27" s="13" customFormat="1" ht="14.25" x14ac:dyDescent="0.2">
      <c r="A220" s="117" t="s">
        <v>56</v>
      </c>
      <c r="B220" s="123" t="s">
        <v>208</v>
      </c>
      <c r="C220" s="123"/>
      <c r="D220" s="123"/>
      <c r="E220" s="112"/>
      <c r="F220" s="112"/>
      <c r="G220" s="609"/>
      <c r="H220" s="91"/>
    </row>
    <row r="221" spans="1:27" s="13" customFormat="1" ht="14.25" x14ac:dyDescent="0.2">
      <c r="A221" s="287"/>
      <c r="B221" s="288"/>
      <c r="C221" s="288"/>
      <c r="D221" s="288"/>
      <c r="E221" s="289"/>
      <c r="F221" s="94"/>
      <c r="G221" s="612"/>
      <c r="H221" s="290"/>
    </row>
    <row r="222" spans="1:27" s="13" customFormat="1" ht="14.25" x14ac:dyDescent="0.2">
      <c r="A222" s="126"/>
      <c r="B222" s="127" t="s">
        <v>1</v>
      </c>
      <c r="C222" s="127"/>
      <c r="D222" s="127"/>
      <c r="E222" s="128">
        <f>E188+E191+E195+E202+E205+E214+E217</f>
        <v>1.0000000000000002</v>
      </c>
      <c r="F222" s="128">
        <f>F188+F191+F195+F202+F205+F214+F217</f>
        <v>0.92000000000000015</v>
      </c>
      <c r="G222" s="611">
        <f>G188+G191+G195+G202+G205+G214+G217</f>
        <v>175.26000000000002</v>
      </c>
      <c r="H222" s="129">
        <f>H188+H191+H195+H202+H205+H214+H217</f>
        <v>9639.2999999999993</v>
      </c>
      <c r="I222" s="125">
        <f>IFERROR(H222/'OSNOVNI PODATKI'!$E$332,0)</f>
        <v>0</v>
      </c>
      <c r="J222" s="125">
        <f>IFERROR(H222/'OSNOVNI PODATKI'!$E$335,0)</f>
        <v>0</v>
      </c>
    </row>
    <row r="223" spans="1:27" s="13" customFormat="1" ht="14.25" x14ac:dyDescent="0.2">
      <c r="A223" s="29"/>
      <c r="B223" s="124"/>
      <c r="E223" s="30"/>
      <c r="G223" s="30"/>
      <c r="H223" s="125"/>
    </row>
    <row r="224" spans="1:27" s="13" customFormat="1" ht="14.25" x14ac:dyDescent="0.2">
      <c r="A224" s="29"/>
      <c r="B224" s="124"/>
      <c r="E224" s="30"/>
      <c r="G224" s="30"/>
      <c r="H224" s="125"/>
    </row>
    <row r="225" spans="1:10" s="13" customFormat="1" ht="15" thickBot="1" x14ac:dyDescent="0.25"/>
    <row r="226" spans="1:10" s="13" customFormat="1" ht="18.75" x14ac:dyDescent="0.2">
      <c r="A226" s="807" t="s">
        <v>1088</v>
      </c>
      <c r="B226" s="807"/>
      <c r="C226" s="807"/>
      <c r="D226" s="807"/>
      <c r="E226" s="807"/>
      <c r="F226" s="807"/>
      <c r="G226" s="807"/>
      <c r="H226" s="807"/>
      <c r="I226" s="807"/>
      <c r="J226" s="807"/>
    </row>
    <row r="227" spans="1:10" s="77" customFormat="1" x14ac:dyDescent="0.2">
      <c r="A227" s="209"/>
      <c r="B227" s="209"/>
      <c r="C227" s="729"/>
      <c r="D227" s="729"/>
      <c r="E227" s="729"/>
      <c r="F227" s="626"/>
      <c r="G227" s="729"/>
      <c r="H227" s="729"/>
    </row>
    <row r="228" spans="1:10" s="77" customFormat="1" x14ac:dyDescent="0.2">
      <c r="A228" s="209"/>
      <c r="B228" s="84" t="s">
        <v>868</v>
      </c>
      <c r="C228" s="209"/>
      <c r="D228" s="209"/>
      <c r="E228" s="209"/>
      <c r="F228" s="496">
        <f>'OSNOVNI PODATKI'!G375</f>
        <v>32</v>
      </c>
      <c r="G228" s="207"/>
      <c r="H228" s="209"/>
    </row>
    <row r="229" spans="1:10" s="77" customFormat="1" x14ac:dyDescent="0.2">
      <c r="A229" s="209"/>
      <c r="B229" s="84" t="s">
        <v>869</v>
      </c>
      <c r="C229" s="207"/>
      <c r="D229" s="83"/>
      <c r="E229" s="83"/>
      <c r="F229" s="482">
        <f>'ARHIGRAM 6'!$I$16</f>
        <v>55</v>
      </c>
      <c r="G229" s="207"/>
      <c r="H229" s="207"/>
    </row>
    <row r="230" spans="1:10" s="77" customFormat="1" x14ac:dyDescent="0.2">
      <c r="A230" s="209"/>
      <c r="B230" s="209"/>
      <c r="C230" s="209"/>
      <c r="D230" s="209"/>
      <c r="E230" s="209"/>
      <c r="H230" s="209"/>
    </row>
    <row r="231" spans="1:10" s="77" customFormat="1" x14ac:dyDescent="0.2">
      <c r="B231" s="84" t="str">
        <f>'OSNOVNI PODATKI'!B384</f>
        <v>PRIBITEK ZA PRENOVO</v>
      </c>
      <c r="C231" s="207"/>
      <c r="D231" s="83"/>
      <c r="E231" s="83"/>
      <c r="F231" s="310">
        <f>'OSNOVNI PODATKI'!F384</f>
        <v>0</v>
      </c>
      <c r="G231" s="207" t="str">
        <f>$G$180</f>
        <v>upošteva se v fazah od 1 do 4., samo za storitve projektiranja</v>
      </c>
      <c r="H231" s="207"/>
    </row>
    <row r="232" spans="1:10" s="77" customFormat="1" x14ac:dyDescent="0.2">
      <c r="B232" s="1323" t="str">
        <f>'OSNOVNI PODATKI'!B389</f>
        <v>BREZ PREVERJANJA MONTAŽNIH IN DELAVNIŠKIH NAČRTOV V TEHNIČNIH NAČRTIH</v>
      </c>
      <c r="C232" s="1323"/>
      <c r="D232" s="1323"/>
      <c r="E232" s="1323"/>
      <c r="F232" s="646" t="str">
        <f>IF('OSNOVNI PODATKI'!F389=TRUE,"DA","NE")</f>
        <v>DA</v>
      </c>
      <c r="G232" s="207" t="str">
        <f>$G$182</f>
        <v>če je opcija izbrana, se v fazi 2.4 EI, SI, TH upošteva odbitek 4 %</v>
      </c>
      <c r="H232" s="207"/>
    </row>
    <row r="233" spans="1:10" s="2" customFormat="1" x14ac:dyDescent="0.2">
      <c r="A233" s="77"/>
      <c r="B233" s="209"/>
      <c r="C233" s="209"/>
      <c r="D233" s="209"/>
      <c r="E233" s="209"/>
      <c r="F233" s="209"/>
      <c r="G233" s="209"/>
    </row>
    <row r="234" spans="1:10" s="13" customFormat="1" ht="14.25" x14ac:dyDescent="0.2">
      <c r="A234" s="211"/>
      <c r="B234" s="211"/>
      <c r="C234" s="211"/>
      <c r="D234" s="211"/>
      <c r="E234" s="211"/>
      <c r="F234" s="211"/>
      <c r="G234" s="211"/>
      <c r="H234" s="211"/>
    </row>
    <row r="235" spans="1:10" s="13" customFormat="1" ht="38.25" x14ac:dyDescent="0.2">
      <c r="A235" s="105"/>
      <c r="B235" s="106"/>
      <c r="C235" s="106"/>
      <c r="D235" s="106"/>
      <c r="E235" s="107" t="s">
        <v>25</v>
      </c>
      <c r="F235" s="299" t="s">
        <v>481</v>
      </c>
      <c r="G235" s="606" t="s">
        <v>57</v>
      </c>
      <c r="H235" s="108" t="s">
        <v>70</v>
      </c>
      <c r="I235" s="411" t="s">
        <v>907</v>
      </c>
      <c r="J235" s="411" t="s">
        <v>935</v>
      </c>
    </row>
    <row r="236" spans="1:10" s="13" customFormat="1" ht="14.25" x14ac:dyDescent="0.2">
      <c r="A236" s="101" t="s">
        <v>29</v>
      </c>
      <c r="B236" s="102" t="s">
        <v>30</v>
      </c>
      <c r="C236" s="102"/>
      <c r="D236" s="102"/>
      <c r="E236" s="103"/>
      <c r="F236" s="103"/>
      <c r="G236" s="607"/>
      <c r="H236" s="104"/>
      <c r="J236" s="75"/>
    </row>
    <row r="237" spans="1:10" s="13" customFormat="1" ht="14.25" x14ac:dyDescent="0.2">
      <c r="A237" s="85" t="s">
        <v>31</v>
      </c>
      <c r="B237" s="97" t="s">
        <v>65</v>
      </c>
      <c r="C237" s="97"/>
      <c r="D237" s="97"/>
      <c r="E237" s="86"/>
      <c r="F237" s="86"/>
      <c r="G237" s="608"/>
      <c r="H237" s="87" t="str">
        <f>IF(J244=TRUE,G237*'VREDNOST NU'!#REF!,"")</f>
        <v/>
      </c>
      <c r="J237" s="75"/>
    </row>
    <row r="238" spans="1:10" ht="14.25" x14ac:dyDescent="0.2">
      <c r="A238" s="110" t="s">
        <v>32</v>
      </c>
      <c r="B238" s="111" t="s">
        <v>66</v>
      </c>
      <c r="C238" s="111"/>
      <c r="D238" s="111"/>
      <c r="E238" s="112"/>
      <c r="F238" s="112"/>
      <c r="G238" s="609"/>
      <c r="H238" s="91" t="str">
        <f>IF(J245=TRUE,G238*'VREDNOST NU'!#REF!,"")</f>
        <v/>
      </c>
      <c r="I238" s="13"/>
    </row>
    <row r="239" spans="1:10" x14ac:dyDescent="0.2">
      <c r="A239" s="109" t="s">
        <v>33</v>
      </c>
      <c r="B239" s="102" t="s">
        <v>34</v>
      </c>
      <c r="C239" s="102"/>
      <c r="D239" s="102"/>
      <c r="E239" s="103">
        <f>SUM(E240:E242)</f>
        <v>0.02</v>
      </c>
      <c r="F239" s="103">
        <f>SUM(F240:F242)</f>
        <v>0.02</v>
      </c>
      <c r="G239" s="613">
        <f>SUM(G240:G242)</f>
        <v>0.64</v>
      </c>
      <c r="H239" s="104">
        <f>SUM(H240:H242)</f>
        <v>35.200000000000003</v>
      </c>
      <c r="I239" s="125">
        <f>IFERROR(H239/'OSNOVNI PODATKI'!$E$332,0)</f>
        <v>0</v>
      </c>
      <c r="J239" s="125">
        <f>IFERROR(H239/'OSNOVNI PODATKI'!$E$336,0)</f>
        <v>0</v>
      </c>
    </row>
    <row r="240" spans="1:10" s="77" customFormat="1" ht="14.25" x14ac:dyDescent="0.2">
      <c r="A240" s="88" t="s">
        <v>35</v>
      </c>
      <c r="B240" s="96" t="s">
        <v>67</v>
      </c>
      <c r="C240" s="96"/>
      <c r="D240" s="96"/>
      <c r="E240" s="86">
        <v>0.01</v>
      </c>
      <c r="F240" s="86">
        <f>E240*(100%+$F$231)</f>
        <v>0.01</v>
      </c>
      <c r="G240" s="614">
        <f>F240*$F$228</f>
        <v>0.32</v>
      </c>
      <c r="H240" s="87">
        <f>+G240*'ARHIGRAM 6'!$I$16</f>
        <v>17.600000000000001</v>
      </c>
      <c r="I240" s="13"/>
    </row>
    <row r="241" spans="1:27" s="2" customFormat="1" ht="14.25" x14ac:dyDescent="0.2">
      <c r="A241" s="88" t="s">
        <v>36</v>
      </c>
      <c r="B241" s="96" t="s">
        <v>68</v>
      </c>
      <c r="C241" s="96"/>
      <c r="D241" s="96"/>
      <c r="E241" s="86">
        <v>0.01</v>
      </c>
      <c r="F241" s="86">
        <f>E241*(100%+$F$231)</f>
        <v>0.01</v>
      </c>
      <c r="G241" s="614">
        <f>F241*$F$228</f>
        <v>0.32</v>
      </c>
      <c r="H241" s="87">
        <f>+G241*'ARHIGRAM 6'!$I$16</f>
        <v>17.600000000000001</v>
      </c>
      <c r="I241" s="13"/>
    </row>
    <row r="242" spans="1:27" s="12" customFormat="1" ht="14.25" x14ac:dyDescent="0.25">
      <c r="A242" s="114" t="s">
        <v>37</v>
      </c>
      <c r="B242" s="115" t="s">
        <v>837</v>
      </c>
      <c r="C242" s="115"/>
      <c r="D242" s="115"/>
      <c r="E242" s="112"/>
      <c r="F242" s="112"/>
      <c r="G242" s="615"/>
      <c r="H242" s="91"/>
      <c r="I242" s="13"/>
    </row>
    <row r="243" spans="1:27" s="13" customFormat="1" ht="14.25" x14ac:dyDescent="0.2">
      <c r="A243" s="113">
        <v>2</v>
      </c>
      <c r="B243" s="102" t="s">
        <v>38</v>
      </c>
      <c r="C243" s="102"/>
      <c r="D243" s="102"/>
      <c r="E243" s="103">
        <f>SUM(E244:E249)</f>
        <v>0.57000000000000006</v>
      </c>
      <c r="F243" s="103">
        <f>SUM(F244:F249)</f>
        <v>0.53</v>
      </c>
      <c r="G243" s="616">
        <f>SUM(G244:G249)</f>
        <v>16.96</v>
      </c>
      <c r="H243" s="104">
        <f>SUM(H244:H249)</f>
        <v>932.8</v>
      </c>
      <c r="I243" s="125">
        <f>IFERROR(H243/'OSNOVNI PODATKI'!$E$332,0)</f>
        <v>0</v>
      </c>
      <c r="J243" s="125">
        <f>IFERROR(H243/'OSNOVNI PODATKI'!$E$336,0)</f>
        <v>0</v>
      </c>
    </row>
    <row r="244" spans="1:27" s="13" customFormat="1" ht="14.25" x14ac:dyDescent="0.2">
      <c r="A244" s="88" t="s">
        <v>51</v>
      </c>
      <c r="B244" s="96" t="s">
        <v>94</v>
      </c>
      <c r="C244" s="96"/>
      <c r="D244" s="96"/>
      <c r="E244" s="99">
        <v>0.09</v>
      </c>
      <c r="F244" s="86">
        <f>E244*(100%+$F$231)</f>
        <v>0.09</v>
      </c>
      <c r="G244" s="614">
        <f>F244*$F$228</f>
        <v>2.88</v>
      </c>
      <c r="H244" s="87">
        <f>+G244*'ARHIGRAM 6'!$I$16</f>
        <v>158.4</v>
      </c>
    </row>
    <row r="245" spans="1:27" s="13" customFormat="1" ht="14.25" x14ac:dyDescent="0.2">
      <c r="A245" s="89" t="s">
        <v>52</v>
      </c>
      <c r="B245" s="100" t="s">
        <v>737</v>
      </c>
      <c r="C245" s="100"/>
      <c r="D245" s="100"/>
      <c r="E245" s="99">
        <v>0.19</v>
      </c>
      <c r="F245" s="86">
        <f>E245*(100%+$F$231)</f>
        <v>0.19</v>
      </c>
      <c r="G245" s="614">
        <f>F245*$F$228</f>
        <v>6.08</v>
      </c>
      <c r="H245" s="87">
        <f>+G245*'ARHIGRAM 6'!$I$16</f>
        <v>334.4</v>
      </c>
    </row>
    <row r="246" spans="1:27" s="13" customFormat="1" ht="14.25" x14ac:dyDescent="0.2">
      <c r="A246" s="89" t="s">
        <v>53</v>
      </c>
      <c r="B246" s="100" t="s">
        <v>841</v>
      </c>
      <c r="C246" s="100"/>
      <c r="D246" s="100"/>
      <c r="E246" s="99"/>
      <c r="F246" s="99"/>
      <c r="G246" s="614"/>
      <c r="H246" s="87"/>
    </row>
    <row r="247" spans="1:27" s="13" customFormat="1" ht="14.25" x14ac:dyDescent="0.2">
      <c r="A247" s="89" t="s">
        <v>95</v>
      </c>
      <c r="B247" s="100" t="s">
        <v>738</v>
      </c>
      <c r="C247" s="100"/>
      <c r="D247" s="100"/>
      <c r="E247" s="99">
        <v>0.22</v>
      </c>
      <c r="F247" s="99">
        <f>(E247+IF(F232="DA",-4%,0%))*(100%+F231)</f>
        <v>0.18</v>
      </c>
      <c r="G247" s="614">
        <f>F247*$F$228</f>
        <v>5.76</v>
      </c>
      <c r="H247" s="87">
        <f>+G247*'ARHIGRAM 6'!$I$16</f>
        <v>316.8</v>
      </c>
    </row>
    <row r="248" spans="1:27" s="13" customFormat="1" ht="14.25" x14ac:dyDescent="0.2">
      <c r="A248" s="89" t="s">
        <v>96</v>
      </c>
      <c r="B248" s="100" t="s">
        <v>838</v>
      </c>
      <c r="C248" s="100"/>
      <c r="D248" s="100"/>
      <c r="E248" s="99">
        <v>0.05</v>
      </c>
      <c r="F248" s="99">
        <f>E248*(100%+$F$231)</f>
        <v>0.05</v>
      </c>
      <c r="G248" s="614">
        <f>F248*$F$228</f>
        <v>1.6</v>
      </c>
      <c r="H248" s="87">
        <f>+G248*'ARHIGRAM 6'!$I$16</f>
        <v>88</v>
      </c>
    </row>
    <row r="249" spans="1:27" s="777" customFormat="1" ht="14.25" x14ac:dyDescent="0.2">
      <c r="A249" s="827"/>
      <c r="B249" s="828" t="s">
        <v>954</v>
      </c>
      <c r="C249" s="828"/>
      <c r="D249" s="828"/>
      <c r="E249" s="829">
        <v>0.02</v>
      </c>
      <c r="F249" s="848">
        <f>E249*(100%+$F$231)</f>
        <v>0.02</v>
      </c>
      <c r="G249" s="849">
        <f>F249*F228</f>
        <v>0.64</v>
      </c>
      <c r="H249" s="832">
        <f>+G249*$F$127</f>
        <v>35.200000000000003</v>
      </c>
      <c r="K249" s="13"/>
      <c r="L249" s="13"/>
      <c r="M249" s="13"/>
      <c r="N249" s="13"/>
      <c r="O249" s="13"/>
      <c r="P249" s="13"/>
      <c r="Q249" s="13"/>
      <c r="R249" s="13"/>
      <c r="S249" s="13"/>
      <c r="T249" s="13"/>
      <c r="U249" s="13"/>
      <c r="V249" s="13"/>
      <c r="W249" s="13"/>
      <c r="X249" s="13"/>
      <c r="Y249" s="13"/>
      <c r="Z249" s="13"/>
      <c r="AA249" s="13"/>
    </row>
    <row r="250" spans="1:27" s="13" customFormat="1" ht="14.25" x14ac:dyDescent="0.2">
      <c r="A250" s="116" t="s">
        <v>39</v>
      </c>
      <c r="B250" s="102" t="s">
        <v>121</v>
      </c>
      <c r="C250" s="102"/>
      <c r="D250" s="102"/>
      <c r="E250" s="103">
        <f>SUM(E251:E252)</f>
        <v>0.05</v>
      </c>
      <c r="F250" s="103">
        <f>SUM(F251:F252)</f>
        <v>0.05</v>
      </c>
      <c r="G250" s="613">
        <f>SUM(G251:G252)</f>
        <v>1.6</v>
      </c>
      <c r="H250" s="104">
        <f>SUM(H251:H252)</f>
        <v>88</v>
      </c>
      <c r="I250" s="125">
        <f>IFERROR(H250/'OSNOVNI PODATKI'!$E$332,0)</f>
        <v>0</v>
      </c>
      <c r="J250" s="125">
        <f>IFERROR(H250/'OSNOVNI PODATKI'!$E$336,0)</f>
        <v>0</v>
      </c>
    </row>
    <row r="251" spans="1:27" s="13" customFormat="1" ht="14.25" x14ac:dyDescent="0.2">
      <c r="A251" s="89" t="s">
        <v>40</v>
      </c>
      <c r="B251" s="95" t="s">
        <v>839</v>
      </c>
      <c r="C251" s="95"/>
      <c r="D251" s="95"/>
      <c r="E251" s="86">
        <v>0.03</v>
      </c>
      <c r="F251" s="86">
        <f>E251*(100%+$F$231)</f>
        <v>0.03</v>
      </c>
      <c r="G251" s="614">
        <f>F251*$F$228</f>
        <v>0.96</v>
      </c>
      <c r="H251" s="87">
        <f>+G251*'ARHIGRAM 6'!$I$16</f>
        <v>52.8</v>
      </c>
    </row>
    <row r="252" spans="1:27" s="13" customFormat="1" ht="14.25" x14ac:dyDescent="0.2">
      <c r="A252" s="117" t="s">
        <v>41</v>
      </c>
      <c r="B252" s="90" t="s">
        <v>201</v>
      </c>
      <c r="C252" s="90"/>
      <c r="D252" s="90"/>
      <c r="E252" s="112">
        <v>0.02</v>
      </c>
      <c r="F252" s="112">
        <f>E252*(100%+$F$231)</f>
        <v>0.02</v>
      </c>
      <c r="G252" s="615">
        <f>F252*$F$228</f>
        <v>0.64</v>
      </c>
      <c r="H252" s="91">
        <f>+G252*'ARHIGRAM 6'!$I$16</f>
        <v>35.200000000000003</v>
      </c>
    </row>
    <row r="253" spans="1:27" s="13" customFormat="1" ht="14.25" x14ac:dyDescent="0.2">
      <c r="A253" s="120">
        <v>4</v>
      </c>
      <c r="B253" s="102" t="s">
        <v>60</v>
      </c>
      <c r="C253" s="102"/>
      <c r="D253" s="102"/>
      <c r="E253" s="103">
        <f>SUM(E254:E261)</f>
        <v>0.35000000000000009</v>
      </c>
      <c r="F253" s="103">
        <f>SUM(F254:F261)</f>
        <v>0.35000000000000009</v>
      </c>
      <c r="G253" s="613">
        <f>SUM(G254:G261)</f>
        <v>11.200000000000003</v>
      </c>
      <c r="H253" s="104">
        <f>SUM(H254:H261)</f>
        <v>616</v>
      </c>
      <c r="I253" s="125">
        <f>IFERROR(H253/'OSNOVNI PODATKI'!$E$332,0)</f>
        <v>0</v>
      </c>
      <c r="J253" s="125">
        <f>IFERROR(H253/'OSNOVNI PODATKI'!$E$336,0)</f>
        <v>0</v>
      </c>
    </row>
    <row r="254" spans="1:27" s="13" customFormat="1" ht="14.25" x14ac:dyDescent="0.2">
      <c r="A254" s="89" t="s">
        <v>42</v>
      </c>
      <c r="B254" s="95" t="s">
        <v>202</v>
      </c>
      <c r="C254" s="95"/>
      <c r="D254" s="95"/>
      <c r="E254" s="86"/>
      <c r="F254" s="86"/>
      <c r="G254" s="614"/>
      <c r="H254" s="87"/>
    </row>
    <row r="255" spans="1:27" s="13" customFormat="1" ht="14.25" x14ac:dyDescent="0.2">
      <c r="A255" s="89" t="s">
        <v>43</v>
      </c>
      <c r="B255" s="95" t="s">
        <v>858</v>
      </c>
      <c r="C255" s="95"/>
      <c r="D255" s="95"/>
      <c r="E255" s="86">
        <v>7.0000000000000007E-2</v>
      </c>
      <c r="F255" s="86">
        <f t="shared" ref="F255:F261" si="4">E255*(100%+$F$231)</f>
        <v>7.0000000000000007E-2</v>
      </c>
      <c r="G255" s="614">
        <f t="shared" ref="G255:G261" si="5">F255*$F$228</f>
        <v>2.2400000000000002</v>
      </c>
      <c r="H255" s="87">
        <f>+G255*'ARHIGRAM 6'!$I$16</f>
        <v>123.20000000000002</v>
      </c>
    </row>
    <row r="256" spans="1:27" s="777" customFormat="1" ht="14.25" x14ac:dyDescent="0.2">
      <c r="A256" s="772"/>
      <c r="B256" s="773" t="s">
        <v>502</v>
      </c>
      <c r="C256" s="773"/>
      <c r="D256" s="773"/>
      <c r="E256" s="771">
        <v>0.23</v>
      </c>
      <c r="F256" s="778">
        <f t="shared" si="4"/>
        <v>0.23</v>
      </c>
      <c r="G256" s="821">
        <f>F256*F228</f>
        <v>7.36</v>
      </c>
      <c r="H256" s="780">
        <f>+G256*$F$127</f>
        <v>404.8</v>
      </c>
      <c r="K256" s="13"/>
      <c r="L256" s="13"/>
      <c r="M256" s="13"/>
      <c r="N256" s="13"/>
      <c r="O256" s="13"/>
      <c r="P256" s="13"/>
      <c r="Q256" s="13"/>
      <c r="R256" s="13"/>
      <c r="S256" s="13"/>
      <c r="T256" s="13"/>
      <c r="U256" s="13"/>
      <c r="V256" s="13"/>
      <c r="W256" s="13"/>
      <c r="X256" s="13"/>
      <c r="Y256" s="13"/>
      <c r="Z256" s="13"/>
      <c r="AA256" s="13"/>
    </row>
    <row r="257" spans="1:27" s="13" customFormat="1" ht="14.25" x14ac:dyDescent="0.2">
      <c r="A257" s="89" t="s">
        <v>44</v>
      </c>
      <c r="B257" s="95" t="s">
        <v>953</v>
      </c>
      <c r="C257" s="95"/>
      <c r="D257" s="95"/>
      <c r="E257" s="86">
        <v>6.0000000000000001E-3</v>
      </c>
      <c r="F257" s="86">
        <f t="shared" si="4"/>
        <v>6.0000000000000001E-3</v>
      </c>
      <c r="G257" s="614">
        <f t="shared" si="5"/>
        <v>0.192</v>
      </c>
      <c r="H257" s="87">
        <f>+G257*'ARHIGRAM 6'!$I$16</f>
        <v>10.56</v>
      </c>
    </row>
    <row r="258" spans="1:27" s="777" customFormat="1" ht="14.25" x14ac:dyDescent="0.2">
      <c r="A258" s="772"/>
      <c r="B258" s="773" t="s">
        <v>502</v>
      </c>
      <c r="C258" s="773"/>
      <c r="D258" s="773"/>
      <c r="E258" s="771">
        <v>4.0000000000000001E-3</v>
      </c>
      <c r="F258" s="778">
        <f t="shared" si="4"/>
        <v>4.0000000000000001E-3</v>
      </c>
      <c r="G258" s="821">
        <f>F258*F228</f>
        <v>0.128</v>
      </c>
      <c r="H258" s="780">
        <f>+G258*$F$127</f>
        <v>7.04</v>
      </c>
      <c r="K258" s="13"/>
      <c r="L258" s="13"/>
      <c r="M258" s="13"/>
      <c r="N258" s="13"/>
      <c r="O258" s="13"/>
      <c r="P258" s="13"/>
      <c r="Q258" s="13"/>
      <c r="R258" s="13"/>
      <c r="S258" s="13"/>
      <c r="T258" s="13"/>
      <c r="U258" s="13"/>
      <c r="V258" s="13"/>
      <c r="W258" s="13"/>
      <c r="X258" s="13"/>
      <c r="Y258" s="13"/>
      <c r="Z258" s="13"/>
      <c r="AA258" s="13"/>
    </row>
    <row r="259" spans="1:27" s="13" customFormat="1" ht="14.25" x14ac:dyDescent="0.2">
      <c r="A259" s="89" t="s">
        <v>45</v>
      </c>
      <c r="B259" s="95" t="s">
        <v>859</v>
      </c>
      <c r="C259" s="95"/>
      <c r="D259" s="95"/>
      <c r="E259" s="86">
        <v>1.2E-2</v>
      </c>
      <c r="F259" s="86">
        <f t="shared" si="4"/>
        <v>1.2E-2</v>
      </c>
      <c r="G259" s="614">
        <f t="shared" si="5"/>
        <v>0.38400000000000001</v>
      </c>
      <c r="H259" s="87">
        <f>+G259*'ARHIGRAM 6'!$I$16</f>
        <v>21.12</v>
      </c>
    </row>
    <row r="260" spans="1:27" s="777" customFormat="1" ht="14.25" x14ac:dyDescent="0.2">
      <c r="A260" s="772"/>
      <c r="B260" s="773" t="s">
        <v>502</v>
      </c>
      <c r="C260" s="773"/>
      <c r="D260" s="773"/>
      <c r="E260" s="771">
        <v>8.0000000000000002E-3</v>
      </c>
      <c r="F260" s="778">
        <f t="shared" si="4"/>
        <v>8.0000000000000002E-3</v>
      </c>
      <c r="G260" s="821">
        <f>F260*F228</f>
        <v>0.25600000000000001</v>
      </c>
      <c r="H260" s="780">
        <f>+G260*$F$127</f>
        <v>14.08</v>
      </c>
      <c r="K260" s="13"/>
      <c r="L260" s="13"/>
      <c r="M260" s="13"/>
      <c r="N260" s="13"/>
      <c r="O260" s="13"/>
      <c r="P260" s="13"/>
      <c r="Q260" s="13"/>
      <c r="R260" s="13"/>
      <c r="S260" s="13"/>
      <c r="T260" s="13"/>
      <c r="U260" s="13"/>
      <c r="V260" s="13"/>
      <c r="W260" s="13"/>
      <c r="X260" s="13"/>
      <c r="Y260" s="13"/>
      <c r="Z260" s="13"/>
      <c r="AA260" s="13"/>
    </row>
    <row r="261" spans="1:27" s="13" customFormat="1" ht="14.25" x14ac:dyDescent="0.2">
      <c r="A261" s="117" t="s">
        <v>46</v>
      </c>
      <c r="B261" s="90" t="s">
        <v>840</v>
      </c>
      <c r="C261" s="90"/>
      <c r="D261" s="90"/>
      <c r="E261" s="112">
        <v>0.02</v>
      </c>
      <c r="F261" s="112">
        <f t="shared" si="4"/>
        <v>0.02</v>
      </c>
      <c r="G261" s="615">
        <f t="shared" si="5"/>
        <v>0.64</v>
      </c>
      <c r="H261" s="91">
        <f>+G261*'ARHIGRAM 6'!$I$16</f>
        <v>35.200000000000003</v>
      </c>
    </row>
    <row r="262" spans="1:27" s="13" customFormat="1" ht="14.25" x14ac:dyDescent="0.2">
      <c r="A262" s="121">
        <v>5</v>
      </c>
      <c r="B262" s="102" t="s">
        <v>47</v>
      </c>
      <c r="C262" s="102"/>
      <c r="D262" s="102"/>
      <c r="E262" s="103">
        <f>SUM(E263:E264)</f>
        <v>0.01</v>
      </c>
      <c r="F262" s="103">
        <f>SUM(F263:F264)</f>
        <v>0.01</v>
      </c>
      <c r="G262" s="613">
        <f>SUM(G263:G264)</f>
        <v>0.32</v>
      </c>
      <c r="H262" s="104">
        <f>SUM(H263:H264)</f>
        <v>17.600000000000001</v>
      </c>
      <c r="I262" s="125">
        <f>IFERROR(H262/'OSNOVNI PODATKI'!$E$332,0)</f>
        <v>0</v>
      </c>
      <c r="J262" s="125">
        <f>IFERROR(H262/'OSNOVNI PODATKI'!$E$336,0)</f>
        <v>0</v>
      </c>
    </row>
    <row r="263" spans="1:27" s="13" customFormat="1" ht="14.25" x14ac:dyDescent="0.2">
      <c r="A263" s="89" t="s">
        <v>48</v>
      </c>
      <c r="B263" s="98" t="s">
        <v>204</v>
      </c>
      <c r="C263" s="98"/>
      <c r="D263" s="98"/>
      <c r="E263" s="86">
        <v>5.0000000000000001E-3</v>
      </c>
      <c r="F263" s="86">
        <f>E263*(100%+$F$231)</f>
        <v>5.0000000000000001E-3</v>
      </c>
      <c r="G263" s="614">
        <f>F263*$F$228</f>
        <v>0.16</v>
      </c>
      <c r="H263" s="87">
        <f>+G263*'ARHIGRAM 6'!$I$16</f>
        <v>8.8000000000000007</v>
      </c>
    </row>
    <row r="264" spans="1:27" s="13" customFormat="1" ht="14.25" x14ac:dyDescent="0.2">
      <c r="A264" s="117" t="s">
        <v>49</v>
      </c>
      <c r="B264" s="123" t="s">
        <v>205</v>
      </c>
      <c r="C264" s="123"/>
      <c r="D264" s="123"/>
      <c r="E264" s="112">
        <v>5.0000000000000001E-3</v>
      </c>
      <c r="F264" s="112">
        <f>E264*(100%+$F$231)</f>
        <v>5.0000000000000001E-3</v>
      </c>
      <c r="G264" s="615">
        <f>F264*$F$228</f>
        <v>0.16</v>
      </c>
      <c r="H264" s="91">
        <f>+G264*'ARHIGRAM 6'!$I$16</f>
        <v>8.8000000000000007</v>
      </c>
    </row>
    <row r="265" spans="1:27" s="13" customFormat="1" ht="14.25" x14ac:dyDescent="0.2">
      <c r="A265" s="122">
        <v>6</v>
      </c>
      <c r="B265" s="102" t="s">
        <v>50</v>
      </c>
      <c r="C265" s="102"/>
      <c r="D265" s="102"/>
      <c r="E265" s="103"/>
      <c r="F265" s="103"/>
      <c r="G265" s="607"/>
      <c r="H265" s="104"/>
    </row>
    <row r="266" spans="1:27" s="13" customFormat="1" ht="14.25" x14ac:dyDescent="0.2">
      <c r="A266" s="89" t="s">
        <v>54</v>
      </c>
      <c r="B266" s="98" t="s">
        <v>206</v>
      </c>
      <c r="C266" s="98"/>
      <c r="D266" s="98"/>
      <c r="E266" s="86"/>
      <c r="F266" s="86"/>
      <c r="G266" s="608"/>
      <c r="H266" s="87"/>
    </row>
    <row r="267" spans="1:27" s="13" customFormat="1" ht="14.25" x14ac:dyDescent="0.2">
      <c r="A267" s="89" t="s">
        <v>55</v>
      </c>
      <c r="B267" s="98" t="s">
        <v>207</v>
      </c>
      <c r="C267" s="98"/>
      <c r="D267" s="98"/>
      <c r="E267" s="86"/>
      <c r="F267" s="86"/>
      <c r="G267" s="608"/>
      <c r="H267" s="87"/>
    </row>
    <row r="268" spans="1:27" s="13" customFormat="1" ht="14.25" x14ac:dyDescent="0.2">
      <c r="A268" s="117" t="s">
        <v>56</v>
      </c>
      <c r="B268" s="123" t="s">
        <v>208</v>
      </c>
      <c r="C268" s="123"/>
      <c r="D268" s="123"/>
      <c r="E268" s="112"/>
      <c r="F268" s="112"/>
      <c r="G268" s="609"/>
      <c r="H268" s="91"/>
    </row>
    <row r="269" spans="1:27" s="13" customFormat="1" ht="14.25" x14ac:dyDescent="0.2">
      <c r="A269" s="287"/>
      <c r="B269" s="288"/>
      <c r="C269" s="288"/>
      <c r="D269" s="288"/>
      <c r="E269" s="289"/>
      <c r="F269" s="94"/>
      <c r="G269" s="612"/>
      <c r="H269" s="290"/>
    </row>
    <row r="270" spans="1:27" s="13" customFormat="1" ht="14.25" x14ac:dyDescent="0.2">
      <c r="A270" s="126"/>
      <c r="B270" s="127" t="s">
        <v>1</v>
      </c>
      <c r="C270" s="127"/>
      <c r="D270" s="127"/>
      <c r="E270" s="128">
        <f>E236+E239+E243+E250+E253+E262+E265</f>
        <v>1.0000000000000002</v>
      </c>
      <c r="F270" s="128">
        <f>F236+F239+F243+F250+F253+F262+F265</f>
        <v>0.96000000000000019</v>
      </c>
      <c r="G270" s="611">
        <f>G236+G239+G243+G250+G253+G262+G265</f>
        <v>30.720000000000006</v>
      </c>
      <c r="H270" s="604">
        <f>H236+H239+H243+H250+H253+H262+H265</f>
        <v>1689.6</v>
      </c>
      <c r="I270" s="125">
        <f>IFERROR(H270/'OSNOVNI PODATKI'!$E$332,0)</f>
        <v>0</v>
      </c>
      <c r="J270" s="125">
        <f>IFERROR(H270/'OSNOVNI PODATKI'!$E$336,0)</f>
        <v>0</v>
      </c>
    </row>
    <row r="271" spans="1:27" s="13" customFormat="1" ht="14.25" x14ac:dyDescent="0.2">
      <c r="A271" s="29"/>
      <c r="B271" s="124"/>
      <c r="E271" s="30"/>
      <c r="G271" s="30"/>
      <c r="H271" s="125"/>
    </row>
    <row r="272" spans="1:27" s="13" customFormat="1" ht="14.25" x14ac:dyDescent="0.2">
      <c r="A272" s="29"/>
      <c r="B272" s="124"/>
      <c r="E272" s="30"/>
      <c r="G272" s="30"/>
      <c r="H272" s="125"/>
    </row>
    <row r="273" s="13" customFormat="1" ht="14.25" x14ac:dyDescent="0.2"/>
    <row r="274" s="13" customFormat="1" ht="14.25" x14ac:dyDescent="0.2"/>
  </sheetData>
  <sheetProtection algorithmName="SHA-512" hashValue="VvlnHCqEu/7BtHJiI7iL8bvmCt8zqdPkyB0Au9oGtw7W2Ey2aNFK8QNjGK4+H2K3mDioIcDCCREAb8f6qArBiA==" saltValue="sRO/rIiQxfff+PF8Mf7nJQ==" spinCount="100000" sheet="1" objects="1" scenarios="1"/>
  <mergeCells count="1">
    <mergeCell ref="B232:E2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1B56-B98F-4C60-8049-6097967B2B49}">
  <sheetPr codeName="Sheet15"/>
  <dimension ref="A1:Q197"/>
  <sheetViews>
    <sheetView topLeftCell="A94" workbookViewId="0">
      <selection activeCell="B105" sqref="B105"/>
    </sheetView>
  </sheetViews>
  <sheetFormatPr defaultColWidth="9.140625" defaultRowHeight="12.75" x14ac:dyDescent="0.2"/>
  <cols>
    <col min="1" max="1" width="8.140625" style="75" customWidth="1"/>
    <col min="2" max="2" width="28.7109375" style="75" customWidth="1"/>
    <col min="3" max="8" width="13.5703125" style="75" customWidth="1"/>
    <col min="9" max="9" width="14.28515625" style="75" customWidth="1"/>
    <col min="10" max="12" width="13.5703125" style="75" customWidth="1"/>
    <col min="13" max="16384" width="9.140625" style="75"/>
  </cols>
  <sheetData>
    <row r="1" spans="1:17" ht="26.25" x14ac:dyDescent="0.2">
      <c r="B1" s="723" t="s">
        <v>1120</v>
      </c>
      <c r="C1" s="4"/>
      <c r="D1" s="4"/>
      <c r="E1" s="4"/>
      <c r="F1" s="4"/>
      <c r="G1" s="4"/>
      <c r="H1" s="4"/>
      <c r="I1"/>
      <c r="J1"/>
      <c r="K1"/>
      <c r="L1"/>
      <c r="Q1" s="5"/>
    </row>
    <row r="2" spans="1:17" ht="15" thickBot="1" x14ac:dyDescent="0.25">
      <c r="B2" s="11"/>
    </row>
    <row r="3" spans="1:17" s="77" customFormat="1" ht="18.75" x14ac:dyDescent="0.2">
      <c r="A3" s="807" t="s">
        <v>914</v>
      </c>
      <c r="B3" s="807"/>
      <c r="C3" s="807"/>
      <c r="D3" s="807"/>
      <c r="E3" s="807"/>
      <c r="F3" s="807"/>
      <c r="G3" s="807"/>
      <c r="H3" s="807"/>
      <c r="I3" s="807"/>
      <c r="K3" s="205"/>
    </row>
    <row r="4" spans="1:17" s="77" customFormat="1" ht="18.75" x14ac:dyDescent="0.2">
      <c r="A4" s="856"/>
      <c r="B4" s="856"/>
      <c r="C4" s="856"/>
      <c r="D4" s="856"/>
      <c r="E4" s="856"/>
      <c r="F4" s="856"/>
      <c r="G4" s="856"/>
      <c r="H4" s="856"/>
      <c r="I4" s="856"/>
      <c r="K4" s="205"/>
    </row>
    <row r="5" spans="1:17" s="77" customFormat="1" x14ac:dyDescent="0.2">
      <c r="A5" s="80"/>
      <c r="B5" s="538" t="s">
        <v>941</v>
      </c>
      <c r="C5" s="641">
        <f>'OSNOVNI PODATKI'!H11</f>
        <v>1</v>
      </c>
      <c r="D5" s="538" t="str">
        <f>IF(C5=1,'OSNOVNI PODATKI'!B11,'OSNOVNI PODATKI'!B12)</f>
        <v>ENA STAVBA Z RAZLIČNIMI DELI (PRI IZRAČUNU POTREBNIH NU SE UPOŠTEVA SEŠTEVEK POVRŠIN VSEH DELOV)</v>
      </c>
      <c r="E5" s="498"/>
      <c r="F5" s="498"/>
      <c r="G5" s="207"/>
      <c r="H5" s="207"/>
      <c r="I5" s="207"/>
    </row>
    <row r="6" spans="1:17" s="77" customFormat="1" x14ac:dyDescent="0.2">
      <c r="A6" s="80"/>
      <c r="B6" s="538" t="s">
        <v>942</v>
      </c>
      <c r="C6" s="618">
        <f>'OSNOVNI PODATKI'!E329</f>
        <v>400</v>
      </c>
      <c r="D6" s="538"/>
      <c r="E6" s="498"/>
      <c r="F6" s="498"/>
      <c r="G6" s="207"/>
      <c r="H6" s="207"/>
      <c r="I6" s="207"/>
    </row>
    <row r="7" spans="1:17" s="77" customFormat="1" x14ac:dyDescent="0.2">
      <c r="A7" s="80"/>
      <c r="B7" s="645" t="s">
        <v>951</v>
      </c>
      <c r="D7" s="209"/>
      <c r="E7" s="209"/>
    </row>
    <row r="8" spans="1:17" s="77" customFormat="1" x14ac:dyDescent="0.2">
      <c r="A8" s="80"/>
      <c r="B8" s="209" t="str">
        <f>'OSNOVNI PODATKI'!A15</f>
        <v>STAVBA 1 / DEL 1</v>
      </c>
      <c r="C8" s="541">
        <f>'OSNOVNI PODATKI'!E15</f>
        <v>0</v>
      </c>
      <c r="D8" s="209"/>
      <c r="E8" s="209"/>
    </row>
    <row r="9" spans="1:17" s="77" customFormat="1" x14ac:dyDescent="0.2">
      <c r="A9" s="80"/>
      <c r="B9" s="202" t="s">
        <v>718</v>
      </c>
      <c r="C9" s="84" t="str">
        <f>'OSNOVNI PODATKI'!E16</f>
        <v>Večstanovanjske stavbe ali skupine stanovanjskih stavb v strnjeni pozidavi, srednji standard</v>
      </c>
      <c r="D9" s="498"/>
      <c r="E9" s="498"/>
    </row>
    <row r="10" spans="1:17" s="77" customFormat="1" x14ac:dyDescent="0.2">
      <c r="A10" s="80"/>
      <c r="B10" s="202" t="s">
        <v>943</v>
      </c>
      <c r="C10" s="84">
        <f>'OSNOVNI PODATKI'!E17</f>
        <v>400</v>
      </c>
      <c r="D10" s="498"/>
      <c r="E10" s="498"/>
    </row>
    <row r="11" spans="1:17" s="77" customFormat="1" x14ac:dyDescent="0.2">
      <c r="A11" s="80"/>
      <c r="B11" s="202" t="s">
        <v>944</v>
      </c>
      <c r="C11" s="84">
        <f>IF($C$5=1,$C$6,C10)</f>
        <v>400</v>
      </c>
      <c r="D11" s="498"/>
      <c r="E11" s="498"/>
    </row>
    <row r="12" spans="1:17" s="77" customFormat="1" x14ac:dyDescent="0.2">
      <c r="A12" s="80"/>
      <c r="B12" s="538" t="s">
        <v>878</v>
      </c>
      <c r="C12" s="537">
        <f>'OSNOVNI PODATKI'!E27</f>
        <v>-13</v>
      </c>
      <c r="D12" s="498"/>
      <c r="E12" s="498"/>
    </row>
    <row r="13" spans="1:17" s="77" customFormat="1" x14ac:dyDescent="0.2">
      <c r="A13" s="80"/>
      <c r="B13" s="538" t="s">
        <v>1033</v>
      </c>
      <c r="C13" s="1301">
        <f>C11*(1000+C12)</f>
        <v>394800</v>
      </c>
      <c r="D13" s="498"/>
      <c r="E13" s="498"/>
    </row>
    <row r="14" spans="1:17" s="77" customFormat="1" x14ac:dyDescent="0.2">
      <c r="A14" s="80"/>
      <c r="B14" s="202" t="s">
        <v>116</v>
      </c>
      <c r="C14" s="84" t="str">
        <f>'OSNOVNI PODATKI'!E23</f>
        <v>Cenovni razred II</v>
      </c>
      <c r="D14" s="498"/>
      <c r="E14" s="498"/>
    </row>
    <row r="15" spans="1:17" s="77" customFormat="1" x14ac:dyDescent="0.2">
      <c r="A15" s="80"/>
      <c r="B15" s="530" t="s">
        <v>84</v>
      </c>
      <c r="C15" s="531">
        <f>IFERROR(0.0122*POWER(C13,0.5823)/C11/2,"/")</f>
        <v>2.7671981243357763E-2</v>
      </c>
      <c r="D15" s="532" t="s">
        <v>871</v>
      </c>
      <c r="E15" s="209"/>
    </row>
    <row r="16" spans="1:17" s="77" customFormat="1" x14ac:dyDescent="0.2">
      <c r="A16" s="80"/>
      <c r="B16" s="533" t="s">
        <v>85</v>
      </c>
      <c r="C16" s="534">
        <f>IFERROR(0.0138*POWER(C13,0.5835)/C11/2,"/")</f>
        <v>3.1788875315746083E-2</v>
      </c>
      <c r="D16" s="497" t="s">
        <v>871</v>
      </c>
      <c r="E16" s="209"/>
    </row>
    <row r="17" spans="1:5" s="77" customFormat="1" x14ac:dyDescent="0.2">
      <c r="A17" s="80"/>
      <c r="B17" s="533" t="s">
        <v>86</v>
      </c>
      <c r="C17" s="534">
        <f>IFERROR(0.0168*POWER(C13,0.5814)/C11/2,"/")</f>
        <v>3.7666300447208839E-2</v>
      </c>
      <c r="D17" s="497" t="s">
        <v>871</v>
      </c>
      <c r="E17" s="209"/>
    </row>
    <row r="18" spans="1:5" s="77" customFormat="1" x14ac:dyDescent="0.2">
      <c r="A18" s="80"/>
      <c r="B18" s="533" t="s">
        <v>87</v>
      </c>
      <c r="C18" s="534">
        <f>IFERROR(0.0201*POWER(C13,0.5829)/C11/2,"/")</f>
        <v>4.5944582313113484E-2</v>
      </c>
      <c r="D18" s="497" t="s">
        <v>871</v>
      </c>
      <c r="E18" s="209"/>
    </row>
    <row r="19" spans="1:5" s="77" customFormat="1" x14ac:dyDescent="0.2">
      <c r="A19" s="80"/>
      <c r="B19" s="533"/>
      <c r="C19" s="534"/>
      <c r="D19" s="497"/>
      <c r="E19" s="209"/>
    </row>
    <row r="20" spans="1:5" s="77" customFormat="1" x14ac:dyDescent="0.2">
      <c r="A20" s="80"/>
      <c r="B20" s="533"/>
      <c r="C20" s="534"/>
      <c r="D20" s="497"/>
      <c r="E20" s="209"/>
    </row>
    <row r="21" spans="1:5" s="77" customFormat="1" x14ac:dyDescent="0.2">
      <c r="A21" s="80"/>
      <c r="B21" s="533" t="str">
        <f>'OSNOVNI PODATKI'!B69</f>
        <v>GRADBENO OBRTNIŠKA DELA (GO)</v>
      </c>
      <c r="C21" s="636">
        <f>'OSNOVNI PODATKI'!D38</f>
        <v>0.79500000000000004</v>
      </c>
      <c r="D21" s="635"/>
      <c r="E21" s="209"/>
    </row>
    <row r="22" spans="1:5" s="77" customFormat="1" x14ac:dyDescent="0.2">
      <c r="A22" s="80"/>
      <c r="B22" s="533" t="str">
        <f>'OSNOVNI PODATKI'!B70</f>
        <v>ELEKTRIČNE INŠTALACIJE (EI)</v>
      </c>
      <c r="C22" s="636">
        <f>'OSNOVNI PODATKI'!D39</f>
        <v>5.494000000000001E-2</v>
      </c>
      <c r="D22" s="635"/>
      <c r="E22" s="209"/>
    </row>
    <row r="23" spans="1:5" s="77" customFormat="1" x14ac:dyDescent="0.2">
      <c r="A23" s="80"/>
      <c r="B23" s="533" t="str">
        <f>'OSNOVNI PODATKI'!B71</f>
        <v>STROJNE INŠTALACIJE (SI)</v>
      </c>
      <c r="C23" s="636">
        <f>'OSNOVNI PODATKI'!D40</f>
        <v>0.13570999999999997</v>
      </c>
      <c r="D23" s="635"/>
      <c r="E23" s="209"/>
    </row>
    <row r="24" spans="1:5" s="77" customFormat="1" x14ac:dyDescent="0.2">
      <c r="A24" s="80"/>
      <c r="B24" s="533" t="str">
        <f>'OSNOVNI PODATKI'!B72</f>
        <v>TEHNOLOGIJA (TH)</v>
      </c>
      <c r="C24" s="636">
        <f>'OSNOVNI PODATKI'!D41</f>
        <v>1.4145000000000001E-2</v>
      </c>
      <c r="D24" s="635"/>
      <c r="E24" s="209"/>
    </row>
    <row r="25" spans="1:5" s="77" customFormat="1" x14ac:dyDescent="0.2">
      <c r="A25" s="80"/>
      <c r="C25" s="640"/>
      <c r="D25" s="498"/>
      <c r="E25" s="209"/>
    </row>
    <row r="26" spans="1:5" s="77" customFormat="1" ht="14.25" x14ac:dyDescent="0.2">
      <c r="B26" s="84" t="s">
        <v>879</v>
      </c>
      <c r="C26" s="515">
        <f>IFERROR(LOOKUP(C14,B15:C18),"/")</f>
        <v>3.1788875315746083E-2</v>
      </c>
      <c r="D26" s="384" t="s">
        <v>870</v>
      </c>
      <c r="E26" s="498"/>
    </row>
    <row r="27" spans="1:5" s="77" customFormat="1" ht="14.25" x14ac:dyDescent="0.2">
      <c r="B27" s="84" t="s">
        <v>880</v>
      </c>
      <c r="C27" s="515" cm="1">
        <f t="array" ref="C27">IFERROR(INDEX(C15:C18,MATCH(C14,B15:B18)+1),"/")</f>
        <v>3.7666300447208839E-2</v>
      </c>
      <c r="D27" s="384" t="s">
        <v>870</v>
      </c>
      <c r="E27" s="498"/>
    </row>
    <row r="28" spans="1:5" s="77" customFormat="1" x14ac:dyDescent="0.2">
      <c r="B28" s="84" t="s">
        <v>732</v>
      </c>
      <c r="C28" s="539">
        <f>IFERROR(ROUND(C26*$C10,0),0)</f>
        <v>13</v>
      </c>
      <c r="D28" s="384" t="s">
        <v>872</v>
      </c>
      <c r="E28" s="498"/>
    </row>
    <row r="29" spans="1:5" s="77" customFormat="1" x14ac:dyDescent="0.2">
      <c r="B29" s="84" t="s">
        <v>733</v>
      </c>
      <c r="C29" s="539">
        <f>IFERROR(ROUND(C27*$C10,0),0)</f>
        <v>15</v>
      </c>
      <c r="D29" s="384" t="s">
        <v>872</v>
      </c>
      <c r="E29" s="498"/>
    </row>
    <row r="30" spans="1:5" s="77" customFormat="1" x14ac:dyDescent="0.2">
      <c r="A30" s="80"/>
      <c r="C30" s="296"/>
      <c r="D30" s="209"/>
      <c r="E30" s="209"/>
    </row>
    <row r="31" spans="1:5" s="77" customFormat="1" x14ac:dyDescent="0.2">
      <c r="A31" s="80"/>
      <c r="B31" s="209" t="str">
        <f>'OSNOVNI PODATKI'!A46</f>
        <v>STAVBA 2 / DEL 2</v>
      </c>
      <c r="C31" s="541">
        <f>'OSNOVNI PODATKI'!E46</f>
        <v>0</v>
      </c>
      <c r="D31" s="209"/>
      <c r="E31" s="209"/>
    </row>
    <row r="32" spans="1:5" s="77" customFormat="1" x14ac:dyDescent="0.2">
      <c r="A32" s="80"/>
      <c r="B32" s="202" t="s">
        <v>718</v>
      </c>
      <c r="C32" s="84" t="str">
        <f>'OSNOVNI PODATKI'!E47</f>
        <v>Nepodkletene eno in dvostanovanjske stavbe, srednji standard</v>
      </c>
      <c r="D32" s="498"/>
      <c r="E32" s="498"/>
    </row>
    <row r="33" spans="1:5" s="77" customFormat="1" x14ac:dyDescent="0.2">
      <c r="A33" s="80"/>
      <c r="B33" s="202" t="s">
        <v>943</v>
      </c>
      <c r="C33" s="84">
        <f>'OSNOVNI PODATKI'!E48</f>
        <v>0</v>
      </c>
      <c r="D33" s="498"/>
      <c r="E33" s="498"/>
    </row>
    <row r="34" spans="1:5" s="77" customFormat="1" x14ac:dyDescent="0.2">
      <c r="A34" s="80"/>
      <c r="B34" s="202" t="s">
        <v>944</v>
      </c>
      <c r="C34" s="84">
        <f>IF($C$5=1,$C$6,C33)</f>
        <v>400</v>
      </c>
      <c r="D34" s="498"/>
      <c r="E34" s="498"/>
    </row>
    <row r="35" spans="1:5" s="77" customFormat="1" x14ac:dyDescent="0.2">
      <c r="A35" s="80"/>
      <c r="B35" s="538" t="s">
        <v>878</v>
      </c>
      <c r="C35" s="537">
        <f>'OSNOVNI PODATKI'!E58</f>
        <v>230.59999999999991</v>
      </c>
      <c r="D35" s="498"/>
      <c r="E35" s="498"/>
    </row>
    <row r="36" spans="1:5" s="77" customFormat="1" x14ac:dyDescent="0.2">
      <c r="A36" s="80"/>
      <c r="B36" s="538" t="s">
        <v>1033</v>
      </c>
      <c r="C36" s="1301">
        <f>C34*(1000+C35)</f>
        <v>492239.99999999994</v>
      </c>
      <c r="D36" s="498"/>
      <c r="E36" s="498"/>
    </row>
    <row r="37" spans="1:5" s="77" customFormat="1" x14ac:dyDescent="0.2">
      <c r="A37" s="80"/>
      <c r="B37" s="202" t="s">
        <v>116</v>
      </c>
      <c r="C37" s="84" t="str">
        <f>'OSNOVNI PODATKI'!E54</f>
        <v>Cenovni razred II</v>
      </c>
      <c r="D37" s="498"/>
      <c r="E37" s="498"/>
    </row>
    <row r="38" spans="1:5" s="77" customFormat="1" x14ac:dyDescent="0.2">
      <c r="A38" s="80"/>
      <c r="B38" s="530" t="s">
        <v>84</v>
      </c>
      <c r="C38" s="531">
        <f>IFERROR(0.0122*POWER(C36,0.5823)/C34/2,"/")</f>
        <v>3.146476219409159E-2</v>
      </c>
      <c r="D38" s="532" t="s">
        <v>871</v>
      </c>
      <c r="E38" s="209"/>
    </row>
    <row r="39" spans="1:5" s="77" customFormat="1" x14ac:dyDescent="0.2">
      <c r="A39" s="80"/>
      <c r="B39" s="533" t="s">
        <v>85</v>
      </c>
      <c r="C39" s="534">
        <f>IFERROR(0.0138*POWER(C36,0.5835)/C34/2,"/")</f>
        <v>3.6155495832115525E-2</v>
      </c>
      <c r="D39" s="497" t="s">
        <v>871</v>
      </c>
      <c r="E39" s="209"/>
    </row>
    <row r="40" spans="1:5" s="77" customFormat="1" x14ac:dyDescent="0.2">
      <c r="A40" s="80"/>
      <c r="B40" s="533" t="s">
        <v>86</v>
      </c>
      <c r="C40" s="534">
        <f>IFERROR(0.0168*POWER(C36,0.5814)/C34/2,"/")</f>
        <v>4.2820422256699048E-2</v>
      </c>
      <c r="D40" s="497" t="s">
        <v>871</v>
      </c>
      <c r="E40" s="209"/>
    </row>
    <row r="41" spans="1:5" s="77" customFormat="1" x14ac:dyDescent="0.2">
      <c r="A41" s="80"/>
      <c r="B41" s="533" t="s">
        <v>87</v>
      </c>
      <c r="C41" s="534">
        <f>IFERROR(0.0201*POWER(C36,0.5829)/C34/2,"/")</f>
        <v>5.2248759842608204E-2</v>
      </c>
      <c r="D41" s="497" t="s">
        <v>871</v>
      </c>
      <c r="E41" s="209"/>
    </row>
    <row r="42" spans="1:5" s="77" customFormat="1" x14ac:dyDescent="0.2">
      <c r="A42" s="80"/>
      <c r="B42" s="533"/>
      <c r="C42" s="534"/>
      <c r="D42" s="497"/>
      <c r="E42" s="209"/>
    </row>
    <row r="43" spans="1:5" s="77" customFormat="1" x14ac:dyDescent="0.2">
      <c r="A43" s="80"/>
      <c r="B43" s="533"/>
      <c r="C43" s="534"/>
      <c r="D43" s="497"/>
      <c r="E43" s="209"/>
    </row>
    <row r="44" spans="1:5" s="77" customFormat="1" x14ac:dyDescent="0.2">
      <c r="A44" s="80"/>
      <c r="B44" s="533" t="str">
        <f>'OSNOVNI PODATKI'!B69</f>
        <v>GRADBENO OBRTNIŠKA DELA (GO)</v>
      </c>
      <c r="C44" s="636">
        <f>'OSNOVNI PODATKI'!D69</f>
        <v>0.80800000000000005</v>
      </c>
      <c r="D44" s="635"/>
      <c r="E44" s="209"/>
    </row>
    <row r="45" spans="1:5" s="77" customFormat="1" x14ac:dyDescent="0.2">
      <c r="A45" s="80"/>
      <c r="B45" s="533" t="str">
        <f>'OSNOVNI PODATKI'!B70</f>
        <v>ELEKTRIČNE INŠTALACIJE (EI)</v>
      </c>
      <c r="C45" s="636">
        <f>'OSNOVNI PODATKI'!D70</f>
        <v>4.4544000000000007E-2</v>
      </c>
      <c r="D45" s="635"/>
      <c r="E45" s="209"/>
    </row>
    <row r="46" spans="1:5" s="77" customFormat="1" x14ac:dyDescent="0.2">
      <c r="A46" s="80"/>
      <c r="B46" s="533" t="str">
        <f>'OSNOVNI PODATKI'!B71</f>
        <v>STROJNE INŠTALACIJE (SI)</v>
      </c>
      <c r="C46" s="636">
        <f>'OSNOVNI PODATKI'!D71</f>
        <v>0.14764799999999997</v>
      </c>
      <c r="D46" s="635"/>
      <c r="E46" s="209"/>
    </row>
    <row r="47" spans="1:5" s="77" customFormat="1" x14ac:dyDescent="0.2">
      <c r="A47" s="80"/>
      <c r="B47" s="533" t="str">
        <f>'OSNOVNI PODATKI'!B72</f>
        <v>TEHNOLOGIJA (TH)</v>
      </c>
      <c r="C47" s="636">
        <f>'OSNOVNI PODATKI'!D72</f>
        <v>0</v>
      </c>
      <c r="D47" s="635"/>
      <c r="E47" s="209"/>
    </row>
    <row r="48" spans="1:5" s="77" customFormat="1" x14ac:dyDescent="0.2">
      <c r="A48" s="80"/>
      <c r="C48" s="84"/>
      <c r="D48" s="498"/>
      <c r="E48" s="209"/>
    </row>
    <row r="49" spans="1:5" s="77" customFormat="1" ht="14.25" x14ac:dyDescent="0.2">
      <c r="B49" s="84" t="s">
        <v>879</v>
      </c>
      <c r="C49" s="515">
        <f>IFERROR(LOOKUP(C37,B38:C41),"/")</f>
        <v>3.6155495832115525E-2</v>
      </c>
      <c r="D49" s="384" t="s">
        <v>870</v>
      </c>
      <c r="E49" s="498"/>
    </row>
    <row r="50" spans="1:5" s="77" customFormat="1" ht="14.25" x14ac:dyDescent="0.2">
      <c r="B50" s="84" t="s">
        <v>880</v>
      </c>
      <c r="C50" s="515" cm="1">
        <f t="array" ref="C50">IFERROR(INDEX(C38:C41,MATCH(C37,B38:B41)+1),"/")</f>
        <v>4.2820422256699048E-2</v>
      </c>
      <c r="D50" s="384" t="s">
        <v>870</v>
      </c>
      <c r="E50" s="498"/>
    </row>
    <row r="51" spans="1:5" s="77" customFormat="1" x14ac:dyDescent="0.2">
      <c r="B51" s="84" t="s">
        <v>732</v>
      </c>
      <c r="C51" s="539">
        <f>IFERROR(ROUND(C49*$C33,0),0)</f>
        <v>0</v>
      </c>
      <c r="D51" s="384" t="s">
        <v>872</v>
      </c>
      <c r="E51" s="498"/>
    </row>
    <row r="52" spans="1:5" s="77" customFormat="1" x14ac:dyDescent="0.2">
      <c r="B52" s="84" t="s">
        <v>733</v>
      </c>
      <c r="C52" s="539">
        <f>IFERROR(ROUND(C50*$C33,0),0)</f>
        <v>0</v>
      </c>
      <c r="D52" s="384" t="s">
        <v>872</v>
      </c>
      <c r="E52" s="498"/>
    </row>
    <row r="53" spans="1:5" s="77" customFormat="1" x14ac:dyDescent="0.2">
      <c r="A53" s="80"/>
      <c r="C53" s="209"/>
      <c r="D53" s="209"/>
      <c r="E53" s="209"/>
    </row>
    <row r="54" spans="1:5" s="77" customFormat="1" x14ac:dyDescent="0.2">
      <c r="A54" s="80"/>
      <c r="B54" s="209" t="str">
        <f>'OSNOVNI PODATKI'!A77</f>
        <v>STAVBA 3 / DEL 3</v>
      </c>
      <c r="C54" s="541">
        <f>'OSNOVNI PODATKI'!E77</f>
        <v>0</v>
      </c>
      <c r="D54" s="209"/>
      <c r="E54" s="209"/>
    </row>
    <row r="55" spans="1:5" s="77" customFormat="1" x14ac:dyDescent="0.2">
      <c r="A55" s="80"/>
      <c r="B55" s="202" t="s">
        <v>718</v>
      </c>
      <c r="C55" s="84" t="str">
        <f>'OSNOVNI PODATKI'!E78</f>
        <v>Nepodkletene eno in dvostanovanjske stavbe, srednji standard</v>
      </c>
      <c r="D55" s="498"/>
      <c r="E55" s="498"/>
    </row>
    <row r="56" spans="1:5" s="77" customFormat="1" x14ac:dyDescent="0.2">
      <c r="A56" s="80"/>
      <c r="B56" s="202" t="s">
        <v>943</v>
      </c>
      <c r="C56" s="84">
        <f>'OSNOVNI PODATKI'!E79</f>
        <v>0</v>
      </c>
      <c r="D56" s="498"/>
      <c r="E56" s="498"/>
    </row>
    <row r="57" spans="1:5" s="77" customFormat="1" x14ac:dyDescent="0.2">
      <c r="A57" s="80"/>
      <c r="B57" s="202" t="s">
        <v>944</v>
      </c>
      <c r="C57" s="84">
        <f>IF($C$5=1,$C$6,C56)</f>
        <v>400</v>
      </c>
      <c r="D57" s="498"/>
      <c r="E57" s="498"/>
    </row>
    <row r="58" spans="1:5" s="77" customFormat="1" x14ac:dyDescent="0.2">
      <c r="A58" s="80"/>
      <c r="B58" s="538" t="s">
        <v>878</v>
      </c>
      <c r="C58" s="537">
        <f>'OSNOVNI PODATKI'!E89</f>
        <v>230.59999999999991</v>
      </c>
      <c r="D58" s="498"/>
      <c r="E58" s="498"/>
    </row>
    <row r="59" spans="1:5" s="77" customFormat="1" x14ac:dyDescent="0.2">
      <c r="A59" s="80"/>
      <c r="B59" s="538" t="s">
        <v>1033</v>
      </c>
      <c r="C59" s="1301">
        <f>C57*(1000+C58)</f>
        <v>492239.99999999994</v>
      </c>
      <c r="D59" s="498"/>
      <c r="E59" s="498"/>
    </row>
    <row r="60" spans="1:5" s="77" customFormat="1" x14ac:dyDescent="0.2">
      <c r="A60" s="80"/>
      <c r="B60" s="202" t="s">
        <v>116</v>
      </c>
      <c r="C60" s="84" t="str">
        <f>'OSNOVNI PODATKI'!E85</f>
        <v>Cenovni razred II</v>
      </c>
      <c r="D60" s="498"/>
      <c r="E60" s="498"/>
    </row>
    <row r="61" spans="1:5" s="77" customFormat="1" x14ac:dyDescent="0.2">
      <c r="A61" s="80"/>
      <c r="B61" s="530" t="s">
        <v>84</v>
      </c>
      <c r="C61" s="531">
        <f>IFERROR(0.0122*POWER(C59,0.5823)/C57/2,"/")</f>
        <v>3.146476219409159E-2</v>
      </c>
      <c r="D61" s="532" t="s">
        <v>871</v>
      </c>
      <c r="E61" s="209"/>
    </row>
    <row r="62" spans="1:5" s="77" customFormat="1" x14ac:dyDescent="0.2">
      <c r="A62" s="80"/>
      <c r="B62" s="533" t="s">
        <v>85</v>
      </c>
      <c r="C62" s="534">
        <f>IFERROR(0.0138*POWER(C59,0.5835)/C57/2,"/")</f>
        <v>3.6155495832115525E-2</v>
      </c>
      <c r="D62" s="497" t="s">
        <v>871</v>
      </c>
      <c r="E62" s="209"/>
    </row>
    <row r="63" spans="1:5" s="77" customFormat="1" x14ac:dyDescent="0.2">
      <c r="A63" s="80"/>
      <c r="B63" s="533" t="s">
        <v>86</v>
      </c>
      <c r="C63" s="534">
        <f>IFERROR(0.0168*POWER(C59,0.5814)/C57/2,"/")</f>
        <v>4.2820422256699048E-2</v>
      </c>
      <c r="D63" s="497" t="s">
        <v>871</v>
      </c>
      <c r="E63" s="209"/>
    </row>
    <row r="64" spans="1:5" s="77" customFormat="1" x14ac:dyDescent="0.2">
      <c r="A64" s="80"/>
      <c r="B64" s="533" t="s">
        <v>87</v>
      </c>
      <c r="C64" s="534">
        <f>IFERROR(0.0201*POWER(C59,0.5829)/C57/2,"/")</f>
        <v>5.2248759842608204E-2</v>
      </c>
      <c r="D64" s="497" t="s">
        <v>871</v>
      </c>
      <c r="E64" s="209"/>
    </row>
    <row r="65" spans="1:5" s="77" customFormat="1" x14ac:dyDescent="0.2">
      <c r="A65" s="80"/>
      <c r="B65" s="533"/>
      <c r="C65" s="534"/>
      <c r="D65" s="497"/>
      <c r="E65" s="209"/>
    </row>
    <row r="66" spans="1:5" s="77" customFormat="1" x14ac:dyDescent="0.2">
      <c r="A66" s="80"/>
      <c r="B66" s="533"/>
      <c r="C66" s="534"/>
      <c r="D66" s="497"/>
      <c r="E66" s="209"/>
    </row>
    <row r="67" spans="1:5" s="77" customFormat="1" x14ac:dyDescent="0.2">
      <c r="A67" s="80"/>
      <c r="B67" s="533" t="str">
        <f>'OSNOVNI PODATKI'!B100</f>
        <v>GRADBENO OBRTNIŠKA DELA (GO)</v>
      </c>
      <c r="C67" s="636">
        <f>'OSNOVNI PODATKI'!D100</f>
        <v>0.80800000000000005</v>
      </c>
      <c r="D67" s="635"/>
      <c r="E67" s="209"/>
    </row>
    <row r="68" spans="1:5" s="77" customFormat="1" x14ac:dyDescent="0.2">
      <c r="A68" s="80"/>
      <c r="B68" s="533" t="str">
        <f>'OSNOVNI PODATKI'!B101</f>
        <v>ELEKTRIČNE INŠTALACIJE (EI)</v>
      </c>
      <c r="C68" s="636">
        <f>'OSNOVNI PODATKI'!D101</f>
        <v>4.4544000000000007E-2</v>
      </c>
      <c r="D68" s="635"/>
      <c r="E68" s="209"/>
    </row>
    <row r="69" spans="1:5" s="77" customFormat="1" x14ac:dyDescent="0.2">
      <c r="A69" s="80"/>
      <c r="B69" s="533" t="str">
        <f>'OSNOVNI PODATKI'!B102</f>
        <v>STROJNE INŠTALACIJE (SI)</v>
      </c>
      <c r="C69" s="636">
        <f>'OSNOVNI PODATKI'!D102</f>
        <v>0.14764799999999997</v>
      </c>
      <c r="D69" s="635"/>
      <c r="E69" s="209"/>
    </row>
    <row r="70" spans="1:5" s="77" customFormat="1" x14ac:dyDescent="0.2">
      <c r="A70" s="80"/>
      <c r="B70" s="533" t="str">
        <f>'OSNOVNI PODATKI'!B103</f>
        <v>TEHNOLOGIJA (TH)</v>
      </c>
      <c r="C70" s="636">
        <f>'OSNOVNI PODATKI'!D103</f>
        <v>0</v>
      </c>
      <c r="D70" s="635"/>
      <c r="E70" s="209"/>
    </row>
    <row r="71" spans="1:5" s="77" customFormat="1" x14ac:dyDescent="0.2">
      <c r="A71" s="80"/>
      <c r="C71" s="84"/>
      <c r="D71" s="498"/>
      <c r="E71" s="209"/>
    </row>
    <row r="72" spans="1:5" s="77" customFormat="1" ht="14.25" x14ac:dyDescent="0.2">
      <c r="B72" s="84" t="s">
        <v>879</v>
      </c>
      <c r="C72" s="515">
        <f>IFERROR(LOOKUP(C60,B61:C64),"/")</f>
        <v>3.6155495832115525E-2</v>
      </c>
      <c r="D72" s="384" t="s">
        <v>870</v>
      </c>
      <c r="E72" s="498"/>
    </row>
    <row r="73" spans="1:5" s="77" customFormat="1" ht="14.25" x14ac:dyDescent="0.2">
      <c r="B73" s="84" t="s">
        <v>880</v>
      </c>
      <c r="C73" s="515" cm="1">
        <f t="array" ref="C73">IFERROR(INDEX(C61:C64,MATCH(C60,B61:B64)+1),"/")</f>
        <v>4.2820422256699048E-2</v>
      </c>
      <c r="D73" s="384" t="s">
        <v>870</v>
      </c>
      <c r="E73" s="498"/>
    </row>
    <row r="74" spans="1:5" s="77" customFormat="1" x14ac:dyDescent="0.2">
      <c r="B74" s="84" t="s">
        <v>732</v>
      </c>
      <c r="C74" s="539">
        <f>IFERROR(ROUND(C72*$C56,0),0)</f>
        <v>0</v>
      </c>
      <c r="D74" s="384" t="s">
        <v>872</v>
      </c>
      <c r="E74" s="498"/>
    </row>
    <row r="75" spans="1:5" s="77" customFormat="1" x14ac:dyDescent="0.2">
      <c r="B75" s="84" t="s">
        <v>733</v>
      </c>
      <c r="C75" s="539">
        <f>IFERROR(ROUND(C73*$C56,0),0)</f>
        <v>0</v>
      </c>
      <c r="D75" s="384" t="s">
        <v>872</v>
      </c>
      <c r="E75" s="498"/>
    </row>
    <row r="76" spans="1:5" s="77" customFormat="1" x14ac:dyDescent="0.2">
      <c r="A76" s="80"/>
      <c r="C76" s="209"/>
      <c r="D76" s="209"/>
      <c r="E76" s="209"/>
    </row>
    <row r="77" spans="1:5" s="77" customFormat="1" x14ac:dyDescent="0.2">
      <c r="A77" s="80"/>
      <c r="B77" s="209" t="str">
        <f>'OSNOVNI PODATKI'!A108</f>
        <v>STAVBA 4 / DEL 4</v>
      </c>
      <c r="C77" s="541">
        <f>'OSNOVNI PODATKI'!E108</f>
        <v>0</v>
      </c>
      <c r="D77" s="209"/>
      <c r="E77" s="209"/>
    </row>
    <row r="78" spans="1:5" s="77" customFormat="1" x14ac:dyDescent="0.2">
      <c r="A78" s="80"/>
      <c r="B78" s="202" t="s">
        <v>718</v>
      </c>
      <c r="C78" s="84" t="str">
        <f>'OSNOVNI PODATKI'!E109</f>
        <v>Nepodkletene eno in dvostanovanjske stavbe, srednji standard</v>
      </c>
      <c r="D78" s="498"/>
      <c r="E78" s="498"/>
    </row>
    <row r="79" spans="1:5" s="77" customFormat="1" x14ac:dyDescent="0.2">
      <c r="A79" s="80"/>
      <c r="B79" s="202" t="s">
        <v>943</v>
      </c>
      <c r="C79" s="84">
        <f>'OSNOVNI PODATKI'!E110</f>
        <v>0</v>
      </c>
      <c r="D79" s="498"/>
      <c r="E79" s="498"/>
    </row>
    <row r="80" spans="1:5" s="77" customFormat="1" x14ac:dyDescent="0.2">
      <c r="A80" s="80"/>
      <c r="B80" s="202" t="s">
        <v>944</v>
      </c>
      <c r="C80" s="84">
        <f>IF($C$5=1,$C$6,C79)</f>
        <v>400</v>
      </c>
      <c r="D80" s="498"/>
      <c r="E80" s="498"/>
    </row>
    <row r="81" spans="1:5" s="77" customFormat="1" x14ac:dyDescent="0.2">
      <c r="A81" s="80"/>
      <c r="B81" s="538" t="s">
        <v>878</v>
      </c>
      <c r="C81" s="537">
        <f>'OSNOVNI PODATKI'!E120</f>
        <v>230.59999999999991</v>
      </c>
      <c r="D81" s="498"/>
      <c r="E81" s="498"/>
    </row>
    <row r="82" spans="1:5" s="77" customFormat="1" x14ac:dyDescent="0.2">
      <c r="A82" s="80"/>
      <c r="B82" s="538" t="s">
        <v>1033</v>
      </c>
      <c r="C82" s="1301">
        <f>C80*(1000+C81)</f>
        <v>492239.99999999994</v>
      </c>
      <c r="D82" s="498"/>
      <c r="E82" s="498"/>
    </row>
    <row r="83" spans="1:5" s="77" customFormat="1" x14ac:dyDescent="0.2">
      <c r="A83" s="80"/>
      <c r="B83" s="202" t="s">
        <v>116</v>
      </c>
      <c r="C83" s="84" t="str">
        <f>'OSNOVNI PODATKI'!E116</f>
        <v>Cenovni razred II</v>
      </c>
      <c r="D83" s="498"/>
      <c r="E83" s="498"/>
    </row>
    <row r="84" spans="1:5" s="77" customFormat="1" x14ac:dyDescent="0.2">
      <c r="A84" s="80"/>
      <c r="B84" s="530" t="s">
        <v>84</v>
      </c>
      <c r="C84" s="531">
        <f>IFERROR(0.0122*POWER(C82,0.5823)/C80/2,"/")</f>
        <v>3.146476219409159E-2</v>
      </c>
      <c r="D84" s="532" t="s">
        <v>871</v>
      </c>
      <c r="E84" s="209"/>
    </row>
    <row r="85" spans="1:5" s="77" customFormat="1" x14ac:dyDescent="0.2">
      <c r="A85" s="80"/>
      <c r="B85" s="533" t="s">
        <v>85</v>
      </c>
      <c r="C85" s="534">
        <f>IFERROR(0.0138*POWER(C82,0.5835)/C80/2,"/")</f>
        <v>3.6155495832115525E-2</v>
      </c>
      <c r="D85" s="497" t="s">
        <v>871</v>
      </c>
      <c r="E85" s="209"/>
    </row>
    <row r="86" spans="1:5" s="77" customFormat="1" x14ac:dyDescent="0.2">
      <c r="A86" s="80"/>
      <c r="B86" s="533" t="s">
        <v>86</v>
      </c>
      <c r="C86" s="534">
        <f>IFERROR(0.0168*POWER(C82,0.5814)/C80/2,"/")</f>
        <v>4.2820422256699048E-2</v>
      </c>
      <c r="D86" s="497" t="s">
        <v>871</v>
      </c>
      <c r="E86" s="209"/>
    </row>
    <row r="87" spans="1:5" s="77" customFormat="1" x14ac:dyDescent="0.2">
      <c r="A87" s="80"/>
      <c r="B87" s="533" t="s">
        <v>87</v>
      </c>
      <c r="C87" s="534">
        <f>IFERROR(0.0201*POWER(C82,0.5829)/C80/2,"/")</f>
        <v>5.2248759842608204E-2</v>
      </c>
      <c r="D87" s="497" t="s">
        <v>871</v>
      </c>
      <c r="E87" s="209"/>
    </row>
    <row r="88" spans="1:5" s="77" customFormat="1" x14ac:dyDescent="0.2">
      <c r="A88" s="80"/>
      <c r="B88" s="533"/>
      <c r="C88" s="534"/>
      <c r="D88" s="497"/>
      <c r="E88" s="209"/>
    </row>
    <row r="89" spans="1:5" s="77" customFormat="1" x14ac:dyDescent="0.2">
      <c r="A89" s="80"/>
      <c r="B89" s="533"/>
      <c r="C89" s="534"/>
      <c r="D89" s="497"/>
      <c r="E89" s="209"/>
    </row>
    <row r="90" spans="1:5" s="77" customFormat="1" x14ac:dyDescent="0.2">
      <c r="A90" s="80"/>
      <c r="B90" s="533" t="str">
        <f>'OSNOVNI PODATKI'!B131</f>
        <v>GRADBENO OBRTNIŠKA DELA (GO)</v>
      </c>
      <c r="C90" s="636">
        <f>'OSNOVNI PODATKI'!D131</f>
        <v>0.80800000000000005</v>
      </c>
      <c r="D90" s="635"/>
      <c r="E90" s="209"/>
    </row>
    <row r="91" spans="1:5" s="77" customFormat="1" x14ac:dyDescent="0.2">
      <c r="A91" s="80"/>
      <c r="B91" s="533" t="str">
        <f>'OSNOVNI PODATKI'!B132</f>
        <v>ELEKTRIČNE INŠTALACIJE (EI)</v>
      </c>
      <c r="C91" s="636">
        <f>'OSNOVNI PODATKI'!D132</f>
        <v>4.4544000000000007E-2</v>
      </c>
      <c r="D91" s="635"/>
      <c r="E91" s="209"/>
    </row>
    <row r="92" spans="1:5" s="77" customFormat="1" x14ac:dyDescent="0.2">
      <c r="A92" s="80"/>
      <c r="B92" s="533" t="str">
        <f>'OSNOVNI PODATKI'!B133</f>
        <v>STROJNE INŠTALACIJE (SI)</v>
      </c>
      <c r="C92" s="636">
        <f>'OSNOVNI PODATKI'!D133</f>
        <v>0.14764799999999997</v>
      </c>
      <c r="D92" s="635"/>
      <c r="E92" s="209"/>
    </row>
    <row r="93" spans="1:5" s="77" customFormat="1" x14ac:dyDescent="0.2">
      <c r="A93" s="80"/>
      <c r="B93" s="533" t="str">
        <f>'OSNOVNI PODATKI'!B134</f>
        <v>TEHNOLOGIJA (TH)</v>
      </c>
      <c r="C93" s="636">
        <f>'OSNOVNI PODATKI'!D134</f>
        <v>0</v>
      </c>
      <c r="D93" s="635"/>
      <c r="E93" s="209"/>
    </row>
    <row r="94" spans="1:5" s="77" customFormat="1" x14ac:dyDescent="0.2">
      <c r="A94" s="80"/>
      <c r="C94" s="84"/>
      <c r="D94" s="498"/>
      <c r="E94" s="209"/>
    </row>
    <row r="95" spans="1:5" s="77" customFormat="1" ht="14.25" x14ac:dyDescent="0.2">
      <c r="B95" s="84" t="s">
        <v>879</v>
      </c>
      <c r="C95" s="515">
        <f>IFERROR(LOOKUP(C83,B84:C87),"/")</f>
        <v>3.6155495832115525E-2</v>
      </c>
      <c r="D95" s="384" t="s">
        <v>870</v>
      </c>
      <c r="E95" s="498"/>
    </row>
    <row r="96" spans="1:5" s="77" customFormat="1" ht="14.25" x14ac:dyDescent="0.2">
      <c r="B96" s="84" t="s">
        <v>880</v>
      </c>
      <c r="C96" s="515" cm="1">
        <f t="array" ref="C96">IFERROR(INDEX(C84:C87,MATCH(C83,B84:B87)+1),"/")</f>
        <v>4.2820422256699048E-2</v>
      </c>
      <c r="D96" s="384" t="s">
        <v>870</v>
      </c>
      <c r="E96" s="498"/>
    </row>
    <row r="97" spans="1:5" s="77" customFormat="1" x14ac:dyDescent="0.2">
      <c r="B97" s="84" t="s">
        <v>732</v>
      </c>
      <c r="C97" s="539">
        <f>IFERROR(ROUND(C95*$C79,0),0)</f>
        <v>0</v>
      </c>
      <c r="D97" s="384" t="s">
        <v>872</v>
      </c>
      <c r="E97" s="498"/>
    </row>
    <row r="98" spans="1:5" s="77" customFormat="1" x14ac:dyDescent="0.2">
      <c r="B98" s="84" t="s">
        <v>733</v>
      </c>
      <c r="C98" s="539">
        <f>IFERROR(ROUND(C96*$C79,0),0)</f>
        <v>0</v>
      </c>
      <c r="D98" s="384" t="s">
        <v>872</v>
      </c>
      <c r="E98" s="498"/>
    </row>
    <row r="99" spans="1:5" s="77" customFormat="1" x14ac:dyDescent="0.2">
      <c r="A99" s="80"/>
      <c r="C99" s="209"/>
      <c r="D99" s="209"/>
      <c r="E99" s="209"/>
    </row>
    <row r="100" spans="1:5" s="77" customFormat="1" x14ac:dyDescent="0.2">
      <c r="A100" s="80"/>
      <c r="B100" s="209" t="str">
        <f>'OSNOVNI PODATKI'!A139</f>
        <v>STAVBA 5 / DEL 5</v>
      </c>
      <c r="C100" s="541">
        <f>'OSNOVNI PODATKI'!E139</f>
        <v>0</v>
      </c>
      <c r="D100" s="209"/>
      <c r="E100" s="209"/>
    </row>
    <row r="101" spans="1:5" s="77" customFormat="1" x14ac:dyDescent="0.2">
      <c r="A101" s="80"/>
      <c r="B101" s="202" t="s">
        <v>718</v>
      </c>
      <c r="C101" s="84" t="str">
        <f>'OSNOVNI PODATKI'!E140</f>
        <v>Nepodkletene eno in dvostanovanjske stavbe, srednji standard</v>
      </c>
      <c r="D101" s="498"/>
      <c r="E101" s="498"/>
    </row>
    <row r="102" spans="1:5" s="77" customFormat="1" x14ac:dyDescent="0.2">
      <c r="A102" s="80"/>
      <c r="B102" s="202" t="s">
        <v>943</v>
      </c>
      <c r="C102" s="84">
        <f>'OSNOVNI PODATKI'!E141</f>
        <v>0</v>
      </c>
      <c r="D102" s="498"/>
      <c r="E102" s="498"/>
    </row>
    <row r="103" spans="1:5" s="77" customFormat="1" x14ac:dyDescent="0.2">
      <c r="A103" s="80"/>
      <c r="B103" s="202" t="s">
        <v>944</v>
      </c>
      <c r="C103" s="84">
        <f>IF($C$5=1,$C$6,C102)</f>
        <v>400</v>
      </c>
      <c r="D103" s="498"/>
      <c r="E103" s="498"/>
    </row>
    <row r="104" spans="1:5" s="77" customFormat="1" x14ac:dyDescent="0.2">
      <c r="A104" s="80"/>
      <c r="B104" s="538" t="s">
        <v>878</v>
      </c>
      <c r="C104" s="537">
        <f>'OSNOVNI PODATKI'!E151</f>
        <v>230.59999999999991</v>
      </c>
      <c r="D104" s="498"/>
      <c r="E104" s="498"/>
    </row>
    <row r="105" spans="1:5" s="77" customFormat="1" x14ac:dyDescent="0.2">
      <c r="A105" s="80"/>
      <c r="B105" s="538" t="s">
        <v>1033</v>
      </c>
      <c r="C105" s="1301">
        <f>C103*(1000+C104)</f>
        <v>492239.99999999994</v>
      </c>
      <c r="D105" s="498"/>
      <c r="E105" s="498"/>
    </row>
    <row r="106" spans="1:5" s="77" customFormat="1" x14ac:dyDescent="0.2">
      <c r="A106" s="80"/>
      <c r="B106" s="202" t="s">
        <v>116</v>
      </c>
      <c r="C106" s="84" t="str">
        <f>'OSNOVNI PODATKI'!E147</f>
        <v>Cenovni razred II</v>
      </c>
      <c r="D106" s="498"/>
      <c r="E106" s="498"/>
    </row>
    <row r="107" spans="1:5" s="77" customFormat="1" x14ac:dyDescent="0.2">
      <c r="A107" s="80"/>
      <c r="B107" s="530" t="s">
        <v>84</v>
      </c>
      <c r="C107" s="531">
        <f>IFERROR(0.0122*POWER(C105,0.5823)/C103/2,"/")</f>
        <v>3.146476219409159E-2</v>
      </c>
      <c r="D107" s="532" t="s">
        <v>871</v>
      </c>
      <c r="E107" s="209"/>
    </row>
    <row r="108" spans="1:5" s="77" customFormat="1" x14ac:dyDescent="0.2">
      <c r="A108" s="80"/>
      <c r="B108" s="533" t="s">
        <v>85</v>
      </c>
      <c r="C108" s="534">
        <f>IFERROR(0.0138*POWER(C105,0.5835)/C103/2,"/")</f>
        <v>3.6155495832115525E-2</v>
      </c>
      <c r="D108" s="497" t="s">
        <v>871</v>
      </c>
      <c r="E108" s="209"/>
    </row>
    <row r="109" spans="1:5" s="77" customFormat="1" x14ac:dyDescent="0.2">
      <c r="A109" s="80"/>
      <c r="B109" s="533" t="s">
        <v>86</v>
      </c>
      <c r="C109" s="534">
        <f>IFERROR(0.0168*POWER(C105,0.5814)/C103/2,"/")</f>
        <v>4.2820422256699048E-2</v>
      </c>
      <c r="D109" s="497" t="s">
        <v>871</v>
      </c>
      <c r="E109" s="209"/>
    </row>
    <row r="110" spans="1:5" s="77" customFormat="1" x14ac:dyDescent="0.2">
      <c r="A110" s="80"/>
      <c r="B110" s="533" t="s">
        <v>87</v>
      </c>
      <c r="C110" s="534">
        <f>IFERROR(0.0201*POWER(C105,0.5829)/C103/2,"/")</f>
        <v>5.2248759842608204E-2</v>
      </c>
      <c r="D110" s="497" t="s">
        <v>871</v>
      </c>
      <c r="E110" s="209"/>
    </row>
    <row r="111" spans="1:5" s="77" customFormat="1" x14ac:dyDescent="0.2">
      <c r="A111" s="80"/>
      <c r="B111" s="533"/>
      <c r="C111" s="534"/>
      <c r="D111" s="497"/>
      <c r="E111" s="209"/>
    </row>
    <row r="112" spans="1:5" s="77" customFormat="1" x14ac:dyDescent="0.2">
      <c r="A112" s="80"/>
      <c r="B112" s="533"/>
      <c r="C112" s="534"/>
      <c r="D112" s="497"/>
      <c r="E112" s="209"/>
    </row>
    <row r="113" spans="1:5" s="77" customFormat="1" x14ac:dyDescent="0.2">
      <c r="A113" s="80"/>
      <c r="B113" s="533" t="str">
        <f>'OSNOVNI PODATKI'!B162</f>
        <v>GRADBENO OBRTNIŠKA DELA (GO)</v>
      </c>
      <c r="C113" s="636">
        <f>'OSNOVNI PODATKI'!D162</f>
        <v>0.80800000000000005</v>
      </c>
      <c r="D113" s="635"/>
      <c r="E113" s="209"/>
    </row>
    <row r="114" spans="1:5" s="77" customFormat="1" x14ac:dyDescent="0.2">
      <c r="A114" s="80"/>
      <c r="B114" s="533" t="str">
        <f>'OSNOVNI PODATKI'!B158</f>
        <v>INFORMATIVNA OCENA STROŠKOV GRADNJE</v>
      </c>
      <c r="C114" s="636">
        <f>'OSNOVNI PODATKI'!D163</f>
        <v>4.4544000000000007E-2</v>
      </c>
      <c r="D114" s="635"/>
      <c r="E114" s="209"/>
    </row>
    <row r="115" spans="1:5" s="77" customFormat="1" x14ac:dyDescent="0.2">
      <c r="A115" s="80"/>
      <c r="B115" s="533" t="str">
        <f>'OSNOVNI PODATKI'!B159</f>
        <v>INFORMATIVNA VREDNOST STROŠKOV GRADNJE EUR/m2 BTP</v>
      </c>
      <c r="C115" s="636">
        <f>'OSNOVNI PODATKI'!D164</f>
        <v>0.14764799999999997</v>
      </c>
      <c r="D115" s="635"/>
      <c r="E115" s="209"/>
    </row>
    <row r="116" spans="1:5" s="77" customFormat="1" x14ac:dyDescent="0.2">
      <c r="A116" s="80"/>
      <c r="B116" s="533" t="str">
        <f>'OSNOVNI PODATKI'!B160</f>
        <v>IZBRANA VREDNOST STROŠKOV GRADNJE EUR/m2 BEP</v>
      </c>
      <c r="C116" s="636">
        <f>'OSNOVNI PODATKI'!D165</f>
        <v>0</v>
      </c>
      <c r="D116" s="635"/>
      <c r="E116" s="209"/>
    </row>
    <row r="117" spans="1:5" s="77" customFormat="1" x14ac:dyDescent="0.2">
      <c r="A117" s="80"/>
      <c r="C117" s="84"/>
      <c r="D117" s="498"/>
      <c r="E117" s="209"/>
    </row>
    <row r="118" spans="1:5" s="77" customFormat="1" ht="14.25" x14ac:dyDescent="0.2">
      <c r="B118" s="84" t="s">
        <v>879</v>
      </c>
      <c r="C118" s="515">
        <f>IFERROR(LOOKUP(C106,B107:C110),"/")</f>
        <v>3.6155495832115525E-2</v>
      </c>
      <c r="D118" s="384" t="s">
        <v>870</v>
      </c>
      <c r="E118" s="498"/>
    </row>
    <row r="119" spans="1:5" s="77" customFormat="1" ht="14.25" x14ac:dyDescent="0.2">
      <c r="B119" s="84" t="s">
        <v>880</v>
      </c>
      <c r="C119" s="515" cm="1">
        <f t="array" ref="C119">IFERROR(INDEX(C107:C110,MATCH(C106,B107:B110)+1),"/")</f>
        <v>4.2820422256699048E-2</v>
      </c>
      <c r="D119" s="384" t="s">
        <v>870</v>
      </c>
      <c r="E119" s="498"/>
    </row>
    <row r="120" spans="1:5" s="77" customFormat="1" x14ac:dyDescent="0.2">
      <c r="B120" s="84" t="s">
        <v>732</v>
      </c>
      <c r="C120" s="539">
        <f>IFERROR(ROUND(C118*$C102,0),0)</f>
        <v>0</v>
      </c>
      <c r="D120" s="384" t="s">
        <v>872</v>
      </c>
      <c r="E120" s="498"/>
    </row>
    <row r="121" spans="1:5" s="77" customFormat="1" x14ac:dyDescent="0.2">
      <c r="B121" s="84" t="s">
        <v>733</v>
      </c>
      <c r="C121" s="539">
        <f>IFERROR(ROUND(C119*$C102,0),0)</f>
        <v>0</v>
      </c>
      <c r="D121" s="384" t="s">
        <v>872</v>
      </c>
      <c r="E121" s="498"/>
    </row>
    <row r="122" spans="1:5" s="77" customFormat="1" x14ac:dyDescent="0.2">
      <c r="A122" s="80"/>
      <c r="C122" s="209"/>
      <c r="D122" s="209"/>
      <c r="E122" s="209"/>
    </row>
    <row r="123" spans="1:5" s="77" customFormat="1" x14ac:dyDescent="0.2">
      <c r="A123" s="80"/>
      <c r="C123" s="209"/>
      <c r="D123" s="209"/>
      <c r="E123" s="209"/>
    </row>
    <row r="124" spans="1:5" s="77" customFormat="1" x14ac:dyDescent="0.2">
      <c r="A124" s="80"/>
      <c r="C124" s="209"/>
      <c r="D124" s="209"/>
      <c r="E124" s="209"/>
    </row>
    <row r="125" spans="1:5" s="77" customFormat="1" x14ac:dyDescent="0.2">
      <c r="A125" s="80"/>
      <c r="C125" s="209"/>
      <c r="D125" s="209"/>
      <c r="E125" s="209"/>
    </row>
    <row r="126" spans="1:5" s="77" customFormat="1" x14ac:dyDescent="0.2">
      <c r="A126" s="80"/>
      <c r="C126" s="209"/>
      <c r="D126" s="209"/>
      <c r="E126" s="209"/>
    </row>
    <row r="127" spans="1:5" s="77" customFormat="1" x14ac:dyDescent="0.2">
      <c r="A127" s="80"/>
      <c r="C127" s="209"/>
      <c r="D127" s="209"/>
      <c r="E127" s="209"/>
    </row>
    <row r="128" spans="1:5" s="77" customFormat="1" x14ac:dyDescent="0.2">
      <c r="A128" s="80"/>
      <c r="C128" s="209"/>
      <c r="D128" s="209"/>
      <c r="E128" s="209"/>
    </row>
    <row r="129" spans="1:8" s="77" customFormat="1" x14ac:dyDescent="0.2">
      <c r="A129" s="80"/>
      <c r="C129" s="209"/>
      <c r="D129" s="209"/>
      <c r="E129" s="209"/>
    </row>
    <row r="130" spans="1:8" s="77" customFormat="1" x14ac:dyDescent="0.2">
      <c r="A130" s="80"/>
      <c r="C130" s="209"/>
      <c r="D130" s="209"/>
      <c r="E130" s="209"/>
    </row>
    <row r="131" spans="1:8" s="77" customFormat="1" x14ac:dyDescent="0.2">
      <c r="A131" s="80"/>
      <c r="C131" s="209"/>
      <c r="D131" s="209"/>
      <c r="E131" s="209"/>
    </row>
    <row r="132" spans="1:8" s="77" customFormat="1" x14ac:dyDescent="0.2">
      <c r="A132" s="80"/>
      <c r="C132" s="209"/>
      <c r="D132" s="209"/>
      <c r="E132" s="209"/>
    </row>
    <row r="133" spans="1:8" s="77" customFormat="1" x14ac:dyDescent="0.2">
      <c r="A133" s="80"/>
      <c r="C133" s="209"/>
      <c r="D133" s="209"/>
      <c r="E133" s="209"/>
    </row>
    <row r="134" spans="1:8" s="77" customFormat="1" x14ac:dyDescent="0.2">
      <c r="A134" s="80"/>
      <c r="C134" s="209"/>
      <c r="D134" s="209"/>
      <c r="E134" s="209"/>
      <c r="F134" s="209"/>
    </row>
    <row r="135" spans="1:8" s="77" customFormat="1" x14ac:dyDescent="0.2">
      <c r="A135" s="80"/>
      <c r="C135" s="209"/>
      <c r="D135" s="209"/>
      <c r="E135" s="209"/>
      <c r="F135" s="209"/>
    </row>
    <row r="136" spans="1:8" s="77" customFormat="1" x14ac:dyDescent="0.2">
      <c r="A136" s="80"/>
      <c r="C136" s="209"/>
      <c r="D136" s="209"/>
      <c r="E136" s="209"/>
      <c r="F136" s="209"/>
    </row>
    <row r="137" spans="1:8" s="77" customFormat="1" x14ac:dyDescent="0.2">
      <c r="A137" s="80"/>
      <c r="C137" s="209"/>
      <c r="D137" s="209"/>
      <c r="E137" s="209"/>
      <c r="F137" s="209"/>
    </row>
    <row r="138" spans="1:8" s="77" customFormat="1" ht="13.5" thickBot="1" x14ac:dyDescent="0.25">
      <c r="A138" s="80"/>
      <c r="C138" s="209"/>
      <c r="D138" s="209"/>
      <c r="E138" s="209"/>
      <c r="F138" s="209"/>
    </row>
    <row r="139" spans="1:8" s="77" customFormat="1" ht="18.75" x14ac:dyDescent="0.2">
      <c r="A139" s="807" t="s">
        <v>939</v>
      </c>
      <c r="B139" s="807"/>
      <c r="C139" s="807"/>
      <c r="D139" s="807"/>
      <c r="E139" s="807"/>
      <c r="F139" s="807"/>
      <c r="G139" s="807"/>
      <c r="H139" s="807"/>
    </row>
    <row r="140" spans="1:8" s="77" customFormat="1" x14ac:dyDescent="0.2">
      <c r="A140" s="209"/>
      <c r="B140" s="209"/>
      <c r="C140" s="729"/>
      <c r="D140" s="729"/>
      <c r="E140" s="729"/>
      <c r="F140" s="626"/>
      <c r="G140" s="729"/>
      <c r="H140" s="729"/>
    </row>
    <row r="141" spans="1:8" s="77" customFormat="1" x14ac:dyDescent="0.2">
      <c r="A141" s="209"/>
      <c r="B141" s="84" t="s">
        <v>868</v>
      </c>
      <c r="C141" s="209"/>
      <c r="D141" s="209"/>
      <c r="E141" s="209"/>
      <c r="F141" s="496">
        <f>'OSNOVNI PODATKI'!G376</f>
        <v>14</v>
      </c>
      <c r="G141" s="209"/>
      <c r="H141" s="209"/>
    </row>
    <row r="142" spans="1:8" s="77" customFormat="1" x14ac:dyDescent="0.2">
      <c r="A142" s="209"/>
      <c r="B142" s="84" t="s">
        <v>869</v>
      </c>
      <c r="C142" s="207"/>
      <c r="D142" s="83"/>
      <c r="E142" s="83"/>
      <c r="F142" s="482">
        <f>'ARHIGRAM 6'!I16</f>
        <v>55</v>
      </c>
      <c r="G142" s="207"/>
      <c r="H142" s="207"/>
    </row>
    <row r="143" spans="1:8" s="77" customFormat="1" x14ac:dyDescent="0.2">
      <c r="A143" s="209"/>
      <c r="B143" s="209"/>
      <c r="C143" s="209"/>
      <c r="D143" s="209"/>
      <c r="E143" s="209"/>
      <c r="G143" s="209"/>
      <c r="H143" s="209"/>
    </row>
    <row r="144" spans="1:8" s="77" customFormat="1" x14ac:dyDescent="0.2">
      <c r="B144" s="84" t="str">
        <f>'OSNOVNI PODATKI'!$B$384</f>
        <v>PRIBITEK ZA PRENOVO</v>
      </c>
      <c r="C144" s="207"/>
      <c r="D144" s="83"/>
      <c r="E144" s="83"/>
      <c r="F144" s="310">
        <f>'OSNOVNI PODATKI'!$F$384</f>
        <v>0</v>
      </c>
      <c r="G144" s="207"/>
      <c r="H144" s="207"/>
    </row>
    <row r="145" spans="1:9" s="77" customFormat="1" x14ac:dyDescent="0.2">
      <c r="B145" s="84"/>
      <c r="C145" s="207"/>
      <c r="D145" s="83"/>
      <c r="E145" s="83"/>
      <c r="F145" s="83"/>
      <c r="G145" s="207"/>
      <c r="H145" s="207"/>
    </row>
    <row r="146" spans="1:9" s="2" customFormat="1" x14ac:dyDescent="0.2">
      <c r="A146" s="211"/>
      <c r="B146" s="211"/>
      <c r="C146" s="211"/>
      <c r="D146" s="211"/>
      <c r="E146" s="211"/>
      <c r="F146" s="211"/>
      <c r="G146" s="211"/>
      <c r="H146" s="211"/>
    </row>
    <row r="147" spans="1:9" s="2" customFormat="1" x14ac:dyDescent="0.2">
      <c r="A147" s="209"/>
      <c r="B147" s="209"/>
      <c r="C147" s="209"/>
      <c r="D147" s="209"/>
      <c r="E147" s="209"/>
      <c r="F147" s="209"/>
      <c r="G147" s="209"/>
      <c r="H147" s="209"/>
    </row>
    <row r="148" spans="1:9" s="2" customFormat="1" x14ac:dyDescent="0.2">
      <c r="A148" s="209"/>
      <c r="B148" s="209"/>
      <c r="C148" s="209"/>
      <c r="D148" s="209"/>
      <c r="E148" s="209"/>
      <c r="F148" s="209"/>
      <c r="G148" s="209"/>
      <c r="H148" s="209"/>
    </row>
    <row r="149" spans="1:9" s="2" customFormat="1" x14ac:dyDescent="0.2">
      <c r="A149" s="209"/>
      <c r="B149" s="209"/>
      <c r="C149" s="209"/>
      <c r="D149" s="209"/>
      <c r="E149" s="209"/>
      <c r="F149" s="209"/>
      <c r="G149" s="209"/>
      <c r="H149" s="209"/>
    </row>
    <row r="150" spans="1:9" s="12" customFormat="1" ht="38.25" x14ac:dyDescent="0.25">
      <c r="A150" s="105"/>
      <c r="B150" s="106"/>
      <c r="C150" s="106"/>
      <c r="D150" s="106"/>
      <c r="E150" s="107" t="s">
        <v>25</v>
      </c>
      <c r="F150" s="299" t="s">
        <v>481</v>
      </c>
      <c r="G150" s="606" t="s">
        <v>57</v>
      </c>
      <c r="H150" s="108" t="s">
        <v>70</v>
      </c>
      <c r="I150" s="411" t="s">
        <v>907</v>
      </c>
    </row>
    <row r="151" spans="1:9" s="13" customFormat="1" ht="14.25" x14ac:dyDescent="0.2">
      <c r="A151" s="101" t="s">
        <v>29</v>
      </c>
      <c r="B151" s="102" t="s">
        <v>30</v>
      </c>
      <c r="C151" s="102"/>
      <c r="D151" s="102"/>
      <c r="E151" s="103"/>
      <c r="F151" s="103"/>
      <c r="G151" s="607"/>
      <c r="H151" s="104"/>
    </row>
    <row r="152" spans="1:9" s="13" customFormat="1" ht="14.25" x14ac:dyDescent="0.2">
      <c r="A152" s="85" t="s">
        <v>31</v>
      </c>
      <c r="B152" s="97" t="s">
        <v>65</v>
      </c>
      <c r="C152" s="97"/>
      <c r="D152" s="97"/>
      <c r="E152" s="86"/>
      <c r="F152" s="86"/>
      <c r="G152" s="608"/>
      <c r="H152" s="87" t="str">
        <f>IF(I152=TRUE,G152*'VREDNOST NU'!#REF!,"")</f>
        <v/>
      </c>
    </row>
    <row r="153" spans="1:9" s="13" customFormat="1" ht="14.25" x14ac:dyDescent="0.2">
      <c r="A153" s="110" t="s">
        <v>32</v>
      </c>
      <c r="B153" s="111" t="s">
        <v>66</v>
      </c>
      <c r="C153" s="111"/>
      <c r="D153" s="111"/>
      <c r="E153" s="112"/>
      <c r="F153" s="112"/>
      <c r="G153" s="609"/>
      <c r="H153" s="91" t="str">
        <f>IF(I153=TRUE,G153*'VREDNOST NU'!#REF!,"")</f>
        <v/>
      </c>
    </row>
    <row r="154" spans="1:9" s="13" customFormat="1" ht="14.25" x14ac:dyDescent="0.2">
      <c r="A154" s="109" t="s">
        <v>33</v>
      </c>
      <c r="B154" s="102" t="s">
        <v>34</v>
      </c>
      <c r="C154" s="102"/>
      <c r="D154" s="102"/>
      <c r="E154" s="103">
        <f>SUM(E155:E157)</f>
        <v>0.03</v>
      </c>
      <c r="F154" s="103">
        <f>SUM(F155:F157)</f>
        <v>0.03</v>
      </c>
      <c r="G154" s="613">
        <f>SUM(G155:G157)</f>
        <v>0.42</v>
      </c>
      <c r="H154" s="104">
        <f>SUM(H155:H157)</f>
        <v>23.099999999999998</v>
      </c>
      <c r="I154" s="125">
        <f>IFERROR(H154/'OSNOVNI PODATKI'!$E$332,0)</f>
        <v>0</v>
      </c>
    </row>
    <row r="155" spans="1:9" s="13" customFormat="1" ht="14.25" x14ac:dyDescent="0.2">
      <c r="A155" s="88" t="s">
        <v>35</v>
      </c>
      <c r="B155" s="96" t="s">
        <v>67</v>
      </c>
      <c r="C155" s="96"/>
      <c r="D155" s="96"/>
      <c r="E155" s="86">
        <v>1.4999999999999999E-2</v>
      </c>
      <c r="F155" s="300">
        <f>E155*(100%+$F$144)</f>
        <v>1.4999999999999999E-2</v>
      </c>
      <c r="G155" s="614">
        <f>F155*$F$141</f>
        <v>0.21</v>
      </c>
      <c r="H155" s="87">
        <f>+G155*$F$142</f>
        <v>11.549999999999999</v>
      </c>
    </row>
    <row r="156" spans="1:9" s="13" customFormat="1" ht="14.25" x14ac:dyDescent="0.2">
      <c r="A156" s="88" t="s">
        <v>36</v>
      </c>
      <c r="B156" s="96" t="s">
        <v>68</v>
      </c>
      <c r="C156" s="96"/>
      <c r="D156" s="96"/>
      <c r="E156" s="86">
        <v>1.4999999999999999E-2</v>
      </c>
      <c r="F156" s="86">
        <f>E156*(100%+$F$144)</f>
        <v>1.4999999999999999E-2</v>
      </c>
      <c r="G156" s="614">
        <f>F156*$F$141</f>
        <v>0.21</v>
      </c>
      <c r="H156" s="87">
        <f>+G156*$F$142</f>
        <v>11.549999999999999</v>
      </c>
    </row>
    <row r="157" spans="1:9" s="13" customFormat="1" ht="14.25" x14ac:dyDescent="0.2">
      <c r="A157" s="114" t="s">
        <v>37</v>
      </c>
      <c r="B157" s="115" t="s">
        <v>837</v>
      </c>
      <c r="C157" s="115"/>
      <c r="D157" s="115"/>
      <c r="E157" s="112"/>
      <c r="F157" s="112"/>
      <c r="G157" s="615"/>
      <c r="H157" s="91"/>
    </row>
    <row r="158" spans="1:9" s="13" customFormat="1" ht="14.25" x14ac:dyDescent="0.2">
      <c r="A158" s="113">
        <v>2</v>
      </c>
      <c r="B158" s="102" t="s">
        <v>38</v>
      </c>
      <c r="C158" s="102"/>
      <c r="D158" s="102"/>
      <c r="E158" s="103">
        <f>+E159+E160+E161+E162+E163</f>
        <v>0.92</v>
      </c>
      <c r="F158" s="103">
        <f>+F159+F160+F161+F162+F163</f>
        <v>0.92</v>
      </c>
      <c r="G158" s="616">
        <f>SUM(G159:G163)</f>
        <v>12.88</v>
      </c>
      <c r="H158" s="104">
        <f>SUM(H159:H163)</f>
        <v>708.40000000000009</v>
      </c>
      <c r="I158" s="125">
        <f>IFERROR(H158/'OSNOVNI PODATKI'!$E$332,0)</f>
        <v>0</v>
      </c>
    </row>
    <row r="159" spans="1:9" s="13" customFormat="1" ht="14.25" x14ac:dyDescent="0.2">
      <c r="A159" s="88" t="s">
        <v>51</v>
      </c>
      <c r="B159" s="96" t="s">
        <v>94</v>
      </c>
      <c r="C159" s="96"/>
      <c r="D159" s="96"/>
      <c r="E159" s="99">
        <v>0.15</v>
      </c>
      <c r="F159" s="99">
        <f>E159*(100%+$F$144)</f>
        <v>0.15</v>
      </c>
      <c r="G159" s="614">
        <f>F159*$F$141</f>
        <v>2.1</v>
      </c>
      <c r="H159" s="87">
        <f>+G159*$F$142</f>
        <v>115.5</v>
      </c>
    </row>
    <row r="160" spans="1:9" s="13" customFormat="1" ht="14.25" x14ac:dyDescent="0.2">
      <c r="A160" s="89" t="s">
        <v>52</v>
      </c>
      <c r="B160" s="100" t="s">
        <v>737</v>
      </c>
      <c r="C160" s="100"/>
      <c r="D160" s="100"/>
      <c r="E160" s="99">
        <v>0.4</v>
      </c>
      <c r="F160" s="99">
        <f>E160*(100%+$F$144)</f>
        <v>0.4</v>
      </c>
      <c r="G160" s="614">
        <f>F160*$F$141</f>
        <v>5.6000000000000005</v>
      </c>
      <c r="H160" s="87">
        <f>+G160*$F$142</f>
        <v>308.00000000000006</v>
      </c>
    </row>
    <row r="161" spans="1:9" s="13" customFormat="1" ht="14.25" x14ac:dyDescent="0.2">
      <c r="A161" s="89" t="s">
        <v>53</v>
      </c>
      <c r="B161" s="100" t="s">
        <v>841</v>
      </c>
      <c r="C161" s="100"/>
      <c r="D161" s="100"/>
      <c r="E161" s="99"/>
      <c r="F161" s="99"/>
      <c r="G161" s="614"/>
      <c r="H161" s="87"/>
    </row>
    <row r="162" spans="1:9" s="13" customFormat="1" ht="14.25" x14ac:dyDescent="0.2">
      <c r="A162" s="89" t="s">
        <v>95</v>
      </c>
      <c r="B162" s="100" t="s">
        <v>738</v>
      </c>
      <c r="C162" s="100"/>
      <c r="D162" s="100"/>
      <c r="E162" s="99">
        <v>0.37</v>
      </c>
      <c r="F162" s="99">
        <f>E162*(100%+$F$144)</f>
        <v>0.37</v>
      </c>
      <c r="G162" s="614">
        <f>F162*$F$141</f>
        <v>5.18</v>
      </c>
      <c r="H162" s="87">
        <f>+G162*$F$142</f>
        <v>284.89999999999998</v>
      </c>
    </row>
    <row r="163" spans="1:9" s="13" customFormat="1" ht="14.25" x14ac:dyDescent="0.2">
      <c r="A163" s="117" t="s">
        <v>96</v>
      </c>
      <c r="B163" s="118" t="s">
        <v>838</v>
      </c>
      <c r="C163" s="118"/>
      <c r="D163" s="118"/>
      <c r="E163" s="119"/>
      <c r="F163" s="119"/>
      <c r="G163" s="615"/>
      <c r="H163" s="91"/>
    </row>
    <row r="164" spans="1:9" s="13" customFormat="1" ht="14.25" x14ac:dyDescent="0.2">
      <c r="A164" s="116" t="s">
        <v>39</v>
      </c>
      <c r="B164" s="102" t="s">
        <v>121</v>
      </c>
      <c r="C164" s="102"/>
      <c r="D164" s="102"/>
      <c r="E164" s="103">
        <f>SUM(E165:E166)</f>
        <v>0</v>
      </c>
      <c r="F164" s="103">
        <f>SUM(F165:F166)</f>
        <v>0</v>
      </c>
      <c r="G164" s="613">
        <f>SUM(G165:G166)</f>
        <v>0</v>
      </c>
      <c r="H164" s="104">
        <f>SUM(H165:H166)</f>
        <v>0</v>
      </c>
      <c r="I164" s="125">
        <f>IFERROR(H164/'OSNOVNI PODATKI'!$E$332,0)</f>
        <v>0</v>
      </c>
    </row>
    <row r="165" spans="1:9" s="13" customFormat="1" ht="14.25" x14ac:dyDescent="0.2">
      <c r="A165" s="89" t="s">
        <v>40</v>
      </c>
      <c r="B165" s="95" t="s">
        <v>839</v>
      </c>
      <c r="C165" s="95"/>
      <c r="D165" s="95"/>
      <c r="E165" s="86"/>
      <c r="F165" s="86"/>
      <c r="G165" s="614"/>
      <c r="H165" s="87"/>
    </row>
    <row r="166" spans="1:9" s="13" customFormat="1" ht="14.25" x14ac:dyDescent="0.2">
      <c r="A166" s="117" t="s">
        <v>41</v>
      </c>
      <c r="B166" s="90" t="s">
        <v>201</v>
      </c>
      <c r="C166" s="90"/>
      <c r="D166" s="90"/>
      <c r="E166" s="112"/>
      <c r="F166" s="112"/>
      <c r="G166" s="615"/>
      <c r="H166" s="91"/>
    </row>
    <row r="167" spans="1:9" s="13" customFormat="1" ht="14.25" x14ac:dyDescent="0.2">
      <c r="A167" s="120">
        <v>4</v>
      </c>
      <c r="B167" s="102" t="s">
        <v>60</v>
      </c>
      <c r="C167" s="102"/>
      <c r="D167" s="102"/>
      <c r="E167" s="103">
        <f>SUM(E168:E172)</f>
        <v>0.05</v>
      </c>
      <c r="F167" s="103">
        <f>SUM(F168:F172)</f>
        <v>0.05</v>
      </c>
      <c r="G167" s="613">
        <f>SUM(G168:G172)</f>
        <v>0.70000000000000007</v>
      </c>
      <c r="H167" s="104">
        <f>SUM(H168:H172)</f>
        <v>38.500000000000007</v>
      </c>
      <c r="I167" s="125">
        <f>IFERROR(H167/'OSNOVNI PODATKI'!$E$332,0)</f>
        <v>0</v>
      </c>
    </row>
    <row r="168" spans="1:9" s="13" customFormat="1" ht="14.25" x14ac:dyDescent="0.2">
      <c r="A168" s="89" t="s">
        <v>42</v>
      </c>
      <c r="B168" s="95" t="s">
        <v>202</v>
      </c>
      <c r="C168" s="95"/>
      <c r="D168" s="95"/>
      <c r="E168" s="86"/>
      <c r="F168" s="86"/>
      <c r="G168" s="614"/>
      <c r="H168" s="87"/>
    </row>
    <row r="169" spans="1:9" s="13" customFormat="1" ht="14.25" x14ac:dyDescent="0.2">
      <c r="A169" s="89" t="s">
        <v>43</v>
      </c>
      <c r="B169" s="95" t="s">
        <v>858</v>
      </c>
      <c r="C169" s="95"/>
      <c r="D169" s="95"/>
      <c r="E169" s="86"/>
      <c r="F169" s="86"/>
      <c r="G169" s="614"/>
      <c r="H169" s="87"/>
    </row>
    <row r="170" spans="1:9" s="13" customFormat="1" ht="14.25" x14ac:dyDescent="0.2">
      <c r="A170" s="89" t="s">
        <v>44</v>
      </c>
      <c r="B170" s="95" t="s">
        <v>953</v>
      </c>
      <c r="C170" s="95"/>
      <c r="D170" s="95"/>
      <c r="E170" s="86"/>
      <c r="F170" s="86"/>
      <c r="G170" s="614"/>
      <c r="H170" s="87"/>
    </row>
    <row r="171" spans="1:9" s="13" customFormat="1" ht="14.25" x14ac:dyDescent="0.2">
      <c r="A171" s="89" t="s">
        <v>45</v>
      </c>
      <c r="B171" s="95" t="s">
        <v>859</v>
      </c>
      <c r="C171" s="95"/>
      <c r="D171" s="95"/>
      <c r="E171" s="86"/>
      <c r="F171" s="86"/>
      <c r="G171" s="614"/>
      <c r="H171" s="87"/>
    </row>
    <row r="172" spans="1:9" s="13" customFormat="1" ht="14.25" x14ac:dyDescent="0.2">
      <c r="A172" s="117" t="s">
        <v>46</v>
      </c>
      <c r="B172" s="90" t="s">
        <v>840</v>
      </c>
      <c r="C172" s="90"/>
      <c r="D172" s="90"/>
      <c r="E172" s="112">
        <v>0.05</v>
      </c>
      <c r="F172" s="112">
        <f>E172*(100%+$F$144)</f>
        <v>0.05</v>
      </c>
      <c r="G172" s="615">
        <f>F172*$F$141</f>
        <v>0.70000000000000007</v>
      </c>
      <c r="H172" s="91">
        <f>+G172*$F$142</f>
        <v>38.500000000000007</v>
      </c>
    </row>
    <row r="173" spans="1:9" s="13" customFormat="1" ht="14.25" x14ac:dyDescent="0.2">
      <c r="A173" s="121">
        <v>5</v>
      </c>
      <c r="B173" s="102" t="s">
        <v>47</v>
      </c>
      <c r="C173" s="102"/>
      <c r="D173" s="102"/>
      <c r="E173" s="103">
        <f>SUM(E174:E175)</f>
        <v>0</v>
      </c>
      <c r="F173" s="103">
        <f>SUM(F174:F175)</f>
        <v>0</v>
      </c>
      <c r="G173" s="613">
        <f>SUM(G174:G175)</f>
        <v>0</v>
      </c>
      <c r="H173" s="104">
        <f>SUM(H174:H175)</f>
        <v>0</v>
      </c>
      <c r="I173" s="125">
        <f>IFERROR(H173/'OSNOVNI PODATKI'!$E$332,0)</f>
        <v>0</v>
      </c>
    </row>
    <row r="174" spans="1:9" s="13" customFormat="1" ht="14.25" x14ac:dyDescent="0.2">
      <c r="A174" s="89" t="s">
        <v>48</v>
      </c>
      <c r="B174" s="98" t="s">
        <v>204</v>
      </c>
      <c r="C174" s="98"/>
      <c r="D174" s="98"/>
      <c r="E174" s="86"/>
      <c r="F174" s="86"/>
      <c r="G174" s="614"/>
      <c r="H174" s="87"/>
    </row>
    <row r="175" spans="1:9" s="13" customFormat="1" ht="14.25" x14ac:dyDescent="0.2">
      <c r="A175" s="117" t="s">
        <v>49</v>
      </c>
      <c r="B175" s="123" t="s">
        <v>205</v>
      </c>
      <c r="C175" s="123"/>
      <c r="D175" s="123"/>
      <c r="E175" s="112"/>
      <c r="F175" s="112"/>
      <c r="G175" s="615"/>
      <c r="H175" s="91"/>
    </row>
    <row r="176" spans="1:9" s="13" customFormat="1" ht="14.25" x14ac:dyDescent="0.2">
      <c r="A176" s="122">
        <v>6</v>
      </c>
      <c r="B176" s="102" t="s">
        <v>50</v>
      </c>
      <c r="C176" s="102"/>
      <c r="D176" s="102"/>
      <c r="E176" s="103"/>
      <c r="F176" s="103"/>
      <c r="G176" s="607"/>
      <c r="H176" s="104"/>
    </row>
    <row r="177" spans="1:9" s="13" customFormat="1" ht="14.25" x14ac:dyDescent="0.2">
      <c r="A177" s="89" t="s">
        <v>54</v>
      </c>
      <c r="B177" s="98" t="s">
        <v>206</v>
      </c>
      <c r="C177" s="98"/>
      <c r="D177" s="98"/>
      <c r="E177" s="86"/>
      <c r="F177" s="86"/>
      <c r="G177" s="608"/>
      <c r="H177" s="87"/>
    </row>
    <row r="178" spans="1:9" s="13" customFormat="1" ht="14.25" x14ac:dyDescent="0.2">
      <c r="A178" s="89" t="s">
        <v>55</v>
      </c>
      <c r="B178" s="98" t="s">
        <v>207</v>
      </c>
      <c r="C178" s="98"/>
      <c r="D178" s="98"/>
      <c r="E178" s="86"/>
      <c r="F178" s="86"/>
      <c r="G178" s="608"/>
      <c r="H178" s="87"/>
    </row>
    <row r="179" spans="1:9" s="13" customFormat="1" ht="14.25" x14ac:dyDescent="0.2">
      <c r="A179" s="117" t="s">
        <v>56</v>
      </c>
      <c r="B179" s="123" t="s">
        <v>208</v>
      </c>
      <c r="C179" s="123"/>
      <c r="D179" s="123"/>
      <c r="E179" s="112"/>
      <c r="F179" s="112"/>
      <c r="G179" s="609"/>
      <c r="H179" s="91"/>
    </row>
    <row r="180" spans="1:9" s="13" customFormat="1" ht="14.25" x14ac:dyDescent="0.2">
      <c r="A180" s="92"/>
      <c r="B180" s="93"/>
      <c r="C180" s="93"/>
      <c r="D180" s="93"/>
      <c r="E180" s="94"/>
      <c r="F180" s="94"/>
      <c r="G180" s="610"/>
      <c r="H180" s="93"/>
    </row>
    <row r="181" spans="1:9" s="13" customFormat="1" ht="14.25" x14ac:dyDescent="0.2">
      <c r="A181" s="126"/>
      <c r="B181" s="127" t="s">
        <v>1</v>
      </c>
      <c r="C181" s="127"/>
      <c r="D181" s="127"/>
      <c r="E181" s="128">
        <f>E151+E154+E158+E164+E167+E173+E176</f>
        <v>1</v>
      </c>
      <c r="F181" s="128">
        <f>F151+F154+F158+F164+F167+F173+F176</f>
        <v>1</v>
      </c>
      <c r="G181" s="611">
        <f>G151+G154+G158+G164+G167+G173+G176</f>
        <v>14</v>
      </c>
      <c r="H181" s="129">
        <f>H151+H154+H158+H164+H167+H173+H176</f>
        <v>770.00000000000011</v>
      </c>
      <c r="I181" s="125">
        <f>IFERROR(H181/'OSNOVNI PODATKI'!$E$332,0)</f>
        <v>0</v>
      </c>
    </row>
    <row r="182" spans="1:9" s="13" customFormat="1" ht="14.25" x14ac:dyDescent="0.2">
      <c r="A182" s="29"/>
    </row>
    <row r="183" spans="1:9" x14ac:dyDescent="0.2">
      <c r="A183" s="29"/>
    </row>
    <row r="194" spans="5:6" x14ac:dyDescent="0.2">
      <c r="E194" s="238"/>
      <c r="F194" s="237"/>
    </row>
    <row r="195" spans="5:6" x14ac:dyDescent="0.2">
      <c r="E195" s="238"/>
      <c r="F195" s="237"/>
    </row>
    <row r="196" spans="5:6" x14ac:dyDescent="0.2">
      <c r="E196" s="238"/>
      <c r="F196" s="237"/>
    </row>
    <row r="197" spans="5:6" x14ac:dyDescent="0.2">
      <c r="E197" s="238"/>
      <c r="F197" s="237"/>
    </row>
  </sheetData>
  <sheetProtection algorithmName="SHA-512" hashValue="vmy5Hpe1ojVwdxh8cAXjDV704HrQbETvImj4O0voy4BhiRNd8xBQiFehzVI1rMCFEYaSQaKMdOw3Hy4JXw7k6Q==" saltValue="gAiOwq8HFpz/gaHRtWAcI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0E1E-5257-47BE-8804-8A9D9FCBD668}">
  <sheetPr codeName="Sheet16"/>
  <dimension ref="A1:V266"/>
  <sheetViews>
    <sheetView topLeftCell="A217" workbookViewId="0">
      <selection activeCell="J243" sqref="J243"/>
    </sheetView>
  </sheetViews>
  <sheetFormatPr defaultColWidth="9.140625" defaultRowHeight="12.75" x14ac:dyDescent="0.2"/>
  <cols>
    <col min="1" max="1" width="8.140625" style="75" customWidth="1"/>
    <col min="2" max="2" width="28.85546875" style="75" customWidth="1"/>
    <col min="3" max="5" width="13.5703125" style="75" customWidth="1"/>
    <col min="6" max="6" width="28.5703125" style="75" customWidth="1"/>
    <col min="7" max="9" width="13.5703125" style="75" customWidth="1"/>
    <col min="10" max="10" width="28.7109375" style="75" customWidth="1"/>
    <col min="11" max="12" width="13.5703125" style="75" customWidth="1"/>
    <col min="13" max="16384" width="9.140625" style="75"/>
  </cols>
  <sheetData>
    <row r="1" spans="1:22" ht="26.25" x14ac:dyDescent="0.2">
      <c r="B1" s="723" t="s">
        <v>1121</v>
      </c>
      <c r="C1" s="4"/>
      <c r="D1" s="4"/>
      <c r="E1" s="4"/>
      <c r="F1" s="4"/>
      <c r="G1" s="4"/>
      <c r="H1" s="4"/>
      <c r="I1"/>
      <c r="J1"/>
      <c r="K1"/>
      <c r="L1"/>
      <c r="N1" s="5"/>
      <c r="V1" s="5"/>
    </row>
    <row r="2" spans="1:22" ht="27" thickBot="1" x14ac:dyDescent="0.25">
      <c r="B2" s="5"/>
      <c r="C2" s="4"/>
      <c r="D2" s="4"/>
      <c r="E2" s="4"/>
      <c r="F2" s="4"/>
      <c r="G2" s="4"/>
      <c r="H2" s="4"/>
      <c r="I2"/>
      <c r="J2"/>
      <c r="K2"/>
      <c r="L2"/>
      <c r="N2" s="5"/>
      <c r="V2" s="5"/>
    </row>
    <row r="3" spans="1:22" ht="18.75" x14ac:dyDescent="0.2">
      <c r="A3" s="807" t="s">
        <v>940</v>
      </c>
      <c r="B3" s="807"/>
      <c r="C3" s="807"/>
      <c r="D3" s="807"/>
      <c r="E3" s="807"/>
      <c r="F3" s="807"/>
      <c r="G3" s="807"/>
      <c r="H3" s="807"/>
      <c r="I3" s="807"/>
      <c r="J3" s="807"/>
      <c r="K3" s="807"/>
      <c r="L3" s="807"/>
    </row>
    <row r="4" spans="1:22" ht="18.75" x14ac:dyDescent="0.2">
      <c r="A4" s="856"/>
      <c r="B4" s="856"/>
      <c r="C4" s="856"/>
      <c r="D4" s="856"/>
      <c r="E4" s="856"/>
      <c r="F4" s="856"/>
      <c r="G4" s="856"/>
      <c r="H4" s="856"/>
      <c r="I4" s="856"/>
      <c r="J4" s="856"/>
      <c r="K4" s="856"/>
      <c r="L4" s="856"/>
    </row>
    <row r="5" spans="1:22" s="77" customFormat="1" x14ac:dyDescent="0.2">
      <c r="B5" s="205" t="s">
        <v>372</v>
      </c>
      <c r="D5" s="205"/>
      <c r="E5" s="205"/>
      <c r="F5" s="205" t="s">
        <v>69</v>
      </c>
      <c r="J5" s="205" t="s">
        <v>373</v>
      </c>
    </row>
    <row r="6" spans="1:22" s="77" customFormat="1" x14ac:dyDescent="0.2">
      <c r="A6" s="80"/>
      <c r="B6" s="538" t="s">
        <v>941</v>
      </c>
      <c r="C6" s="618">
        <f>'OSNOVNI PODATKI'!H11</f>
        <v>1</v>
      </c>
      <c r="D6" s="538" t="str">
        <f>IF(C6=1,'OSNOVNI PODATKI'!B11,'OSNOVNI PODATKI'!B12)</f>
        <v>ENA STAVBA Z RAZLIČNIMI DELI (PRI IZRAČUNU POTREBNIH NU SE UPOŠTEVA SEŠTEVEK POVRŠIN VSEH DELOV)</v>
      </c>
      <c r="E6" s="498"/>
      <c r="F6" s="498"/>
      <c r="G6" s="207"/>
      <c r="H6" s="207"/>
      <c r="I6" s="207"/>
    </row>
    <row r="7" spans="1:22" s="77" customFormat="1" x14ac:dyDescent="0.2">
      <c r="A7" s="80"/>
      <c r="B7" s="538" t="s">
        <v>942</v>
      </c>
      <c r="C7" s="618">
        <f>'OSNOVNI PODATKI'!E329</f>
        <v>400</v>
      </c>
      <c r="D7" s="538"/>
      <c r="E7" s="498"/>
      <c r="F7" s="498"/>
      <c r="G7" s="207"/>
      <c r="H7" s="207"/>
      <c r="I7" s="207"/>
    </row>
    <row r="8" spans="1:22" s="77" customFormat="1" x14ac:dyDescent="0.2">
      <c r="A8" s="80"/>
      <c r="B8" s="645" t="s">
        <v>950</v>
      </c>
      <c r="D8" s="209"/>
      <c r="E8" s="209"/>
    </row>
    <row r="9" spans="1:22" s="77" customFormat="1" x14ac:dyDescent="0.2">
      <c r="A9" s="80"/>
      <c r="B9" s="209" t="str">
        <f>'OSNOVNI PODATKI'!A15</f>
        <v>STAVBA 1 / DEL 1</v>
      </c>
      <c r="C9" s="541">
        <f>'OSNOVNI PODATKI'!E15</f>
        <v>0</v>
      </c>
      <c r="D9" s="209"/>
      <c r="E9" s="209"/>
    </row>
    <row r="10" spans="1:22" s="77" customFormat="1" x14ac:dyDescent="0.2">
      <c r="A10" s="80"/>
      <c r="B10" s="202" t="s">
        <v>718</v>
      </c>
      <c r="C10" s="84" t="str">
        <f>'OSNOVNI PODATKI'!E16</f>
        <v>Večstanovanjske stavbe ali skupine stanovanjskih stavb v strnjeni pozidavi, srednji standard</v>
      </c>
      <c r="D10" s="498"/>
      <c r="E10" s="498"/>
      <c r="I10" s="498"/>
    </row>
    <row r="11" spans="1:22" s="77" customFormat="1" x14ac:dyDescent="0.2">
      <c r="A11" s="80"/>
      <c r="B11" s="202" t="s">
        <v>943</v>
      </c>
      <c r="C11" s="84">
        <f>'OSNOVNI PODATKI'!E17</f>
        <v>400</v>
      </c>
      <c r="D11" s="498"/>
      <c r="E11" s="498"/>
      <c r="F11" s="498"/>
      <c r="G11" s="498"/>
      <c r="H11" s="498"/>
      <c r="I11" s="498"/>
    </row>
    <row r="12" spans="1:22" s="77" customFormat="1" x14ac:dyDescent="0.2">
      <c r="A12" s="80"/>
      <c r="B12" s="202" t="s">
        <v>944</v>
      </c>
      <c r="C12" s="84">
        <f>IF($C$6=1,$C$7,C11)</f>
        <v>400</v>
      </c>
      <c r="D12" s="498"/>
      <c r="E12" s="498"/>
      <c r="I12" s="498"/>
    </row>
    <row r="13" spans="1:22" s="77" customFormat="1" x14ac:dyDescent="0.2">
      <c r="A13" s="80"/>
      <c r="B13" s="538" t="s">
        <v>878</v>
      </c>
      <c r="C13" s="537">
        <f>'OSNOVNI PODATKI'!E27</f>
        <v>-13</v>
      </c>
      <c r="D13" s="498"/>
      <c r="E13" s="498"/>
      <c r="F13" s="538"/>
      <c r="G13" s="579"/>
      <c r="I13" s="498"/>
      <c r="J13" s="538"/>
      <c r="K13" s="579"/>
    </row>
    <row r="14" spans="1:22" s="77" customFormat="1" x14ac:dyDescent="0.2">
      <c r="A14" s="80"/>
      <c r="B14" s="538" t="s">
        <v>1033</v>
      </c>
      <c r="C14" s="1301">
        <f>IF((C23+C24+C25)&lt;25%*C22,C12*(1000+C13),(C22-37.5%*C22+50%)*C12*(1000+C13))</f>
        <v>393566.25</v>
      </c>
      <c r="D14" s="498"/>
      <c r="E14" s="498"/>
      <c r="F14" s="538" t="s">
        <v>1033</v>
      </c>
      <c r="G14" s="1301">
        <f>C22*C12*(1000+C13)</f>
        <v>313866</v>
      </c>
      <c r="I14" s="498"/>
      <c r="J14" s="538" t="s">
        <v>1033</v>
      </c>
      <c r="K14" s="1301">
        <f>95%*C12*(1000+C13)</f>
        <v>375060</v>
      </c>
    </row>
    <row r="15" spans="1:22" s="77" customFormat="1" x14ac:dyDescent="0.2">
      <c r="A15" s="80"/>
      <c r="B15" s="202" t="s">
        <v>116</v>
      </c>
      <c r="C15" s="84" t="str">
        <f>'OSNOVNI PODATKI'!E24</f>
        <v>Cenovni razred III</v>
      </c>
      <c r="D15" s="498"/>
      <c r="E15" s="498"/>
      <c r="F15" s="202" t="s">
        <v>116</v>
      </c>
      <c r="G15" s="84" t="str">
        <f>'OSNOVNI PODATKI'!E25</f>
        <v>Cenovni razred I</v>
      </c>
      <c r="H15" s="498"/>
      <c r="I15" s="498"/>
      <c r="J15" s="202" t="s">
        <v>116</v>
      </c>
      <c r="K15" s="84" t="str">
        <f>'OSNOVNI PODATKI'!E22</f>
        <v>Cenovni razred I</v>
      </c>
      <c r="L15" s="498"/>
    </row>
    <row r="16" spans="1:22" s="77" customFormat="1" x14ac:dyDescent="0.2">
      <c r="A16" s="80"/>
      <c r="B16" s="530" t="s">
        <v>84</v>
      </c>
      <c r="C16" s="531">
        <f>IFERROR(0.0122*POWER(C14,0.5823)/C12,"/")</f>
        <v>5.5243187944555412E-2</v>
      </c>
      <c r="D16" s="532" t="s">
        <v>871</v>
      </c>
      <c r="E16" s="209"/>
      <c r="F16" s="530" t="s">
        <v>84</v>
      </c>
      <c r="G16" s="531">
        <f>IFERROR(POWER(G14,0.6571)*0.0061/C12,"/")</f>
        <v>6.2399413145267459E-2</v>
      </c>
      <c r="H16" s="532" t="s">
        <v>871</v>
      </c>
      <c r="J16" s="530" t="s">
        <v>84</v>
      </c>
      <c r="K16" s="531">
        <f>IFERROR((-6*POWER(10,-13)*POWER(K14,2)+4*POWER(10,-5)*K14+21.161)/C12,"/")</f>
        <v>9.0197494994600017E-2</v>
      </c>
      <c r="L16" s="532" t="s">
        <v>871</v>
      </c>
    </row>
    <row r="17" spans="1:12" s="77" customFormat="1" x14ac:dyDescent="0.2">
      <c r="A17" s="80"/>
      <c r="B17" s="533" t="s">
        <v>85</v>
      </c>
      <c r="C17" s="534">
        <f>IFERROR(0.0138*POWER(C14,0.5835)/C12,"/")</f>
        <v>6.3461745020187782E-2</v>
      </c>
      <c r="D17" s="497" t="s">
        <v>871</v>
      </c>
      <c r="E17" s="209"/>
      <c r="F17" s="533" t="s">
        <v>85</v>
      </c>
      <c r="G17" s="534">
        <f>IFERROR(POWER(G14,0.6566)*0.0071/C12,"/")</f>
        <v>7.2170654994840766E-2</v>
      </c>
      <c r="H17" s="497" t="s">
        <v>871</v>
      </c>
      <c r="J17" s="533" t="s">
        <v>85</v>
      </c>
      <c r="K17" s="534">
        <f>IFERROR((-8*POWER(10,-13)*POWER(K14,2)+5*POWER(10,-5)*K14+27.291)/C12,"/")</f>
        <v>0.11482865999280001</v>
      </c>
      <c r="L17" s="497" t="s">
        <v>871</v>
      </c>
    </row>
    <row r="18" spans="1:12" s="77" customFormat="1" x14ac:dyDescent="0.2">
      <c r="A18" s="80"/>
      <c r="B18" s="533" t="s">
        <v>86</v>
      </c>
      <c r="C18" s="534">
        <f>IFERROR(0.0168*POWER(C14,0.5814)/C12,"/")</f>
        <v>7.5195641321149004E-2</v>
      </c>
      <c r="D18" s="497" t="s">
        <v>871</v>
      </c>
      <c r="E18" s="209"/>
      <c r="F18" s="533" t="s">
        <v>86</v>
      </c>
      <c r="G18" s="534">
        <f>IFERROR(POWER(G14,0.6558)*0.0082/C12,"/")</f>
        <v>8.2512311775592123E-2</v>
      </c>
      <c r="H18" s="497" t="s">
        <v>871</v>
      </c>
      <c r="J18" s="533" t="s">
        <v>86</v>
      </c>
      <c r="K18" s="534">
        <f>IFERROR((-1*POWER(10,-12)*POWER(K14,2)+6*POWER(10,-5)*K14+33.622)/C12,"/")</f>
        <v>0.139962324991</v>
      </c>
      <c r="L18" s="497" t="s">
        <v>871</v>
      </c>
    </row>
    <row r="19" spans="1:12" s="77" customFormat="1" x14ac:dyDescent="0.2">
      <c r="A19" s="80"/>
      <c r="B19" s="533" t="s">
        <v>87</v>
      </c>
      <c r="C19" s="534">
        <f>IFERROR(0.0201*POWER(C14,0.5829)/C12,"/")</f>
        <v>9.17216735225619E-2</v>
      </c>
      <c r="D19" s="497" t="s">
        <v>871</v>
      </c>
      <c r="E19" s="209"/>
      <c r="F19" s="533" t="s">
        <v>87</v>
      </c>
      <c r="G19" s="534">
        <f>IFERROR(POWER(G14,0.6561)*0.0094/C12,"/")</f>
        <v>9.4947116414572208E-2</v>
      </c>
      <c r="H19" s="497" t="s">
        <v>871</v>
      </c>
      <c r="J19" s="533" t="s">
        <v>87</v>
      </c>
      <c r="K19" s="534">
        <f>IFERROR((-2*POWER(10,-12)*POWER(K14,2)+7*POWER(10,-5)*K14+40.067)/C12,"/")</f>
        <v>0.165099649982</v>
      </c>
      <c r="L19" s="497" t="s">
        <v>871</v>
      </c>
    </row>
    <row r="20" spans="1:12" s="77" customFormat="1" x14ac:dyDescent="0.2">
      <c r="A20" s="80"/>
      <c r="B20" s="533" t="s">
        <v>88</v>
      </c>
      <c r="C20" s="534">
        <f>IFERROR(0.0226*POWER(C14,0.5831)/C12,"/")</f>
        <v>0.10339590894565126</v>
      </c>
      <c r="D20" s="497" t="s">
        <v>871</v>
      </c>
      <c r="E20" s="209"/>
      <c r="F20" s="533"/>
      <c r="G20" s="534"/>
      <c r="H20" s="497"/>
      <c r="J20" s="533" t="s">
        <v>88</v>
      </c>
      <c r="K20" s="534">
        <f>IFERROR((-1*POWER(10,-12)*POWER(K14,2)+8*POWER(10,-5)*K14+46.41)/C12,"/")</f>
        <v>0.19068532499100002</v>
      </c>
      <c r="L20" s="497" t="s">
        <v>871</v>
      </c>
    </row>
    <row r="21" spans="1:12" s="77" customFormat="1" x14ac:dyDescent="0.2">
      <c r="A21" s="80"/>
      <c r="B21" s="533" t="s">
        <v>913</v>
      </c>
      <c r="C21" s="534">
        <f>IFERROR(0.0245*POWER(C14,0.5828)/C12,"/")</f>
        <v>0.11165611049786013</v>
      </c>
      <c r="D21" s="497" t="s">
        <v>871</v>
      </c>
      <c r="E21" s="209"/>
      <c r="F21" s="533"/>
      <c r="G21" s="534"/>
      <c r="H21" s="497"/>
      <c r="J21" s="533" t="s">
        <v>913</v>
      </c>
      <c r="K21" s="534">
        <f>IFERROR((-2*POWER(10,-12)*POWER(K14,2)+9*POWER(10,-5)*K14+52.93)/C12,"/")</f>
        <v>0.21601014998199999</v>
      </c>
      <c r="L21" s="497" t="s">
        <v>871</v>
      </c>
    </row>
    <row r="22" spans="1:12" s="77" customFormat="1" x14ac:dyDescent="0.2">
      <c r="A22" s="80"/>
      <c r="B22" s="533" t="str">
        <f>'OSNOVNI PODATKI'!B69</f>
        <v>GRADBENO OBRTNIŠKA DELA (GO)</v>
      </c>
      <c r="C22" s="636">
        <f>'OSNOVNI PODATKI'!D38</f>
        <v>0.79500000000000004</v>
      </c>
      <c r="D22" s="635"/>
      <c r="E22" s="209"/>
      <c r="F22" s="209"/>
      <c r="J22" s="638"/>
      <c r="L22" s="633"/>
    </row>
    <row r="23" spans="1:12" s="77" customFormat="1" x14ac:dyDescent="0.2">
      <c r="A23" s="80"/>
      <c r="B23" s="533" t="str">
        <f>'OSNOVNI PODATKI'!B70</f>
        <v>ELEKTRIČNE INŠTALACIJE (EI)</v>
      </c>
      <c r="C23" s="636">
        <f>'OSNOVNI PODATKI'!D39</f>
        <v>5.494000000000001E-2</v>
      </c>
      <c r="D23" s="635"/>
      <c r="E23" s="209"/>
      <c r="F23" s="209"/>
      <c r="K23" s="639"/>
      <c r="L23" s="633"/>
    </row>
    <row r="24" spans="1:12" s="77" customFormat="1" x14ac:dyDescent="0.2">
      <c r="A24" s="80"/>
      <c r="B24" s="533" t="str">
        <f>'OSNOVNI PODATKI'!B71</f>
        <v>STROJNE INŠTALACIJE (SI)</v>
      </c>
      <c r="C24" s="636">
        <f>'OSNOVNI PODATKI'!D40</f>
        <v>0.13570999999999997</v>
      </c>
      <c r="D24" s="635"/>
      <c r="E24" s="209"/>
      <c r="F24" s="209"/>
      <c r="G24" s="209"/>
      <c r="H24" s="209"/>
      <c r="I24" s="209"/>
      <c r="J24" s="638"/>
      <c r="K24" s="639"/>
      <c r="L24" s="633"/>
    </row>
    <row r="25" spans="1:12" s="77" customFormat="1" x14ac:dyDescent="0.2">
      <c r="A25" s="80"/>
      <c r="B25" s="533" t="str">
        <f>'OSNOVNI PODATKI'!B72</f>
        <v>TEHNOLOGIJA (TH)</v>
      </c>
      <c r="C25" s="636">
        <f>'OSNOVNI PODATKI'!D41</f>
        <v>1.4145000000000001E-2</v>
      </c>
      <c r="D25" s="635"/>
      <c r="E25" s="209"/>
      <c r="F25" s="209"/>
      <c r="G25" s="209"/>
      <c r="H25" s="209"/>
      <c r="I25" s="209"/>
      <c r="J25" s="533"/>
      <c r="K25" s="632"/>
      <c r="L25" s="633"/>
    </row>
    <row r="26" spans="1:12" s="77" customFormat="1" x14ac:dyDescent="0.2">
      <c r="A26" s="80"/>
      <c r="C26" s="640"/>
      <c r="D26" s="498"/>
      <c r="E26" s="209"/>
      <c r="F26" s="209"/>
      <c r="G26" s="209"/>
      <c r="H26" s="209"/>
      <c r="I26" s="209"/>
    </row>
    <row r="27" spans="1:12" s="77" customFormat="1" ht="14.25" x14ac:dyDescent="0.2">
      <c r="B27" s="84" t="s">
        <v>879</v>
      </c>
      <c r="C27" s="515">
        <f>IFERROR(LOOKUP(C15,B16:C21),"/")</f>
        <v>7.5195641321149004E-2</v>
      </c>
      <c r="D27" s="384" t="s">
        <v>870</v>
      </c>
      <c r="E27" s="498"/>
      <c r="F27" s="84" t="s">
        <v>879</v>
      </c>
      <c r="G27" s="515">
        <f>IFERROR(LOOKUP(G15,F16:G19),"/")</f>
        <v>6.2399413145267459E-2</v>
      </c>
      <c r="H27" s="384" t="s">
        <v>870</v>
      </c>
      <c r="I27" s="498"/>
      <c r="J27" s="84" t="s">
        <v>879</v>
      </c>
      <c r="K27" s="515">
        <f>IFERROR(LOOKUP(K15,J16:K19),"/")</f>
        <v>9.0197494994600017E-2</v>
      </c>
      <c r="L27" s="384" t="s">
        <v>870</v>
      </c>
    </row>
    <row r="28" spans="1:12" s="77" customFormat="1" ht="14.25" x14ac:dyDescent="0.2">
      <c r="B28" s="84" t="s">
        <v>880</v>
      </c>
      <c r="C28" s="515" cm="1">
        <f t="array" ref="C28">IFERROR(INDEX(C16:C21,MATCH(C15,B16:B21)+1),"/")</f>
        <v>9.17216735225619E-2</v>
      </c>
      <c r="D28" s="384" t="s">
        <v>870</v>
      </c>
      <c r="E28" s="498"/>
      <c r="F28" s="84" t="s">
        <v>880</v>
      </c>
      <c r="G28" s="515" cm="1">
        <f t="array" ref="G28">IFERROR(INDEX(G16:G19,MATCH(G15,F16:F19)+1),"/")</f>
        <v>7.2170654994840766E-2</v>
      </c>
      <c r="H28" s="384" t="s">
        <v>870</v>
      </c>
      <c r="I28" s="498"/>
      <c r="J28" s="84" t="s">
        <v>880</v>
      </c>
      <c r="K28" s="515" cm="1">
        <f t="array" ref="K28">IFERROR(INDEX(K16:K19,MATCH(K15,J16:J19)+1),"/")</f>
        <v>0.11482865999280001</v>
      </c>
      <c r="L28" s="384" t="s">
        <v>870</v>
      </c>
    </row>
    <row r="29" spans="1:12" s="77" customFormat="1" x14ac:dyDescent="0.2">
      <c r="B29" s="84" t="s">
        <v>732</v>
      </c>
      <c r="C29" s="539">
        <f>IFERROR(ROUND(C27*$C11,0),0)</f>
        <v>30</v>
      </c>
      <c r="D29" s="384" t="s">
        <v>872</v>
      </c>
      <c r="E29" s="498"/>
      <c r="F29" s="84" t="s">
        <v>732</v>
      </c>
      <c r="G29" s="539">
        <f>IFERROR(ROUND(G27*$C11,0),0)</f>
        <v>25</v>
      </c>
      <c r="H29" s="384" t="s">
        <v>872</v>
      </c>
      <c r="I29" s="498"/>
      <c r="J29" s="84" t="s">
        <v>732</v>
      </c>
      <c r="K29" s="539">
        <f>IF($C$7&gt;30000,"NI DOLOČENO",IFERROR(ROUND(K27*$C11,0),0))</f>
        <v>36</v>
      </c>
      <c r="L29" s="384" t="s">
        <v>872</v>
      </c>
    </row>
    <row r="30" spans="1:12" s="77" customFormat="1" x14ac:dyDescent="0.2">
      <c r="B30" s="84" t="s">
        <v>733</v>
      </c>
      <c r="C30" s="539">
        <f>IFERROR(ROUND(C28*$C11,0),0)</f>
        <v>37</v>
      </c>
      <c r="D30" s="384" t="s">
        <v>872</v>
      </c>
      <c r="E30" s="498"/>
      <c r="F30" s="84" t="s">
        <v>733</v>
      </c>
      <c r="G30" s="539">
        <f>IFERROR(ROUND(G28*$C11,0),0)</f>
        <v>29</v>
      </c>
      <c r="H30" s="384" t="s">
        <v>872</v>
      </c>
      <c r="I30" s="498"/>
      <c r="J30" s="84" t="s">
        <v>733</v>
      </c>
      <c r="K30" s="539">
        <f>IF($C$7&gt;30000,"NI DOLOČENO",IFERROR(ROUND(K28*$C11,0),0))</f>
        <v>46</v>
      </c>
      <c r="L30" s="384" t="s">
        <v>872</v>
      </c>
    </row>
    <row r="31" spans="1:12" s="77" customFormat="1" x14ac:dyDescent="0.2">
      <c r="A31" s="80"/>
      <c r="C31" s="296"/>
      <c r="D31" s="209"/>
      <c r="E31" s="209"/>
    </row>
    <row r="32" spans="1:12" s="77" customFormat="1" x14ac:dyDescent="0.2">
      <c r="A32" s="80"/>
      <c r="B32" s="209" t="str">
        <f>'OSNOVNI PODATKI'!A46</f>
        <v>STAVBA 2 / DEL 2</v>
      </c>
      <c r="C32" s="541">
        <f>'OSNOVNI PODATKI'!E46</f>
        <v>0</v>
      </c>
      <c r="D32" s="209"/>
      <c r="E32" s="209"/>
    </row>
    <row r="33" spans="1:12" s="77" customFormat="1" x14ac:dyDescent="0.2">
      <c r="A33" s="80"/>
      <c r="B33" s="202" t="s">
        <v>718</v>
      </c>
      <c r="C33" s="84" t="str">
        <f>'OSNOVNI PODATKI'!E47</f>
        <v>Nepodkletene eno in dvostanovanjske stavbe, srednji standard</v>
      </c>
      <c r="D33" s="498"/>
      <c r="E33" s="498"/>
      <c r="I33" s="498"/>
    </row>
    <row r="34" spans="1:12" s="77" customFormat="1" x14ac:dyDescent="0.2">
      <c r="A34" s="80"/>
      <c r="B34" s="202" t="s">
        <v>943</v>
      </c>
      <c r="C34" s="84">
        <f>'OSNOVNI PODATKI'!E48</f>
        <v>0</v>
      </c>
      <c r="D34" s="498"/>
      <c r="E34" s="498"/>
      <c r="F34" s="498"/>
      <c r="G34" s="498"/>
      <c r="H34" s="498"/>
      <c r="I34" s="498"/>
    </row>
    <row r="35" spans="1:12" s="77" customFormat="1" x14ac:dyDescent="0.2">
      <c r="A35" s="80"/>
      <c r="B35" s="202" t="s">
        <v>944</v>
      </c>
      <c r="C35" s="84">
        <f>IF($C$6=1,$C$7,C34)</f>
        <v>400</v>
      </c>
      <c r="D35" s="498"/>
      <c r="E35" s="498"/>
      <c r="I35" s="498"/>
    </row>
    <row r="36" spans="1:12" s="77" customFormat="1" x14ac:dyDescent="0.2">
      <c r="A36" s="80"/>
      <c r="B36" s="538" t="s">
        <v>878</v>
      </c>
      <c r="C36" s="537">
        <f>'OSNOVNI PODATKI'!E58</f>
        <v>230.59999999999991</v>
      </c>
      <c r="D36" s="498"/>
      <c r="E36" s="498"/>
      <c r="F36" s="538"/>
      <c r="G36" s="579"/>
      <c r="I36" s="498"/>
      <c r="J36" s="538"/>
      <c r="K36" s="579"/>
    </row>
    <row r="37" spans="1:12" s="77" customFormat="1" x14ac:dyDescent="0.2">
      <c r="A37" s="80"/>
      <c r="B37" s="538" t="s">
        <v>1033</v>
      </c>
      <c r="C37" s="1301">
        <f>IF((C46+C47+C48)&lt;25%*C45,C35*(1000+C36),(C45-37.5%*C45+50%)*C35*(1000+C36))</f>
        <v>492239.99999999994</v>
      </c>
      <c r="D37" s="498"/>
      <c r="E37" s="498"/>
      <c r="F37" s="538" t="s">
        <v>1033</v>
      </c>
      <c r="G37" s="1301">
        <f>C45*C35*(1000+C36)</f>
        <v>397729.92000000004</v>
      </c>
      <c r="I37" s="498"/>
      <c r="J37" s="538" t="s">
        <v>1033</v>
      </c>
      <c r="K37" s="1301">
        <f>95%*C35*(1000+C36)</f>
        <v>467627.99999999994</v>
      </c>
    </row>
    <row r="38" spans="1:12" s="77" customFormat="1" x14ac:dyDescent="0.2">
      <c r="A38" s="80"/>
      <c r="B38" s="202" t="s">
        <v>116</v>
      </c>
      <c r="C38" s="84" t="str">
        <f>'OSNOVNI PODATKI'!E55</f>
        <v>Cenovni razred II</v>
      </c>
      <c r="D38" s="498"/>
      <c r="E38" s="498"/>
      <c r="F38" s="202" t="s">
        <v>116</v>
      </c>
      <c r="G38" s="84" t="str">
        <f>'OSNOVNI PODATKI'!E56</f>
        <v>Cenovni razred II</v>
      </c>
      <c r="I38" s="498"/>
      <c r="J38" s="202" t="s">
        <v>116</v>
      </c>
      <c r="K38" s="84" t="str">
        <f>'OSNOVNI PODATKI'!E53</f>
        <v>Cenovni razred II</v>
      </c>
    </row>
    <row r="39" spans="1:12" s="77" customFormat="1" x14ac:dyDescent="0.2">
      <c r="A39" s="80"/>
      <c r="B39" s="530" t="s">
        <v>84</v>
      </c>
      <c r="C39" s="531">
        <f>IFERROR(0.0122*POWER(C37,0.5823)/C35,"/")</f>
        <v>6.2929524388183181E-2</v>
      </c>
      <c r="D39" s="532" t="s">
        <v>871</v>
      </c>
      <c r="E39" s="209"/>
      <c r="F39" s="530" t="s">
        <v>84</v>
      </c>
      <c r="G39" s="531">
        <f>IFERROR(POWER(G37,0.6571)*0.0061/C35,"/")</f>
        <v>7.2905331863984957E-2</v>
      </c>
      <c r="H39" s="532" t="s">
        <v>871</v>
      </c>
      <c r="J39" s="530" t="s">
        <v>84</v>
      </c>
      <c r="K39" s="531">
        <f>IFERROR((-6*POWER(10,-13)*POWER(K37,2)+4*POWER(10,-5)*K37+21.161)/C35,"/")</f>
        <v>9.9337286080424012E-2</v>
      </c>
      <c r="L39" s="532" t="s">
        <v>871</v>
      </c>
    </row>
    <row r="40" spans="1:12" s="77" customFormat="1" x14ac:dyDescent="0.2">
      <c r="A40" s="80"/>
      <c r="B40" s="533" t="s">
        <v>85</v>
      </c>
      <c r="C40" s="534">
        <f>IFERROR(0.0138*POWER(C37,0.5835)/C35,"/")</f>
        <v>7.231099166423105E-2</v>
      </c>
      <c r="D40" s="497" t="s">
        <v>871</v>
      </c>
      <c r="E40" s="209"/>
      <c r="F40" s="533" t="s">
        <v>85</v>
      </c>
      <c r="G40" s="534">
        <f>IFERROR(POWER(G37,0.6566)*0.0071/C35,"/")</f>
        <v>8.4311731953153363E-2</v>
      </c>
      <c r="H40" s="497" t="s">
        <v>871</v>
      </c>
      <c r="J40" s="533" t="s">
        <v>85</v>
      </c>
      <c r="K40" s="534">
        <f>IFERROR((-8*POWER(10,-13)*POWER(K37,2)+5*POWER(10,-5)*K37+27.291)/C35,"/")</f>
        <v>0.12624364810723201</v>
      </c>
      <c r="L40" s="497" t="s">
        <v>871</v>
      </c>
    </row>
    <row r="41" spans="1:12" s="77" customFormat="1" x14ac:dyDescent="0.2">
      <c r="A41" s="80"/>
      <c r="B41" s="533" t="s">
        <v>86</v>
      </c>
      <c r="C41" s="534">
        <f>IFERROR(0.0168*POWER(C37,0.5814)/C35,"/")</f>
        <v>8.5640844513398096E-2</v>
      </c>
      <c r="D41" s="497" t="s">
        <v>871</v>
      </c>
      <c r="E41" s="209"/>
      <c r="F41" s="533" t="s">
        <v>86</v>
      </c>
      <c r="G41" s="534">
        <f>IFERROR(POWER(G37,0.6558)*0.0082/C35,"/")</f>
        <v>9.6374878564870897E-2</v>
      </c>
      <c r="H41" s="497" t="s">
        <v>871</v>
      </c>
      <c r="J41" s="533" t="s">
        <v>86</v>
      </c>
      <c r="K41" s="534">
        <f>IFERROR((-1*POWER(10,-12)*POWER(K37,2)+6*POWER(10,-5)*K37+33.622)/C35,"/")</f>
        <v>0.15365251013403999</v>
      </c>
      <c r="L41" s="497" t="s">
        <v>871</v>
      </c>
    </row>
    <row r="42" spans="1:12" s="77" customFormat="1" x14ac:dyDescent="0.2">
      <c r="A42" s="80"/>
      <c r="B42" s="533" t="s">
        <v>87</v>
      </c>
      <c r="C42" s="534">
        <f>IFERROR(0.0201*POWER(C37,0.5829)/C35,"/")</f>
        <v>0.10449751968521641</v>
      </c>
      <c r="D42" s="497" t="s">
        <v>871</v>
      </c>
      <c r="E42" s="209"/>
      <c r="F42" s="533" t="s">
        <v>87</v>
      </c>
      <c r="G42" s="534">
        <f>IFERROR(POWER(G37,0.6561)*0.0094/C35,"/")</f>
        <v>0.11090668426011535</v>
      </c>
      <c r="H42" s="497" t="s">
        <v>871</v>
      </c>
      <c r="J42" s="533" t="s">
        <v>87</v>
      </c>
      <c r="K42" s="534">
        <f>IFERROR((-2*POWER(10,-12)*POWER(K37,2)+7*POWER(10,-5)*K37+40.067)/C35,"/")</f>
        <v>0.18090902026807998</v>
      </c>
      <c r="L42" s="497" t="s">
        <v>871</v>
      </c>
    </row>
    <row r="43" spans="1:12" s="77" customFormat="1" x14ac:dyDescent="0.2">
      <c r="A43" s="80"/>
      <c r="B43" s="533" t="s">
        <v>88</v>
      </c>
      <c r="C43" s="534">
        <f>IFERROR(0.0226*POWER(C37,0.5831)/C35,"/")</f>
        <v>0.11780312178677498</v>
      </c>
      <c r="D43" s="497" t="s">
        <v>871</v>
      </c>
      <c r="E43" s="209"/>
      <c r="F43" s="533"/>
      <c r="G43" s="534"/>
      <c r="H43" s="497"/>
      <c r="J43" s="533" t="s">
        <v>88</v>
      </c>
      <c r="K43" s="534">
        <f>IFERROR((-1*POWER(10,-12)*POWER(K37,2)+8*POWER(10,-5)*K37+46.41)/C35,"/")</f>
        <v>0.20900391013403996</v>
      </c>
      <c r="L43" s="497" t="s">
        <v>871</v>
      </c>
    </row>
    <row r="44" spans="1:12" s="77" customFormat="1" x14ac:dyDescent="0.2">
      <c r="A44" s="80"/>
      <c r="B44" s="533" t="s">
        <v>913</v>
      </c>
      <c r="C44" s="534">
        <f>IFERROR(0.0245*POWER(C37,0.5828)/C35,"/")</f>
        <v>0.12720576425774868</v>
      </c>
      <c r="D44" s="497" t="s">
        <v>871</v>
      </c>
      <c r="E44" s="209"/>
      <c r="F44" s="209"/>
      <c r="G44" s="209"/>
      <c r="H44" s="209"/>
      <c r="I44" s="209"/>
      <c r="J44" s="533" t="s">
        <v>913</v>
      </c>
      <c r="K44" s="534">
        <f>IFERROR((-2*POWER(10,-12)*POWER(K37,2)+9*POWER(10,-5)*K37+52.93)/C35,"/")</f>
        <v>0.23644792026807998</v>
      </c>
      <c r="L44" s="497" t="s">
        <v>871</v>
      </c>
    </row>
    <row r="45" spans="1:12" s="77" customFormat="1" x14ac:dyDescent="0.2">
      <c r="A45" s="80"/>
      <c r="B45" s="533" t="str">
        <f>'OSNOVNI PODATKI'!B69</f>
        <v>GRADBENO OBRTNIŠKA DELA (GO)</v>
      </c>
      <c r="C45" s="636">
        <f>'OSNOVNI PODATKI'!D69</f>
        <v>0.80800000000000005</v>
      </c>
      <c r="D45" s="635"/>
      <c r="E45" s="209"/>
      <c r="F45" s="209"/>
      <c r="G45" s="209"/>
      <c r="H45" s="209"/>
      <c r="I45" s="209"/>
      <c r="J45" s="638"/>
      <c r="L45" s="633"/>
    </row>
    <row r="46" spans="1:12" s="77" customFormat="1" x14ac:dyDescent="0.2">
      <c r="A46" s="80"/>
      <c r="B46" s="533" t="str">
        <f>'OSNOVNI PODATKI'!B70</f>
        <v>ELEKTRIČNE INŠTALACIJE (EI)</v>
      </c>
      <c r="C46" s="636">
        <f>'OSNOVNI PODATKI'!D70</f>
        <v>4.4544000000000007E-2</v>
      </c>
      <c r="D46" s="635"/>
      <c r="E46" s="209"/>
      <c r="F46" s="209"/>
      <c r="G46" s="209"/>
      <c r="H46" s="209"/>
      <c r="I46" s="209"/>
      <c r="J46" s="639"/>
      <c r="K46" s="639"/>
      <c r="L46" s="633"/>
    </row>
    <row r="47" spans="1:12" s="77" customFormat="1" x14ac:dyDescent="0.2">
      <c r="A47" s="80"/>
      <c r="B47" s="533" t="str">
        <f>'OSNOVNI PODATKI'!B71</f>
        <v>STROJNE INŠTALACIJE (SI)</v>
      </c>
      <c r="C47" s="636">
        <f>'OSNOVNI PODATKI'!D71</f>
        <v>0.14764799999999997</v>
      </c>
      <c r="D47" s="635"/>
      <c r="E47" s="209"/>
      <c r="F47" s="209"/>
      <c r="G47" s="209"/>
      <c r="H47" s="209"/>
      <c r="I47" s="209"/>
      <c r="J47" s="638"/>
      <c r="K47" s="632"/>
      <c r="L47" s="633"/>
    </row>
    <row r="48" spans="1:12" s="77" customFormat="1" x14ac:dyDescent="0.2">
      <c r="A48" s="80"/>
      <c r="B48" s="533" t="str">
        <f>'OSNOVNI PODATKI'!B72</f>
        <v>TEHNOLOGIJA (TH)</v>
      </c>
      <c r="C48" s="636">
        <f>'OSNOVNI PODATKI'!D72</f>
        <v>0</v>
      </c>
      <c r="D48" s="635"/>
      <c r="E48" s="209"/>
      <c r="F48" s="209"/>
      <c r="G48" s="209"/>
      <c r="H48" s="209"/>
      <c r="I48" s="209"/>
      <c r="J48" s="533"/>
      <c r="K48" s="632"/>
      <c r="L48" s="633"/>
    </row>
    <row r="49" spans="1:12" s="77" customFormat="1" x14ac:dyDescent="0.2">
      <c r="A49" s="80"/>
      <c r="C49" s="84"/>
      <c r="D49" s="498"/>
      <c r="E49" s="209"/>
      <c r="F49" s="209"/>
      <c r="G49" s="209"/>
      <c r="H49" s="209"/>
      <c r="I49" s="209"/>
    </row>
    <row r="50" spans="1:12" s="77" customFormat="1" ht="14.25" x14ac:dyDescent="0.2">
      <c r="B50" s="84" t="s">
        <v>879</v>
      </c>
      <c r="C50" s="515">
        <f>IFERROR(LOOKUP(C38,B39:C44),"/")</f>
        <v>7.231099166423105E-2</v>
      </c>
      <c r="D50" s="384" t="s">
        <v>870</v>
      </c>
      <c r="E50" s="498"/>
      <c r="F50" s="84" t="s">
        <v>879</v>
      </c>
      <c r="G50" s="515">
        <f>IFERROR(LOOKUP(G38,F39:G42),"/")</f>
        <v>8.4311731953153363E-2</v>
      </c>
      <c r="H50" s="384" t="s">
        <v>870</v>
      </c>
      <c r="I50" s="498"/>
      <c r="J50" s="84" t="s">
        <v>879</v>
      </c>
      <c r="K50" s="515">
        <f>IFERROR(LOOKUP(K38,J39:K42),"/")</f>
        <v>0.12624364810723201</v>
      </c>
      <c r="L50" s="384" t="s">
        <v>870</v>
      </c>
    </row>
    <row r="51" spans="1:12" s="77" customFormat="1" ht="14.25" x14ac:dyDescent="0.2">
      <c r="B51" s="84" t="s">
        <v>880</v>
      </c>
      <c r="C51" s="515" cm="1">
        <f t="array" ref="C51">IFERROR(INDEX(C39:C44,MATCH(C38,B39:B44)+1),"/")</f>
        <v>8.5640844513398096E-2</v>
      </c>
      <c r="D51" s="384" t="s">
        <v>870</v>
      </c>
      <c r="E51" s="498"/>
      <c r="F51" s="84" t="s">
        <v>880</v>
      </c>
      <c r="G51" s="515" cm="1">
        <f t="array" ref="G51">IFERROR(INDEX(G39:G42,MATCH(G38,F39:F42)+1),"/")</f>
        <v>9.6374878564870897E-2</v>
      </c>
      <c r="H51" s="384" t="s">
        <v>870</v>
      </c>
      <c r="I51" s="498"/>
      <c r="J51" s="84" t="s">
        <v>880</v>
      </c>
      <c r="K51" s="515" cm="1">
        <f t="array" ref="K51">IFERROR(INDEX(K39:K42,MATCH(K38,J39:J42)+1),"/")</f>
        <v>0.15365251013403999</v>
      </c>
      <c r="L51" s="384" t="s">
        <v>870</v>
      </c>
    </row>
    <row r="52" spans="1:12" s="77" customFormat="1" x14ac:dyDescent="0.2">
      <c r="B52" s="84" t="s">
        <v>732</v>
      </c>
      <c r="C52" s="539">
        <f>IFERROR(ROUND(C50*$C34,0),0)</f>
        <v>0</v>
      </c>
      <c r="D52" s="384" t="s">
        <v>872</v>
      </c>
      <c r="E52" s="498"/>
      <c r="F52" s="84" t="s">
        <v>732</v>
      </c>
      <c r="G52" s="539">
        <f>IFERROR(ROUND(G50*$C34,0),0)</f>
        <v>0</v>
      </c>
      <c r="H52" s="384" t="s">
        <v>872</v>
      </c>
      <c r="I52" s="498"/>
      <c r="J52" s="84" t="s">
        <v>732</v>
      </c>
      <c r="K52" s="539">
        <f>IF($C$7&gt;50000,"NI DOLOČENO",IFERROR(ROUND(K50*$C34,0),0))</f>
        <v>0</v>
      </c>
      <c r="L52" s="384" t="s">
        <v>872</v>
      </c>
    </row>
    <row r="53" spans="1:12" s="77" customFormat="1" x14ac:dyDescent="0.2">
      <c r="B53" s="84" t="s">
        <v>733</v>
      </c>
      <c r="C53" s="539">
        <f>IFERROR(ROUND(C51*$C34,0),0)</f>
        <v>0</v>
      </c>
      <c r="D53" s="384" t="s">
        <v>872</v>
      </c>
      <c r="E53" s="498"/>
      <c r="F53" s="84" t="s">
        <v>733</v>
      </c>
      <c r="G53" s="539">
        <f>IFERROR(ROUND(G51*$C34,0),0)</f>
        <v>0</v>
      </c>
      <c r="H53" s="384" t="s">
        <v>872</v>
      </c>
      <c r="I53" s="498"/>
      <c r="J53" s="84" t="s">
        <v>733</v>
      </c>
      <c r="K53" s="539">
        <f>IF($C$7&gt;50000,"NI DOLOČENO",IFERROR(ROUND(K51*$C34,0),0))</f>
        <v>0</v>
      </c>
      <c r="L53" s="384" t="s">
        <v>872</v>
      </c>
    </row>
    <row r="54" spans="1:12" s="77" customFormat="1" x14ac:dyDescent="0.2">
      <c r="A54" s="80"/>
      <c r="C54" s="209"/>
      <c r="D54" s="209"/>
      <c r="E54" s="209"/>
    </row>
    <row r="55" spans="1:12" s="77" customFormat="1" x14ac:dyDescent="0.2">
      <c r="A55" s="80"/>
      <c r="B55" s="209" t="str">
        <f>'OSNOVNI PODATKI'!A77</f>
        <v>STAVBA 3 / DEL 3</v>
      </c>
      <c r="C55" s="541">
        <f>'OSNOVNI PODATKI'!E77</f>
        <v>0</v>
      </c>
      <c r="D55" s="209"/>
      <c r="E55" s="209"/>
    </row>
    <row r="56" spans="1:12" s="77" customFormat="1" x14ac:dyDescent="0.2">
      <c r="A56" s="80"/>
      <c r="B56" s="202" t="s">
        <v>718</v>
      </c>
      <c r="C56" s="84" t="str">
        <f>'OSNOVNI PODATKI'!E78</f>
        <v>Nepodkletene eno in dvostanovanjske stavbe, srednji standard</v>
      </c>
      <c r="D56" s="498"/>
      <c r="E56" s="498"/>
      <c r="I56" s="498"/>
    </row>
    <row r="57" spans="1:12" s="77" customFormat="1" x14ac:dyDescent="0.2">
      <c r="A57" s="80"/>
      <c r="B57" s="202" t="s">
        <v>943</v>
      </c>
      <c r="C57" s="84">
        <f>'OSNOVNI PODATKI'!E79</f>
        <v>0</v>
      </c>
      <c r="D57" s="498"/>
      <c r="E57" s="498"/>
      <c r="F57" s="498"/>
      <c r="G57" s="498"/>
      <c r="H57" s="498"/>
      <c r="I57" s="498"/>
    </row>
    <row r="58" spans="1:12" s="77" customFormat="1" x14ac:dyDescent="0.2">
      <c r="A58" s="80"/>
      <c r="B58" s="202" t="s">
        <v>944</v>
      </c>
      <c r="C58" s="84">
        <f>IF($C$6=1,$C$7,C57)</f>
        <v>400</v>
      </c>
      <c r="D58" s="498"/>
      <c r="E58" s="498"/>
      <c r="I58" s="498"/>
    </row>
    <row r="59" spans="1:12" s="77" customFormat="1" x14ac:dyDescent="0.2">
      <c r="A59" s="80"/>
      <c r="B59" s="538" t="s">
        <v>878</v>
      </c>
      <c r="C59" s="537">
        <f>'OSNOVNI PODATKI'!E89</f>
        <v>230.59999999999991</v>
      </c>
      <c r="D59" s="498"/>
      <c r="E59" s="498"/>
      <c r="F59" s="538"/>
      <c r="G59" s="579"/>
      <c r="I59" s="498"/>
      <c r="J59" s="538"/>
      <c r="K59" s="579"/>
    </row>
    <row r="60" spans="1:12" s="77" customFormat="1" x14ac:dyDescent="0.2">
      <c r="A60" s="80"/>
      <c r="B60" s="538" t="s">
        <v>1033</v>
      </c>
      <c r="C60" s="1301">
        <f>IF((C69+C70+C71)&lt;25%*C68,C58*(1000+C59),(C68-37.5%*C68+50%)*C58*(1000+C59))</f>
        <v>492239.99999999994</v>
      </c>
      <c r="D60" s="498"/>
      <c r="E60" s="498"/>
      <c r="F60" s="538" t="s">
        <v>1033</v>
      </c>
      <c r="G60" s="1301">
        <f>C68*C58*(1000+C59)</f>
        <v>397729.92000000004</v>
      </c>
      <c r="I60" s="498"/>
      <c r="J60" s="538" t="s">
        <v>1033</v>
      </c>
      <c r="K60" s="1301">
        <f>95%*C58*(1000+C59)</f>
        <v>467627.99999999994</v>
      </c>
    </row>
    <row r="61" spans="1:12" s="77" customFormat="1" x14ac:dyDescent="0.2">
      <c r="A61" s="80"/>
      <c r="B61" s="202" t="s">
        <v>116</v>
      </c>
      <c r="C61" s="84" t="str">
        <f>'OSNOVNI PODATKI'!E86</f>
        <v>Cenovni razred II</v>
      </c>
      <c r="D61" s="498"/>
      <c r="E61" s="498"/>
      <c r="F61" s="202" t="s">
        <v>116</v>
      </c>
      <c r="G61" s="84" t="str">
        <f>'OSNOVNI PODATKI'!E87</f>
        <v>Cenovni razred II</v>
      </c>
      <c r="I61" s="498"/>
      <c r="J61" s="202" t="s">
        <v>116</v>
      </c>
      <c r="K61" s="84" t="str">
        <f>'OSNOVNI PODATKI'!E84</f>
        <v>Cenovni razred II</v>
      </c>
    </row>
    <row r="62" spans="1:12" s="77" customFormat="1" x14ac:dyDescent="0.2">
      <c r="A62" s="80"/>
      <c r="B62" s="530" t="s">
        <v>84</v>
      </c>
      <c r="C62" s="531">
        <f>IFERROR(0.0122*POWER(C60,0.5823)/C58,"/")</f>
        <v>6.2929524388183181E-2</v>
      </c>
      <c r="D62" s="532" t="s">
        <v>871</v>
      </c>
      <c r="E62" s="209"/>
      <c r="F62" s="530" t="s">
        <v>84</v>
      </c>
      <c r="G62" s="531">
        <f>IFERROR(POWER(G60,0.6571)*0.0061/C58,"/")</f>
        <v>7.2905331863984957E-2</v>
      </c>
      <c r="H62" s="532" t="s">
        <v>871</v>
      </c>
      <c r="J62" s="530" t="s">
        <v>84</v>
      </c>
      <c r="K62" s="531">
        <f>IFERROR((-6*POWER(10,-13)*POWER(K60,2)+4*POWER(10,-5)*K60+21.161)/C58,"/")</f>
        <v>9.9337286080424012E-2</v>
      </c>
      <c r="L62" s="532" t="s">
        <v>871</v>
      </c>
    </row>
    <row r="63" spans="1:12" s="77" customFormat="1" x14ac:dyDescent="0.2">
      <c r="A63" s="80"/>
      <c r="B63" s="533" t="s">
        <v>85</v>
      </c>
      <c r="C63" s="534">
        <f>IFERROR(0.0138*POWER(C60,0.5835)/C58,"/")</f>
        <v>7.231099166423105E-2</v>
      </c>
      <c r="D63" s="497" t="s">
        <v>871</v>
      </c>
      <c r="E63" s="209"/>
      <c r="F63" s="533" t="s">
        <v>85</v>
      </c>
      <c r="G63" s="534">
        <f>IFERROR(POWER(G60,0.6566)*0.0071/C58,"/")</f>
        <v>8.4311731953153363E-2</v>
      </c>
      <c r="H63" s="497" t="s">
        <v>871</v>
      </c>
      <c r="J63" s="533" t="s">
        <v>85</v>
      </c>
      <c r="K63" s="534">
        <f>IFERROR((-8*POWER(10,-13)*POWER(K60,2)+5*POWER(10,-5)*K60+27.291)/C58,"/")</f>
        <v>0.12624364810723201</v>
      </c>
      <c r="L63" s="497" t="s">
        <v>871</v>
      </c>
    </row>
    <row r="64" spans="1:12" s="77" customFormat="1" x14ac:dyDescent="0.2">
      <c r="A64" s="80"/>
      <c r="B64" s="533" t="s">
        <v>86</v>
      </c>
      <c r="C64" s="534">
        <f>IFERROR(0.0168*POWER(C60,0.5814)/C58,"/")</f>
        <v>8.5640844513398096E-2</v>
      </c>
      <c r="D64" s="497" t="s">
        <v>871</v>
      </c>
      <c r="E64" s="209"/>
      <c r="F64" s="533" t="s">
        <v>86</v>
      </c>
      <c r="G64" s="534">
        <f>IFERROR(POWER(G60,0.6558)*0.0082/C58,"/")</f>
        <v>9.6374878564870897E-2</v>
      </c>
      <c r="H64" s="497" t="s">
        <v>871</v>
      </c>
      <c r="J64" s="533" t="s">
        <v>86</v>
      </c>
      <c r="K64" s="534">
        <f>IFERROR((-1*POWER(10,-12)*POWER(K60,2)+6*POWER(10,-5)*K60+33.622)/C58,"/")</f>
        <v>0.15365251013403999</v>
      </c>
      <c r="L64" s="497" t="s">
        <v>871</v>
      </c>
    </row>
    <row r="65" spans="1:12" s="77" customFormat="1" x14ac:dyDescent="0.2">
      <c r="A65" s="80"/>
      <c r="B65" s="533" t="s">
        <v>87</v>
      </c>
      <c r="C65" s="534">
        <f>IFERROR(0.0201*POWER(C60,0.5829)/C58,"/")</f>
        <v>0.10449751968521641</v>
      </c>
      <c r="D65" s="497" t="s">
        <v>871</v>
      </c>
      <c r="E65" s="209"/>
      <c r="F65" s="533" t="s">
        <v>87</v>
      </c>
      <c r="G65" s="534">
        <f>IFERROR(POWER(G60,0.6561)*0.0094/C58,"/")</f>
        <v>0.11090668426011535</v>
      </c>
      <c r="H65" s="497" t="s">
        <v>871</v>
      </c>
      <c r="J65" s="533" t="s">
        <v>87</v>
      </c>
      <c r="K65" s="534">
        <f>IFERROR((-2*POWER(10,-12)*POWER(K60,2)+7*POWER(10,-5)*K60+40.067)/C58,"/")</f>
        <v>0.18090902026807998</v>
      </c>
      <c r="L65" s="497" t="s">
        <v>871</v>
      </c>
    </row>
    <row r="66" spans="1:12" s="77" customFormat="1" x14ac:dyDescent="0.2">
      <c r="A66" s="80"/>
      <c r="B66" s="533" t="s">
        <v>88</v>
      </c>
      <c r="C66" s="534">
        <f>IFERROR(0.0226*POWER(C60,0.5831)/C58,"/")</f>
        <v>0.11780312178677498</v>
      </c>
      <c r="D66" s="497" t="s">
        <v>871</v>
      </c>
      <c r="E66" s="209"/>
      <c r="F66" s="209"/>
      <c r="G66" s="209"/>
      <c r="H66" s="209"/>
      <c r="I66" s="209"/>
      <c r="J66" s="533" t="s">
        <v>88</v>
      </c>
      <c r="K66" s="534">
        <f>IFERROR((-1*POWER(10,-12)*POWER(K60,2)+8*POWER(10,-5)*K60+46.41)/C58,"/")</f>
        <v>0.20900391013403996</v>
      </c>
      <c r="L66" s="497" t="s">
        <v>871</v>
      </c>
    </row>
    <row r="67" spans="1:12" s="77" customFormat="1" x14ac:dyDescent="0.2">
      <c r="A67" s="80"/>
      <c r="B67" s="533" t="s">
        <v>913</v>
      </c>
      <c r="C67" s="534">
        <f>IFERROR(0.0245*POWER(C60,0.5828)/C58,"/")</f>
        <v>0.12720576425774868</v>
      </c>
      <c r="D67" s="497" t="s">
        <v>871</v>
      </c>
      <c r="E67" s="209"/>
      <c r="F67" s="209"/>
      <c r="G67" s="209"/>
      <c r="H67" s="209"/>
      <c r="I67" s="209"/>
      <c r="J67" s="533" t="s">
        <v>913</v>
      </c>
      <c r="K67" s="534">
        <f>IFERROR((-2*POWER(10,-12)*POWER(K60,2)+9*POWER(10,-5)*K60+52.93)/C58,"/")</f>
        <v>0.23644792026807998</v>
      </c>
      <c r="L67" s="497" t="s">
        <v>871</v>
      </c>
    </row>
    <row r="68" spans="1:12" s="77" customFormat="1" x14ac:dyDescent="0.2">
      <c r="A68" s="80"/>
      <c r="B68" s="533" t="str">
        <f>'OSNOVNI PODATKI'!B100</f>
        <v>GRADBENO OBRTNIŠKA DELA (GO)</v>
      </c>
      <c r="C68" s="636">
        <f>'OSNOVNI PODATKI'!D100</f>
        <v>0.80800000000000005</v>
      </c>
      <c r="D68" s="635"/>
      <c r="E68" s="209"/>
      <c r="F68" s="209"/>
      <c r="G68" s="209"/>
      <c r="H68" s="209"/>
      <c r="I68" s="209"/>
      <c r="J68" s="638"/>
      <c r="L68" s="633"/>
    </row>
    <row r="69" spans="1:12" s="77" customFormat="1" x14ac:dyDescent="0.2">
      <c r="A69" s="80"/>
      <c r="B69" s="533" t="str">
        <f>'OSNOVNI PODATKI'!B101</f>
        <v>ELEKTRIČNE INŠTALACIJE (EI)</v>
      </c>
      <c r="C69" s="636">
        <f>'OSNOVNI PODATKI'!D101</f>
        <v>4.4544000000000007E-2</v>
      </c>
      <c r="D69" s="635"/>
      <c r="E69" s="209"/>
      <c r="F69" s="209"/>
      <c r="G69" s="209"/>
      <c r="H69" s="209"/>
      <c r="I69" s="209"/>
      <c r="J69" s="639"/>
      <c r="K69" s="639"/>
      <c r="L69" s="633"/>
    </row>
    <row r="70" spans="1:12" s="77" customFormat="1" x14ac:dyDescent="0.2">
      <c r="A70" s="80"/>
      <c r="B70" s="533" t="str">
        <f>'OSNOVNI PODATKI'!B102</f>
        <v>STROJNE INŠTALACIJE (SI)</v>
      </c>
      <c r="C70" s="636">
        <f>'OSNOVNI PODATKI'!D102</f>
        <v>0.14764799999999997</v>
      </c>
      <c r="D70" s="635"/>
      <c r="E70" s="209"/>
      <c r="F70" s="209"/>
      <c r="G70" s="209"/>
      <c r="H70" s="209"/>
      <c r="I70" s="209"/>
      <c r="J70" s="638"/>
      <c r="K70" s="632"/>
      <c r="L70" s="633"/>
    </row>
    <row r="71" spans="1:12" s="77" customFormat="1" x14ac:dyDescent="0.2">
      <c r="A71" s="80"/>
      <c r="B71" s="533" t="str">
        <f>'OSNOVNI PODATKI'!B103</f>
        <v>TEHNOLOGIJA (TH)</v>
      </c>
      <c r="C71" s="636">
        <f>'OSNOVNI PODATKI'!D103</f>
        <v>0</v>
      </c>
      <c r="D71" s="635"/>
      <c r="E71" s="209"/>
      <c r="F71" s="209"/>
      <c r="G71" s="209"/>
      <c r="H71" s="209"/>
      <c r="I71" s="209"/>
      <c r="J71" s="533"/>
      <c r="K71" s="632"/>
      <c r="L71" s="633"/>
    </row>
    <row r="72" spans="1:12" s="77" customFormat="1" x14ac:dyDescent="0.2">
      <c r="A72" s="80"/>
      <c r="C72" s="84"/>
      <c r="D72" s="498"/>
      <c r="E72" s="209"/>
      <c r="F72" s="209"/>
      <c r="G72" s="209"/>
      <c r="H72" s="209"/>
      <c r="I72" s="209"/>
    </row>
    <row r="73" spans="1:12" s="77" customFormat="1" ht="14.25" x14ac:dyDescent="0.2">
      <c r="B73" s="84" t="s">
        <v>879</v>
      </c>
      <c r="C73" s="515">
        <f>IFERROR(LOOKUP(C61,B62:C67),"/")</f>
        <v>7.231099166423105E-2</v>
      </c>
      <c r="D73" s="384" t="s">
        <v>870</v>
      </c>
      <c r="E73" s="498"/>
      <c r="F73" s="84" t="s">
        <v>879</v>
      </c>
      <c r="G73" s="515">
        <f>IFERROR(LOOKUP(G61,F62:G65),"/")</f>
        <v>8.4311731953153363E-2</v>
      </c>
      <c r="H73" s="384" t="s">
        <v>870</v>
      </c>
      <c r="I73" s="498"/>
      <c r="J73" s="84" t="s">
        <v>879</v>
      </c>
      <c r="K73" s="515">
        <f>IFERROR(LOOKUP(K61,J62:K65),"/")</f>
        <v>0.12624364810723201</v>
      </c>
      <c r="L73" s="384" t="s">
        <v>870</v>
      </c>
    </row>
    <row r="74" spans="1:12" s="77" customFormat="1" ht="14.25" x14ac:dyDescent="0.2">
      <c r="B74" s="84" t="s">
        <v>880</v>
      </c>
      <c r="C74" s="515" cm="1">
        <f t="array" ref="C74">IFERROR(INDEX(C62:C67,MATCH(C61,B62:B67)+1),"/")</f>
        <v>8.5640844513398096E-2</v>
      </c>
      <c r="D74" s="384" t="s">
        <v>870</v>
      </c>
      <c r="E74" s="498"/>
      <c r="F74" s="84" t="s">
        <v>880</v>
      </c>
      <c r="G74" s="515" cm="1">
        <f t="array" ref="G74">IFERROR(INDEX(G62:G65,MATCH(G61,F62:F65)+1),"/")</f>
        <v>9.6374878564870897E-2</v>
      </c>
      <c r="H74" s="384" t="s">
        <v>870</v>
      </c>
      <c r="I74" s="498"/>
      <c r="J74" s="84" t="s">
        <v>880</v>
      </c>
      <c r="K74" s="515" cm="1">
        <f t="array" ref="K74">IFERROR(INDEX(K62:K65,MATCH(K61,J62:J65)+1),"/")</f>
        <v>0.15365251013403999</v>
      </c>
      <c r="L74" s="384" t="s">
        <v>870</v>
      </c>
    </row>
    <row r="75" spans="1:12" s="77" customFormat="1" x14ac:dyDescent="0.2">
      <c r="B75" s="84" t="s">
        <v>732</v>
      </c>
      <c r="C75" s="539">
        <f>IFERROR(ROUND(C73*$C57,0),0)</f>
        <v>0</v>
      </c>
      <c r="D75" s="384" t="s">
        <v>872</v>
      </c>
      <c r="E75" s="498"/>
      <c r="F75" s="84" t="s">
        <v>732</v>
      </c>
      <c r="G75" s="539">
        <f>IFERROR(ROUND(G73*$C57,0),0)</f>
        <v>0</v>
      </c>
      <c r="H75" s="384" t="s">
        <v>872</v>
      </c>
      <c r="I75" s="498"/>
      <c r="J75" s="84" t="s">
        <v>732</v>
      </c>
      <c r="K75" s="539">
        <f>IF($C$7&gt;50000,"NI DOLOČENO",IFERROR(ROUND(K73*$C57,0),0))</f>
        <v>0</v>
      </c>
      <c r="L75" s="384" t="s">
        <v>872</v>
      </c>
    </row>
    <row r="76" spans="1:12" s="77" customFormat="1" x14ac:dyDescent="0.2">
      <c r="B76" s="84" t="s">
        <v>733</v>
      </c>
      <c r="C76" s="539">
        <f>IFERROR(ROUND(C74*$C57,0),0)</f>
        <v>0</v>
      </c>
      <c r="D76" s="384" t="s">
        <v>872</v>
      </c>
      <c r="E76" s="498"/>
      <c r="F76" s="84" t="s">
        <v>733</v>
      </c>
      <c r="G76" s="539">
        <f>IFERROR(ROUND(G74*$C57,0),0)</f>
        <v>0</v>
      </c>
      <c r="H76" s="384" t="s">
        <v>872</v>
      </c>
      <c r="I76" s="498"/>
      <c r="J76" s="84" t="s">
        <v>733</v>
      </c>
      <c r="K76" s="539">
        <f>IF($C$7&gt;50000,"NI DOLOČENO",IFERROR(ROUND(K74*$C57,0),0))</f>
        <v>0</v>
      </c>
      <c r="L76" s="384" t="s">
        <v>872</v>
      </c>
    </row>
    <row r="77" spans="1:12" s="77" customFormat="1" x14ac:dyDescent="0.2">
      <c r="A77" s="80"/>
      <c r="C77" s="209"/>
      <c r="D77" s="209"/>
      <c r="E77" s="209"/>
    </row>
    <row r="78" spans="1:12" s="77" customFormat="1" x14ac:dyDescent="0.2">
      <c r="A78" s="80"/>
      <c r="B78" s="209" t="str">
        <f>'OSNOVNI PODATKI'!A108</f>
        <v>STAVBA 4 / DEL 4</v>
      </c>
      <c r="C78" s="541">
        <f>'OSNOVNI PODATKI'!E108</f>
        <v>0</v>
      </c>
      <c r="D78" s="209"/>
      <c r="E78" s="209"/>
    </row>
    <row r="79" spans="1:12" s="77" customFormat="1" x14ac:dyDescent="0.2">
      <c r="A79" s="80"/>
      <c r="B79" s="202" t="s">
        <v>718</v>
      </c>
      <c r="C79" s="84" t="str">
        <f>'OSNOVNI PODATKI'!E109</f>
        <v>Nepodkletene eno in dvostanovanjske stavbe, srednji standard</v>
      </c>
      <c r="D79" s="498"/>
      <c r="E79" s="498"/>
      <c r="I79" s="498"/>
    </row>
    <row r="80" spans="1:12" s="77" customFormat="1" x14ac:dyDescent="0.2">
      <c r="A80" s="80"/>
      <c r="B80" s="202" t="s">
        <v>943</v>
      </c>
      <c r="C80" s="84">
        <f>'OSNOVNI PODATKI'!E110</f>
        <v>0</v>
      </c>
      <c r="D80" s="498"/>
      <c r="E80" s="498"/>
      <c r="F80" s="498"/>
      <c r="G80" s="498"/>
      <c r="H80" s="498"/>
      <c r="I80" s="498"/>
    </row>
    <row r="81" spans="1:12" s="77" customFormat="1" x14ac:dyDescent="0.2">
      <c r="A81" s="80"/>
      <c r="B81" s="202" t="s">
        <v>944</v>
      </c>
      <c r="C81" s="84">
        <f>IF($C$6=1,$C$7,C80)</f>
        <v>400</v>
      </c>
      <c r="D81" s="498"/>
      <c r="E81" s="498"/>
      <c r="I81" s="498"/>
    </row>
    <row r="82" spans="1:12" s="77" customFormat="1" x14ac:dyDescent="0.2">
      <c r="A82" s="80"/>
      <c r="B82" s="538" t="s">
        <v>878</v>
      </c>
      <c r="C82" s="537">
        <f>'OSNOVNI PODATKI'!E120</f>
        <v>230.59999999999991</v>
      </c>
      <c r="D82" s="498"/>
      <c r="E82" s="498"/>
      <c r="F82" s="538"/>
      <c r="G82" s="579"/>
      <c r="I82" s="498"/>
      <c r="J82" s="538"/>
      <c r="K82" s="579"/>
    </row>
    <row r="83" spans="1:12" s="77" customFormat="1" x14ac:dyDescent="0.2">
      <c r="A83" s="80"/>
      <c r="B83" s="538" t="s">
        <v>1033</v>
      </c>
      <c r="C83" s="1301">
        <f>IF((C92+C93+C94)&lt;25%*C91,C81*(1000+C82),(C91-37.5%*C91+50%)*C81*(1000+C82))</f>
        <v>492239.99999999994</v>
      </c>
      <c r="D83" s="498"/>
      <c r="E83" s="498"/>
      <c r="F83" s="538" t="s">
        <v>1033</v>
      </c>
      <c r="G83" s="1301">
        <f>C91*C81*(1000+C82)</f>
        <v>397729.92000000004</v>
      </c>
      <c r="I83" s="498"/>
      <c r="J83" s="538" t="s">
        <v>1033</v>
      </c>
      <c r="K83" s="1301">
        <f>95%*C81*(1000+C82)</f>
        <v>467627.99999999994</v>
      </c>
    </row>
    <row r="84" spans="1:12" s="77" customFormat="1" x14ac:dyDescent="0.2">
      <c r="A84" s="80"/>
      <c r="B84" s="202" t="s">
        <v>116</v>
      </c>
      <c r="C84" s="84" t="str">
        <f>'OSNOVNI PODATKI'!E117</f>
        <v>Cenovni razred II</v>
      </c>
      <c r="D84" s="498"/>
      <c r="E84" s="498"/>
      <c r="F84" s="202" t="s">
        <v>116</v>
      </c>
      <c r="G84" s="84" t="str">
        <f>'OSNOVNI PODATKI'!E118</f>
        <v>Cenovni razred II</v>
      </c>
      <c r="I84" s="498"/>
      <c r="J84" s="202" t="s">
        <v>116</v>
      </c>
      <c r="K84" s="84" t="str">
        <f>'OSNOVNI PODATKI'!E115</f>
        <v>Cenovni razred II</v>
      </c>
    </row>
    <row r="85" spans="1:12" s="77" customFormat="1" x14ac:dyDescent="0.2">
      <c r="A85" s="80"/>
      <c r="B85" s="530" t="s">
        <v>84</v>
      </c>
      <c r="C85" s="531">
        <f>IFERROR(0.0122*POWER(C83,0.5823)/C81,"/")</f>
        <v>6.2929524388183181E-2</v>
      </c>
      <c r="D85" s="532" t="s">
        <v>871</v>
      </c>
      <c r="E85" s="209"/>
      <c r="F85" s="530" t="s">
        <v>84</v>
      </c>
      <c r="G85" s="531">
        <f>IFERROR(POWER(G83,0.6571)*0.0061/C81,"/")</f>
        <v>7.2905331863984957E-2</v>
      </c>
      <c r="H85" s="532" t="s">
        <v>871</v>
      </c>
      <c r="J85" s="530" t="s">
        <v>84</v>
      </c>
      <c r="K85" s="531">
        <f>IFERROR((-6*POWER(10,-13)*POWER(K83,2)+4*POWER(10,-5)*K83+21.161)/C81,"/")</f>
        <v>9.9337286080424012E-2</v>
      </c>
      <c r="L85" s="532" t="s">
        <v>871</v>
      </c>
    </row>
    <row r="86" spans="1:12" s="77" customFormat="1" x14ac:dyDescent="0.2">
      <c r="A86" s="80"/>
      <c r="B86" s="533" t="s">
        <v>85</v>
      </c>
      <c r="C86" s="534">
        <f>IFERROR(0.0138*POWER(C83,0.5835)/C81,"/")</f>
        <v>7.231099166423105E-2</v>
      </c>
      <c r="D86" s="497" t="s">
        <v>871</v>
      </c>
      <c r="E86" s="209"/>
      <c r="F86" s="533" t="s">
        <v>85</v>
      </c>
      <c r="G86" s="534">
        <f>IFERROR(POWER(G83,0.6566)*0.0071/C81,"/")</f>
        <v>8.4311731953153363E-2</v>
      </c>
      <c r="H86" s="497" t="s">
        <v>871</v>
      </c>
      <c r="J86" s="533" t="s">
        <v>85</v>
      </c>
      <c r="K86" s="534">
        <f>IFERROR((-8*POWER(10,-13)*POWER(K83,2)+5*POWER(10,-5)*K83+27.291)/C81,"/")</f>
        <v>0.12624364810723201</v>
      </c>
      <c r="L86" s="497" t="s">
        <v>871</v>
      </c>
    </row>
    <row r="87" spans="1:12" s="77" customFormat="1" x14ac:dyDescent="0.2">
      <c r="A87" s="80"/>
      <c r="B87" s="533" t="s">
        <v>86</v>
      </c>
      <c r="C87" s="534">
        <f>IFERROR(0.0168*POWER(C83,0.5814)/C81,"/")</f>
        <v>8.5640844513398096E-2</v>
      </c>
      <c r="D87" s="497" t="s">
        <v>871</v>
      </c>
      <c r="E87" s="209"/>
      <c r="F87" s="533" t="s">
        <v>86</v>
      </c>
      <c r="G87" s="534">
        <f>IFERROR(POWER(G83,0.6558)*0.0082/C81,"/")</f>
        <v>9.6374878564870897E-2</v>
      </c>
      <c r="H87" s="497" t="s">
        <v>871</v>
      </c>
      <c r="J87" s="533" t="s">
        <v>86</v>
      </c>
      <c r="K87" s="534">
        <f>IFERROR((-1*POWER(10,-12)*POWER(K83,2)+6*POWER(10,-5)*K83+33.622)/C81,"/")</f>
        <v>0.15365251013403999</v>
      </c>
      <c r="L87" s="497" t="s">
        <v>871</v>
      </c>
    </row>
    <row r="88" spans="1:12" s="77" customFormat="1" x14ac:dyDescent="0.2">
      <c r="A88" s="80"/>
      <c r="B88" s="533" t="s">
        <v>87</v>
      </c>
      <c r="C88" s="534">
        <f>IFERROR(0.0201*POWER(C83,0.5829)/C81,"/")</f>
        <v>0.10449751968521641</v>
      </c>
      <c r="D88" s="497" t="s">
        <v>871</v>
      </c>
      <c r="E88" s="209"/>
      <c r="F88" s="533" t="s">
        <v>87</v>
      </c>
      <c r="G88" s="534">
        <f>IFERROR(POWER(G83,0.6561)*0.0094/C81,"/")</f>
        <v>0.11090668426011535</v>
      </c>
      <c r="H88" s="497" t="s">
        <v>871</v>
      </c>
      <c r="J88" s="533" t="s">
        <v>87</v>
      </c>
      <c r="K88" s="534">
        <f>IFERROR((-2*POWER(10,-12)*POWER(K83,2)+7*POWER(10,-5)*K83+40.067)/C81,"/")</f>
        <v>0.18090902026807998</v>
      </c>
      <c r="L88" s="497" t="s">
        <v>871</v>
      </c>
    </row>
    <row r="89" spans="1:12" s="77" customFormat="1" x14ac:dyDescent="0.2">
      <c r="A89" s="80"/>
      <c r="B89" s="533" t="s">
        <v>88</v>
      </c>
      <c r="C89" s="534">
        <f>IFERROR(0.0226*POWER(C83,0.5831)/C81,"/")</f>
        <v>0.11780312178677498</v>
      </c>
      <c r="D89" s="497" t="s">
        <v>871</v>
      </c>
      <c r="E89" s="209"/>
      <c r="F89" s="533"/>
      <c r="G89" s="534"/>
      <c r="H89" s="497"/>
      <c r="J89" s="533" t="s">
        <v>88</v>
      </c>
      <c r="K89" s="534">
        <f>IFERROR((-1*POWER(10,-12)*POWER(K83,2)+8*POWER(10,-5)*K83+46.41)/C81,"/")</f>
        <v>0.20900391013403996</v>
      </c>
      <c r="L89" s="497" t="s">
        <v>871</v>
      </c>
    </row>
    <row r="90" spans="1:12" s="77" customFormat="1" x14ac:dyDescent="0.2">
      <c r="A90" s="80"/>
      <c r="B90" s="533" t="s">
        <v>913</v>
      </c>
      <c r="C90" s="534">
        <f>IFERROR(0.0245*POWER(C83,0.5828)/C81,"/")</f>
        <v>0.12720576425774868</v>
      </c>
      <c r="D90" s="497" t="s">
        <v>871</v>
      </c>
      <c r="E90" s="209"/>
      <c r="F90" s="209"/>
      <c r="G90" s="209"/>
      <c r="H90" s="209"/>
      <c r="I90" s="209"/>
      <c r="J90" s="533" t="s">
        <v>913</v>
      </c>
      <c r="K90" s="534">
        <f>IFERROR((-2*POWER(10,-12)*POWER(K83,2)+9*POWER(10,-5)*K83+52.93)/C81,"/")</f>
        <v>0.23644792026807998</v>
      </c>
      <c r="L90" s="497" t="s">
        <v>871</v>
      </c>
    </row>
    <row r="91" spans="1:12" s="77" customFormat="1" x14ac:dyDescent="0.2">
      <c r="A91" s="80"/>
      <c r="B91" s="533" t="str">
        <f>'OSNOVNI PODATKI'!B131</f>
        <v>GRADBENO OBRTNIŠKA DELA (GO)</v>
      </c>
      <c r="C91" s="636">
        <f>'OSNOVNI PODATKI'!D131</f>
        <v>0.80800000000000005</v>
      </c>
      <c r="D91" s="635"/>
      <c r="E91" s="209"/>
      <c r="F91" s="209"/>
      <c r="G91" s="209"/>
      <c r="H91" s="209"/>
      <c r="I91" s="209"/>
      <c r="J91" s="638"/>
      <c r="L91" s="633"/>
    </row>
    <row r="92" spans="1:12" s="77" customFormat="1" x14ac:dyDescent="0.2">
      <c r="A92" s="80"/>
      <c r="B92" s="533" t="str">
        <f>'OSNOVNI PODATKI'!B132</f>
        <v>ELEKTRIČNE INŠTALACIJE (EI)</v>
      </c>
      <c r="C92" s="636">
        <f>'OSNOVNI PODATKI'!D132</f>
        <v>4.4544000000000007E-2</v>
      </c>
      <c r="D92" s="635"/>
      <c r="E92" s="209"/>
      <c r="F92" s="209"/>
      <c r="G92" s="209"/>
      <c r="H92" s="209"/>
      <c r="I92" s="209"/>
      <c r="J92" s="639"/>
      <c r="K92" s="639"/>
      <c r="L92" s="633"/>
    </row>
    <row r="93" spans="1:12" s="77" customFormat="1" x14ac:dyDescent="0.2">
      <c r="A93" s="80"/>
      <c r="B93" s="533" t="str">
        <f>'OSNOVNI PODATKI'!B133</f>
        <v>STROJNE INŠTALACIJE (SI)</v>
      </c>
      <c r="C93" s="636">
        <f>'OSNOVNI PODATKI'!D133</f>
        <v>0.14764799999999997</v>
      </c>
      <c r="D93" s="635"/>
      <c r="E93" s="209"/>
      <c r="F93" s="209"/>
      <c r="G93" s="209"/>
      <c r="H93" s="209"/>
      <c r="I93" s="209"/>
      <c r="J93" s="638"/>
      <c r="K93" s="632"/>
      <c r="L93" s="633"/>
    </row>
    <row r="94" spans="1:12" s="77" customFormat="1" x14ac:dyDescent="0.2">
      <c r="A94" s="80"/>
      <c r="B94" s="533" t="str">
        <f>'OSNOVNI PODATKI'!B134</f>
        <v>TEHNOLOGIJA (TH)</v>
      </c>
      <c r="C94" s="636">
        <f>'OSNOVNI PODATKI'!D134</f>
        <v>0</v>
      </c>
      <c r="D94" s="635"/>
      <c r="E94" s="209"/>
      <c r="F94" s="209"/>
      <c r="G94" s="209"/>
      <c r="H94" s="209"/>
      <c r="I94" s="209"/>
      <c r="J94" s="533"/>
      <c r="K94" s="632"/>
      <c r="L94" s="633"/>
    </row>
    <row r="95" spans="1:12" s="77" customFormat="1" x14ac:dyDescent="0.2">
      <c r="A95" s="80"/>
      <c r="C95" s="84"/>
      <c r="D95" s="498"/>
      <c r="E95" s="209"/>
      <c r="F95" s="209"/>
      <c r="G95" s="209"/>
      <c r="H95" s="209"/>
      <c r="I95" s="209"/>
    </row>
    <row r="96" spans="1:12" s="77" customFormat="1" ht="14.25" x14ac:dyDescent="0.2">
      <c r="B96" s="84" t="s">
        <v>879</v>
      </c>
      <c r="C96" s="515">
        <f>IFERROR(LOOKUP(C84,B85:C90),"/")</f>
        <v>7.231099166423105E-2</v>
      </c>
      <c r="D96" s="384" t="s">
        <v>870</v>
      </c>
      <c r="E96" s="498"/>
      <c r="F96" s="84" t="s">
        <v>879</v>
      </c>
      <c r="G96" s="515">
        <f>IFERROR(LOOKUP(G84,F85:G88),"/")</f>
        <v>8.4311731953153363E-2</v>
      </c>
      <c r="H96" s="384" t="s">
        <v>870</v>
      </c>
      <c r="I96" s="498"/>
      <c r="J96" s="84" t="s">
        <v>879</v>
      </c>
      <c r="K96" s="515">
        <f>IFERROR(LOOKUP(K84,J85:K88),"/")</f>
        <v>0.12624364810723201</v>
      </c>
      <c r="L96" s="384" t="s">
        <v>870</v>
      </c>
    </row>
    <row r="97" spans="1:12" s="77" customFormat="1" ht="14.25" x14ac:dyDescent="0.2">
      <c r="B97" s="84" t="s">
        <v>880</v>
      </c>
      <c r="C97" s="515" cm="1">
        <f t="array" ref="C97">IFERROR(INDEX(C85:C90,MATCH(C84,B85:B90)+1),"/")</f>
        <v>8.5640844513398096E-2</v>
      </c>
      <c r="D97" s="384" t="s">
        <v>870</v>
      </c>
      <c r="E97" s="498"/>
      <c r="F97" s="84" t="s">
        <v>880</v>
      </c>
      <c r="G97" s="515" cm="1">
        <f t="array" ref="G97">IFERROR(INDEX(G85:G88,MATCH(G84,F85:F88)+1),"/")</f>
        <v>9.6374878564870897E-2</v>
      </c>
      <c r="H97" s="384" t="s">
        <v>870</v>
      </c>
      <c r="I97" s="498"/>
      <c r="J97" s="84" t="s">
        <v>880</v>
      </c>
      <c r="K97" s="515" cm="1">
        <f t="array" ref="K97">IFERROR(INDEX(K85:K88,MATCH(K84,J85:J88)+1),"/")</f>
        <v>0.15365251013403999</v>
      </c>
      <c r="L97" s="384" t="s">
        <v>870</v>
      </c>
    </row>
    <row r="98" spans="1:12" s="77" customFormat="1" x14ac:dyDescent="0.2">
      <c r="B98" s="84" t="s">
        <v>732</v>
      </c>
      <c r="C98" s="539">
        <f>IFERROR(ROUND(C96*$C80,0),0)</f>
        <v>0</v>
      </c>
      <c r="D98" s="384" t="s">
        <v>872</v>
      </c>
      <c r="E98" s="498"/>
      <c r="F98" s="84" t="s">
        <v>732</v>
      </c>
      <c r="G98" s="539">
        <f>IFERROR(ROUND(G96*$C80,0),0)</f>
        <v>0</v>
      </c>
      <c r="H98" s="384" t="s">
        <v>872</v>
      </c>
      <c r="I98" s="498"/>
      <c r="J98" s="84" t="s">
        <v>732</v>
      </c>
      <c r="K98" s="539">
        <f>IF($C$7&gt;50000,"NI DOLOČENO",IFERROR(ROUND(K96*$C80,0),0))</f>
        <v>0</v>
      </c>
      <c r="L98" s="384" t="s">
        <v>872</v>
      </c>
    </row>
    <row r="99" spans="1:12" s="77" customFormat="1" x14ac:dyDescent="0.2">
      <c r="B99" s="84" t="s">
        <v>733</v>
      </c>
      <c r="C99" s="539">
        <f>IFERROR(ROUND(C97*$C80,0),0)</f>
        <v>0</v>
      </c>
      <c r="D99" s="384" t="s">
        <v>872</v>
      </c>
      <c r="E99" s="498"/>
      <c r="F99" s="84" t="s">
        <v>733</v>
      </c>
      <c r="G99" s="539">
        <f>IFERROR(ROUND(G97*$C80,0),0)</f>
        <v>0</v>
      </c>
      <c r="H99" s="384" t="s">
        <v>872</v>
      </c>
      <c r="I99" s="498"/>
      <c r="J99" s="84" t="s">
        <v>733</v>
      </c>
      <c r="K99" s="539">
        <f>IF($C$7&gt;50000,"NI DOLOČENO",IFERROR(ROUND(K97*$C80,0),0))</f>
        <v>0</v>
      </c>
      <c r="L99" s="384" t="s">
        <v>872</v>
      </c>
    </row>
    <row r="100" spans="1:12" s="77" customFormat="1" x14ac:dyDescent="0.2">
      <c r="A100" s="80"/>
      <c r="C100" s="209"/>
      <c r="D100" s="209"/>
      <c r="E100" s="209"/>
    </row>
    <row r="101" spans="1:12" s="77" customFormat="1" x14ac:dyDescent="0.2">
      <c r="A101" s="80"/>
      <c r="B101" s="209" t="str">
        <f>'OSNOVNI PODATKI'!A139</f>
        <v>STAVBA 5 / DEL 5</v>
      </c>
      <c r="C101" s="541">
        <f>'OSNOVNI PODATKI'!E139</f>
        <v>0</v>
      </c>
      <c r="D101" s="209"/>
      <c r="E101" s="209"/>
    </row>
    <row r="102" spans="1:12" s="77" customFormat="1" x14ac:dyDescent="0.2">
      <c r="A102" s="80"/>
      <c r="B102" s="202" t="s">
        <v>718</v>
      </c>
      <c r="C102" s="84" t="str">
        <f>'OSNOVNI PODATKI'!E140</f>
        <v>Nepodkletene eno in dvostanovanjske stavbe, srednji standard</v>
      </c>
      <c r="D102" s="498"/>
      <c r="E102" s="498"/>
      <c r="I102" s="498"/>
    </row>
    <row r="103" spans="1:12" s="77" customFormat="1" x14ac:dyDescent="0.2">
      <c r="A103" s="80"/>
      <c r="B103" s="202" t="s">
        <v>943</v>
      </c>
      <c r="C103" s="84">
        <f>'OSNOVNI PODATKI'!E141</f>
        <v>0</v>
      </c>
      <c r="D103" s="498"/>
      <c r="E103" s="498"/>
      <c r="F103" s="498"/>
      <c r="G103" s="498"/>
      <c r="H103" s="498"/>
      <c r="I103" s="498"/>
    </row>
    <row r="104" spans="1:12" s="77" customFormat="1" x14ac:dyDescent="0.2">
      <c r="A104" s="80"/>
      <c r="B104" s="202" t="s">
        <v>944</v>
      </c>
      <c r="C104" s="84">
        <f>IF($C$6=1,$C$7,C103)</f>
        <v>400</v>
      </c>
      <c r="D104" s="498"/>
      <c r="E104" s="498"/>
      <c r="I104" s="498"/>
    </row>
    <row r="105" spans="1:12" s="77" customFormat="1" x14ac:dyDescent="0.2">
      <c r="A105" s="80"/>
      <c r="B105" s="538" t="s">
        <v>878</v>
      </c>
      <c r="C105" s="537">
        <f>'OSNOVNI PODATKI'!E151</f>
        <v>230.59999999999991</v>
      </c>
      <c r="D105" s="498"/>
      <c r="E105" s="498"/>
      <c r="F105" s="538"/>
      <c r="G105" s="579"/>
      <c r="I105" s="498"/>
      <c r="J105" s="538"/>
      <c r="K105" s="579"/>
    </row>
    <row r="106" spans="1:12" s="77" customFormat="1" x14ac:dyDescent="0.2">
      <c r="A106" s="80"/>
      <c r="B106" s="538" t="s">
        <v>1033</v>
      </c>
      <c r="C106" s="1301">
        <f>IF((C115+C116+C117)&lt;25%*C114,C104*(1000+C105),(C114-37.5%*C114+50%)*C104*(1000+C105))</f>
        <v>492239.99999999994</v>
      </c>
      <c r="D106" s="498"/>
      <c r="E106" s="498"/>
      <c r="F106" s="538" t="s">
        <v>1033</v>
      </c>
      <c r="G106" s="1301">
        <f>C114*C104*(1000+C105)</f>
        <v>397729.92000000004</v>
      </c>
      <c r="I106" s="498"/>
      <c r="J106" s="538" t="s">
        <v>1033</v>
      </c>
      <c r="K106" s="1301">
        <f>95%*C104*(1000+C105)</f>
        <v>467627.99999999994</v>
      </c>
    </row>
    <row r="107" spans="1:12" s="77" customFormat="1" x14ac:dyDescent="0.2">
      <c r="A107" s="80"/>
      <c r="B107" s="202" t="s">
        <v>116</v>
      </c>
      <c r="C107" s="84" t="str">
        <f>'OSNOVNI PODATKI'!E148</f>
        <v>Cenovni razred II</v>
      </c>
      <c r="D107" s="498"/>
      <c r="E107" s="498"/>
      <c r="F107" s="202" t="s">
        <v>116</v>
      </c>
      <c r="G107" s="84" t="str">
        <f>'OSNOVNI PODATKI'!E149</f>
        <v>Cenovni razred II</v>
      </c>
      <c r="I107" s="498"/>
      <c r="J107" s="202" t="s">
        <v>116</v>
      </c>
      <c r="K107" s="84" t="str">
        <f>'OSNOVNI PODATKI'!E146</f>
        <v>Cenovni razred II</v>
      </c>
    </row>
    <row r="108" spans="1:12" s="77" customFormat="1" x14ac:dyDescent="0.2">
      <c r="A108" s="80"/>
      <c r="B108" s="530" t="s">
        <v>84</v>
      </c>
      <c r="C108" s="531">
        <f>IFERROR(0.0122*POWER(C106,0.5823)/C104,"/")</f>
        <v>6.2929524388183181E-2</v>
      </c>
      <c r="D108" s="532" t="s">
        <v>871</v>
      </c>
      <c r="E108" s="209"/>
      <c r="F108" s="530" t="s">
        <v>84</v>
      </c>
      <c r="G108" s="531">
        <f>IFERROR(POWER(G106,0.6571)*0.0061/C104,"/")</f>
        <v>7.2905331863984957E-2</v>
      </c>
      <c r="H108" s="532" t="s">
        <v>871</v>
      </c>
      <c r="J108" s="530" t="s">
        <v>84</v>
      </c>
      <c r="K108" s="531">
        <f>IFERROR((-6*POWER(10,-13)*POWER(K106,2)+4*POWER(10,-5)*K106+21.161)/C104,"/")</f>
        <v>9.9337286080424012E-2</v>
      </c>
      <c r="L108" s="532" t="s">
        <v>871</v>
      </c>
    </row>
    <row r="109" spans="1:12" s="77" customFormat="1" x14ac:dyDescent="0.2">
      <c r="A109" s="80"/>
      <c r="B109" s="533" t="s">
        <v>85</v>
      </c>
      <c r="C109" s="534">
        <f>IFERROR(0.0138*POWER(C106,0.5835)/C104,"/")</f>
        <v>7.231099166423105E-2</v>
      </c>
      <c r="D109" s="497" t="s">
        <v>871</v>
      </c>
      <c r="E109" s="209"/>
      <c r="F109" s="533" t="s">
        <v>85</v>
      </c>
      <c r="G109" s="534">
        <f>IFERROR(POWER(G106,0.6566)*0.0071/C104,"/")</f>
        <v>8.4311731953153363E-2</v>
      </c>
      <c r="H109" s="497" t="s">
        <v>871</v>
      </c>
      <c r="J109" s="533" t="s">
        <v>85</v>
      </c>
      <c r="K109" s="534">
        <f>IFERROR((-8*POWER(10,-13)*POWER(K106,2)+5*POWER(10,-5)*K106+27.291)/C104,"/")</f>
        <v>0.12624364810723201</v>
      </c>
      <c r="L109" s="497" t="s">
        <v>871</v>
      </c>
    </row>
    <row r="110" spans="1:12" s="77" customFormat="1" x14ac:dyDescent="0.2">
      <c r="A110" s="80"/>
      <c r="B110" s="533" t="s">
        <v>86</v>
      </c>
      <c r="C110" s="534">
        <f>IFERROR(0.0168*POWER(C106,0.5814)/C104,"/")</f>
        <v>8.5640844513398096E-2</v>
      </c>
      <c r="D110" s="497" t="s">
        <v>871</v>
      </c>
      <c r="E110" s="209"/>
      <c r="F110" s="533" t="s">
        <v>86</v>
      </c>
      <c r="G110" s="534">
        <f>IFERROR(POWER(G106,0.6558)*0.0082/C104,"/")</f>
        <v>9.6374878564870897E-2</v>
      </c>
      <c r="H110" s="497" t="s">
        <v>871</v>
      </c>
      <c r="J110" s="533" t="s">
        <v>86</v>
      </c>
      <c r="K110" s="534">
        <f>IFERROR((-1*POWER(10,-12)*POWER(K106,2)+6*POWER(10,-5)*K106+33.622)/C104,"/")</f>
        <v>0.15365251013403999</v>
      </c>
      <c r="L110" s="497" t="s">
        <v>871</v>
      </c>
    </row>
    <row r="111" spans="1:12" s="77" customFormat="1" x14ac:dyDescent="0.2">
      <c r="A111" s="80"/>
      <c r="B111" s="533" t="s">
        <v>87</v>
      </c>
      <c r="C111" s="534">
        <f>IFERROR(0.0201*POWER(C106,0.5829)/C104,"/")</f>
        <v>0.10449751968521641</v>
      </c>
      <c r="D111" s="497" t="s">
        <v>871</v>
      </c>
      <c r="E111" s="209"/>
      <c r="F111" s="533" t="s">
        <v>87</v>
      </c>
      <c r="G111" s="534">
        <f>IFERROR(POWER(G106,0.6561)*0.0094/C104,"/")</f>
        <v>0.11090668426011535</v>
      </c>
      <c r="H111" s="497" t="s">
        <v>871</v>
      </c>
      <c r="J111" s="533" t="s">
        <v>87</v>
      </c>
      <c r="K111" s="534">
        <f>IFERROR((-2*POWER(10,-12)*POWER(K106,2)+7*POWER(10,-5)*K106+40.067)/C104,"/")</f>
        <v>0.18090902026807998</v>
      </c>
      <c r="L111" s="497" t="s">
        <v>871</v>
      </c>
    </row>
    <row r="112" spans="1:12" s="77" customFormat="1" x14ac:dyDescent="0.2">
      <c r="A112" s="80"/>
      <c r="B112" s="533" t="s">
        <v>88</v>
      </c>
      <c r="C112" s="534">
        <f>IFERROR(0.0226*POWER(C106,0.5831)/C104,"/")</f>
        <v>0.11780312178677498</v>
      </c>
      <c r="D112" s="497" t="s">
        <v>871</v>
      </c>
      <c r="E112" s="209"/>
      <c r="F112" s="533"/>
      <c r="G112" s="534"/>
      <c r="H112" s="497"/>
      <c r="J112" s="533" t="s">
        <v>88</v>
      </c>
      <c r="K112" s="534">
        <f>IFERROR((-1*POWER(10,-12)*POWER(K106,2)+8*POWER(10,-5)*K106+46.41)/C104,"/")</f>
        <v>0.20900391013403996</v>
      </c>
      <c r="L112" s="497" t="s">
        <v>871</v>
      </c>
    </row>
    <row r="113" spans="1:12" s="77" customFormat="1" x14ac:dyDescent="0.2">
      <c r="A113" s="80"/>
      <c r="B113" s="533" t="s">
        <v>913</v>
      </c>
      <c r="C113" s="534">
        <f>IFERROR(0.0245*POWER(C106,0.5828)/C104,"/")</f>
        <v>0.12720576425774868</v>
      </c>
      <c r="D113" s="497" t="s">
        <v>871</v>
      </c>
      <c r="E113" s="209"/>
      <c r="F113" s="209"/>
      <c r="G113" s="209"/>
      <c r="H113" s="209"/>
      <c r="I113" s="209"/>
      <c r="J113" s="533" t="s">
        <v>913</v>
      </c>
      <c r="K113" s="534">
        <f>IFERROR((-2*POWER(10,-12)*POWER(K106,2)+9*POWER(10,-5)*K106+52.93)/C104,"/")</f>
        <v>0.23644792026807998</v>
      </c>
      <c r="L113" s="497" t="s">
        <v>871</v>
      </c>
    </row>
    <row r="114" spans="1:12" s="77" customFormat="1" x14ac:dyDescent="0.2">
      <c r="A114" s="80"/>
      <c r="B114" s="533" t="str">
        <f>'OSNOVNI PODATKI'!B162</f>
        <v>GRADBENO OBRTNIŠKA DELA (GO)</v>
      </c>
      <c r="C114" s="636">
        <f>'OSNOVNI PODATKI'!D162</f>
        <v>0.80800000000000005</v>
      </c>
      <c r="D114" s="635"/>
      <c r="E114" s="209"/>
      <c r="F114" s="209"/>
      <c r="G114" s="209"/>
      <c r="H114" s="209"/>
      <c r="I114" s="209"/>
      <c r="J114" s="638"/>
      <c r="L114" s="633"/>
    </row>
    <row r="115" spans="1:12" s="77" customFormat="1" x14ac:dyDescent="0.2">
      <c r="A115" s="80"/>
      <c r="B115" s="533" t="str">
        <f>'OSNOVNI PODATKI'!B158</f>
        <v>INFORMATIVNA OCENA STROŠKOV GRADNJE</v>
      </c>
      <c r="C115" s="636">
        <f>'OSNOVNI PODATKI'!D163</f>
        <v>4.4544000000000007E-2</v>
      </c>
      <c r="D115" s="635"/>
      <c r="E115" s="209"/>
      <c r="F115" s="209"/>
      <c r="G115" s="209"/>
      <c r="H115" s="209"/>
      <c r="I115" s="209"/>
      <c r="J115" s="639"/>
      <c r="K115" s="639"/>
      <c r="L115" s="633"/>
    </row>
    <row r="116" spans="1:12" s="77" customFormat="1" x14ac:dyDescent="0.2">
      <c r="A116" s="80"/>
      <c r="B116" s="533" t="str">
        <f>'OSNOVNI PODATKI'!B159</f>
        <v>INFORMATIVNA VREDNOST STROŠKOV GRADNJE EUR/m2 BTP</v>
      </c>
      <c r="C116" s="636">
        <f>'OSNOVNI PODATKI'!D164</f>
        <v>0.14764799999999997</v>
      </c>
      <c r="D116" s="635"/>
      <c r="E116" s="209"/>
      <c r="F116" s="209"/>
      <c r="G116" s="209"/>
      <c r="H116" s="209"/>
      <c r="I116" s="209"/>
      <c r="J116" s="638"/>
      <c r="K116" s="632"/>
      <c r="L116" s="633"/>
    </row>
    <row r="117" spans="1:12" s="77" customFormat="1" x14ac:dyDescent="0.2">
      <c r="A117" s="80"/>
      <c r="B117" s="533" t="str">
        <f>'OSNOVNI PODATKI'!B160</f>
        <v>IZBRANA VREDNOST STROŠKOV GRADNJE EUR/m2 BEP</v>
      </c>
      <c r="C117" s="636">
        <f>'OSNOVNI PODATKI'!D165</f>
        <v>0</v>
      </c>
      <c r="D117" s="635"/>
      <c r="E117" s="209"/>
      <c r="F117" s="209"/>
      <c r="G117" s="209"/>
      <c r="H117" s="209"/>
      <c r="I117" s="209"/>
      <c r="J117" s="533"/>
      <c r="K117" s="632"/>
      <c r="L117" s="633"/>
    </row>
    <row r="118" spans="1:12" s="77" customFormat="1" x14ac:dyDescent="0.2">
      <c r="A118" s="80"/>
      <c r="C118" s="84"/>
      <c r="D118" s="498"/>
      <c r="E118" s="209"/>
      <c r="F118" s="209"/>
      <c r="G118" s="209"/>
      <c r="H118" s="209"/>
      <c r="I118" s="209"/>
    </row>
    <row r="119" spans="1:12" s="77" customFormat="1" ht="14.25" x14ac:dyDescent="0.2">
      <c r="B119" s="84" t="s">
        <v>879</v>
      </c>
      <c r="C119" s="515">
        <f>IFERROR(LOOKUP(C107,B108:C113),"/")</f>
        <v>7.231099166423105E-2</v>
      </c>
      <c r="D119" s="384" t="s">
        <v>870</v>
      </c>
      <c r="E119" s="498"/>
      <c r="F119" s="84" t="s">
        <v>879</v>
      </c>
      <c r="G119" s="515">
        <f>IFERROR(LOOKUP(G107,F108:G111),"/")</f>
        <v>8.4311731953153363E-2</v>
      </c>
      <c r="H119" s="384" t="s">
        <v>870</v>
      </c>
      <c r="I119" s="498"/>
      <c r="J119" s="84" t="s">
        <v>879</v>
      </c>
      <c r="K119" s="515">
        <f>IFERROR(LOOKUP(K107,J108:K111),"/")</f>
        <v>0.12624364810723201</v>
      </c>
      <c r="L119" s="384" t="s">
        <v>870</v>
      </c>
    </row>
    <row r="120" spans="1:12" s="77" customFormat="1" ht="14.25" x14ac:dyDescent="0.2">
      <c r="B120" s="84" t="s">
        <v>880</v>
      </c>
      <c r="C120" s="515" cm="1">
        <f t="array" ref="C120">IFERROR(INDEX(C108:C113,MATCH(C107,B108:B113)+1),"/")</f>
        <v>8.5640844513398096E-2</v>
      </c>
      <c r="D120" s="384" t="s">
        <v>870</v>
      </c>
      <c r="E120" s="498"/>
      <c r="F120" s="84" t="s">
        <v>880</v>
      </c>
      <c r="G120" s="515" cm="1">
        <f t="array" ref="G120">IFERROR(INDEX(G108:G111,MATCH(G107,F108:F111)+1),"/")</f>
        <v>9.6374878564870897E-2</v>
      </c>
      <c r="H120" s="384" t="s">
        <v>870</v>
      </c>
      <c r="I120" s="498"/>
      <c r="J120" s="84" t="s">
        <v>880</v>
      </c>
      <c r="K120" s="515" cm="1">
        <f t="array" ref="K120">IFERROR(INDEX(K108:K111,MATCH(K107,J108:J111)+1),"/")</f>
        <v>0.15365251013403999</v>
      </c>
      <c r="L120" s="384" t="s">
        <v>870</v>
      </c>
    </row>
    <row r="121" spans="1:12" s="77" customFormat="1" x14ac:dyDescent="0.2">
      <c r="B121" s="84" t="s">
        <v>732</v>
      </c>
      <c r="C121" s="539">
        <f>IFERROR(ROUND(C119*$C103,0),0)</f>
        <v>0</v>
      </c>
      <c r="D121" s="384" t="s">
        <v>872</v>
      </c>
      <c r="E121" s="498"/>
      <c r="F121" s="84" t="s">
        <v>732</v>
      </c>
      <c r="G121" s="539">
        <f>IFERROR(ROUND(G119*$C103,0),0)</f>
        <v>0</v>
      </c>
      <c r="H121" s="384" t="s">
        <v>872</v>
      </c>
      <c r="I121" s="498"/>
      <c r="J121" s="84" t="s">
        <v>732</v>
      </c>
      <c r="K121" s="539">
        <f>IF($C$7&gt;50000,"NI DOLOČENO",IFERROR(ROUND(K119*$C103,0),0))</f>
        <v>0</v>
      </c>
      <c r="L121" s="384" t="s">
        <v>872</v>
      </c>
    </row>
    <row r="122" spans="1:12" s="77" customFormat="1" x14ac:dyDescent="0.2">
      <c r="B122" s="84" t="s">
        <v>733</v>
      </c>
      <c r="C122" s="539">
        <f>IFERROR(ROUND(C120*$C103,0),0)</f>
        <v>0</v>
      </c>
      <c r="D122" s="384" t="s">
        <v>872</v>
      </c>
      <c r="E122" s="498"/>
      <c r="F122" s="84" t="s">
        <v>733</v>
      </c>
      <c r="G122" s="539">
        <f>IFERROR(ROUND(G120*$C103,0),0)</f>
        <v>0</v>
      </c>
      <c r="H122" s="384" t="s">
        <v>872</v>
      </c>
      <c r="I122" s="498"/>
      <c r="J122" s="84" t="s">
        <v>733</v>
      </c>
      <c r="K122" s="539">
        <f>IF($C$7&gt;50000,"NI DOLOČENO",IFERROR(ROUND(K120*$C103,0),0))</f>
        <v>0</v>
      </c>
      <c r="L122" s="384" t="s">
        <v>872</v>
      </c>
    </row>
    <row r="123" spans="1:12" s="77" customFormat="1" x14ac:dyDescent="0.2">
      <c r="A123" s="80"/>
      <c r="C123" s="209"/>
      <c r="D123" s="209"/>
      <c r="E123" s="209"/>
      <c r="F123" s="209"/>
    </row>
    <row r="125" spans="1:12" ht="14.25" x14ac:dyDescent="0.2">
      <c r="C125" s="11"/>
    </row>
    <row r="126" spans="1:12" ht="14.25" x14ac:dyDescent="0.2">
      <c r="C126" s="11"/>
    </row>
    <row r="127" spans="1:12" ht="14.25" x14ac:dyDescent="0.2">
      <c r="C127" s="11"/>
    </row>
    <row r="128" spans="1:12" ht="14.25" x14ac:dyDescent="0.2">
      <c r="B128" s="11"/>
    </row>
    <row r="130" spans="1:9" s="13" customFormat="1" ht="15" thickBot="1" x14ac:dyDescent="0.25">
      <c r="A130" s="75"/>
      <c r="B130" s="75"/>
      <c r="C130" s="75"/>
      <c r="D130" s="75"/>
      <c r="E130" s="75"/>
      <c r="F130" s="75"/>
      <c r="G130" s="75"/>
    </row>
    <row r="131" spans="1:9" s="13" customFormat="1" ht="18.75" x14ac:dyDescent="0.2">
      <c r="A131" s="807" t="s">
        <v>475</v>
      </c>
      <c r="B131" s="807"/>
      <c r="C131" s="807"/>
      <c r="D131" s="807"/>
      <c r="E131" s="807"/>
      <c r="F131" s="807"/>
      <c r="G131" s="807"/>
      <c r="H131" s="807"/>
    </row>
    <row r="132" spans="1:9" s="77" customFormat="1" x14ac:dyDescent="0.2">
      <c r="A132" s="209"/>
      <c r="B132" s="209"/>
      <c r="C132" s="729"/>
      <c r="D132" s="729"/>
      <c r="E132" s="729"/>
      <c r="F132" s="626"/>
      <c r="G132" s="729"/>
      <c r="H132" s="729"/>
    </row>
    <row r="133" spans="1:9" s="77" customFormat="1" x14ac:dyDescent="0.2">
      <c r="A133" s="209"/>
      <c r="B133" s="84" t="s">
        <v>868</v>
      </c>
      <c r="C133" s="209"/>
      <c r="D133" s="209"/>
      <c r="E133" s="209"/>
      <c r="F133" s="496">
        <f>'OSNOVNI PODATKI'!G377</f>
        <v>33.5</v>
      </c>
      <c r="G133" s="209"/>
      <c r="H133" s="209"/>
    </row>
    <row r="134" spans="1:9" s="77" customFormat="1" x14ac:dyDescent="0.2">
      <c r="A134" s="209"/>
      <c r="B134" s="84" t="s">
        <v>869</v>
      </c>
      <c r="C134" s="207"/>
      <c r="D134" s="83"/>
      <c r="E134" s="83"/>
      <c r="F134" s="482">
        <f>'ARHIGRAM 6'!I16</f>
        <v>55</v>
      </c>
      <c r="G134" s="207"/>
      <c r="H134" s="207"/>
    </row>
    <row r="135" spans="1:9" s="2" customFormat="1" x14ac:dyDescent="0.2">
      <c r="A135" s="77"/>
      <c r="B135" s="209"/>
      <c r="C135" s="209"/>
      <c r="D135" s="209"/>
      <c r="E135" s="209"/>
      <c r="F135" s="209"/>
      <c r="G135" s="209"/>
    </row>
    <row r="136" spans="1:9" s="77" customFormat="1" x14ac:dyDescent="0.2">
      <c r="B136" s="84" t="str">
        <f>'OSNOVNI PODATKI'!B384</f>
        <v>PRIBITEK ZA PRENOVO</v>
      </c>
      <c r="C136" s="207"/>
      <c r="D136" s="83"/>
      <c r="E136" s="83"/>
      <c r="F136" s="310">
        <f>'OSNOVNI PODATKI'!F384</f>
        <v>0</v>
      </c>
      <c r="G136" s="207"/>
      <c r="H136" s="207"/>
    </row>
    <row r="137" spans="1:9" s="77" customFormat="1" x14ac:dyDescent="0.2">
      <c r="B137" s="312"/>
      <c r="C137" s="312"/>
      <c r="D137" s="312"/>
      <c r="E137" s="312"/>
      <c r="F137" s="310"/>
      <c r="G137" s="207"/>
      <c r="H137" s="207"/>
    </row>
    <row r="138" spans="1:9" s="77" customFormat="1" x14ac:dyDescent="0.2">
      <c r="B138" s="312"/>
      <c r="C138" s="312"/>
      <c r="D138" s="312"/>
      <c r="E138" s="312"/>
      <c r="F138" s="617"/>
    </row>
    <row r="139" spans="1:9" s="13" customFormat="1" ht="14.25" x14ac:dyDescent="0.2">
      <c r="A139" s="211"/>
      <c r="B139" s="211"/>
      <c r="C139" s="211"/>
      <c r="D139" s="211"/>
      <c r="E139" s="211"/>
      <c r="F139" s="211"/>
      <c r="G139" s="211"/>
      <c r="H139" s="211"/>
    </row>
    <row r="140" spans="1:9" s="13" customFormat="1" ht="38.25" x14ac:dyDescent="0.2">
      <c r="A140" s="105"/>
      <c r="B140" s="106"/>
      <c r="C140" s="106"/>
      <c r="D140" s="106"/>
      <c r="E140" s="107" t="s">
        <v>25</v>
      </c>
      <c r="F140" s="299" t="s">
        <v>481</v>
      </c>
      <c r="G140" s="606" t="s">
        <v>57</v>
      </c>
      <c r="H140" s="108" t="s">
        <v>70</v>
      </c>
      <c r="I140" s="411" t="s">
        <v>907</v>
      </c>
    </row>
    <row r="141" spans="1:9" s="13" customFormat="1" ht="14.25" x14ac:dyDescent="0.2">
      <c r="A141" s="101" t="s">
        <v>29</v>
      </c>
      <c r="B141" s="102" t="s">
        <v>30</v>
      </c>
      <c r="C141" s="102"/>
      <c r="D141" s="102"/>
      <c r="E141" s="103"/>
      <c r="F141" s="103"/>
      <c r="G141" s="613"/>
      <c r="H141" s="104"/>
    </row>
    <row r="142" spans="1:9" s="13" customFormat="1" ht="14.25" x14ac:dyDescent="0.2">
      <c r="A142" s="85" t="s">
        <v>31</v>
      </c>
      <c r="B142" s="97" t="s">
        <v>65</v>
      </c>
      <c r="C142" s="97"/>
      <c r="D142" s="97"/>
      <c r="E142" s="86"/>
      <c r="F142" s="86"/>
      <c r="G142" s="614"/>
      <c r="H142" s="87" t="str">
        <f>IF(J149=TRUE,G142*'VREDNOST NU'!#REF!,"")</f>
        <v/>
      </c>
    </row>
    <row r="143" spans="1:9" ht="14.25" x14ac:dyDescent="0.2">
      <c r="A143" s="110" t="s">
        <v>32</v>
      </c>
      <c r="B143" s="111" t="s">
        <v>66</v>
      </c>
      <c r="C143" s="111"/>
      <c r="D143" s="111"/>
      <c r="E143" s="112"/>
      <c r="F143" s="112"/>
      <c r="G143" s="615"/>
      <c r="H143" s="91" t="str">
        <f>IF(J150=TRUE,G143*'VREDNOST NU'!#REF!,"")</f>
        <v/>
      </c>
      <c r="I143" s="13"/>
    </row>
    <row r="144" spans="1:9" x14ac:dyDescent="0.2">
      <c r="A144" s="109" t="s">
        <v>33</v>
      </c>
      <c r="B144" s="102" t="s">
        <v>34</v>
      </c>
      <c r="C144" s="102"/>
      <c r="D144" s="102"/>
      <c r="E144" s="103">
        <f>SUM(E145:E147)</f>
        <v>0.03</v>
      </c>
      <c r="F144" s="103">
        <f>SUM(F145:F147)</f>
        <v>0.03</v>
      </c>
      <c r="G144" s="613">
        <f>SUM(G145:G147)</f>
        <v>1.0049999999999999</v>
      </c>
      <c r="H144" s="104">
        <f>SUM(H145:H147)</f>
        <v>55.274999999999991</v>
      </c>
      <c r="I144" s="125">
        <f>IFERROR(H144/'OSNOVNI PODATKI'!$E$332,0)</f>
        <v>0</v>
      </c>
    </row>
    <row r="145" spans="1:10" s="77" customFormat="1" ht="14.25" x14ac:dyDescent="0.2">
      <c r="A145" s="88" t="s">
        <v>35</v>
      </c>
      <c r="B145" s="96" t="s">
        <v>67</v>
      </c>
      <c r="C145" s="96"/>
      <c r="D145" s="96"/>
      <c r="E145" s="86">
        <v>1.4999999999999999E-2</v>
      </c>
      <c r="F145" s="300">
        <f>E145*(100%+$F$136)</f>
        <v>1.4999999999999999E-2</v>
      </c>
      <c r="G145" s="614">
        <f>F145*$F$133</f>
        <v>0.50249999999999995</v>
      </c>
      <c r="H145" s="87">
        <f>+G145*$F$134</f>
        <v>27.637499999999996</v>
      </c>
      <c r="I145" s="13"/>
      <c r="J145" s="75"/>
    </row>
    <row r="146" spans="1:10" s="2" customFormat="1" ht="14.25" x14ac:dyDescent="0.2">
      <c r="A146" s="88" t="s">
        <v>36</v>
      </c>
      <c r="B146" s="96" t="s">
        <v>68</v>
      </c>
      <c r="C146" s="96"/>
      <c r="D146" s="96"/>
      <c r="E146" s="86">
        <v>1.4999999999999999E-2</v>
      </c>
      <c r="F146" s="86">
        <f>E146*(100%+$F$136)</f>
        <v>1.4999999999999999E-2</v>
      </c>
      <c r="G146" s="614">
        <f>F146*$F$133</f>
        <v>0.50249999999999995</v>
      </c>
      <c r="H146" s="87">
        <f>+G146*$F$134</f>
        <v>27.637499999999996</v>
      </c>
      <c r="I146" s="13"/>
      <c r="J146" s="75"/>
    </row>
    <row r="147" spans="1:10" s="12" customFormat="1" ht="14.25" x14ac:dyDescent="0.25">
      <c r="A147" s="114" t="s">
        <v>37</v>
      </c>
      <c r="B147" s="115" t="s">
        <v>837</v>
      </c>
      <c r="C147" s="115"/>
      <c r="D147" s="115"/>
      <c r="E147" s="112"/>
      <c r="F147" s="112"/>
      <c r="G147" s="615"/>
      <c r="H147" s="91"/>
      <c r="I147" s="13"/>
      <c r="J147" s="75"/>
    </row>
    <row r="148" spans="1:10" s="13" customFormat="1" ht="14.25" x14ac:dyDescent="0.2">
      <c r="A148" s="113">
        <v>2</v>
      </c>
      <c r="B148" s="102" t="s">
        <v>38</v>
      </c>
      <c r="C148" s="102"/>
      <c r="D148" s="102"/>
      <c r="E148" s="103">
        <f>+E149+E150+E151+E152+E153</f>
        <v>0.92000000000000015</v>
      </c>
      <c r="F148" s="103">
        <f>+F149+F150+F151+F152+F153</f>
        <v>0.92000000000000015</v>
      </c>
      <c r="G148" s="616">
        <f>SUM(G149:G153)</f>
        <v>30.82</v>
      </c>
      <c r="H148" s="104">
        <f>SUM(H149:H153)</f>
        <v>1695.1</v>
      </c>
      <c r="I148" s="125">
        <f>IFERROR(H148/'OSNOVNI PODATKI'!$E$332,0)</f>
        <v>0</v>
      </c>
      <c r="J148" s="75"/>
    </row>
    <row r="149" spans="1:10" s="13" customFormat="1" ht="14.25" x14ac:dyDescent="0.2">
      <c r="A149" s="88" t="s">
        <v>51</v>
      </c>
      <c r="B149" s="96" t="s">
        <v>94</v>
      </c>
      <c r="C149" s="96"/>
      <c r="D149" s="96"/>
      <c r="E149" s="99">
        <v>0.2</v>
      </c>
      <c r="F149" s="300">
        <f>E149*(100%+$F$136)</f>
        <v>0.2</v>
      </c>
      <c r="G149" s="614">
        <f>F149*$F$133</f>
        <v>6.7</v>
      </c>
      <c r="H149" s="87">
        <f>+G149*$F$134</f>
        <v>368.5</v>
      </c>
      <c r="J149" s="75"/>
    </row>
    <row r="150" spans="1:10" s="13" customFormat="1" ht="14.25" x14ac:dyDescent="0.2">
      <c r="A150" s="89" t="s">
        <v>52</v>
      </c>
      <c r="B150" s="100" t="s">
        <v>737</v>
      </c>
      <c r="C150" s="100"/>
      <c r="D150" s="100"/>
      <c r="E150" s="99">
        <v>0.4</v>
      </c>
      <c r="F150" s="99">
        <f>E150*(100%+$F$136)</f>
        <v>0.4</v>
      </c>
      <c r="G150" s="614">
        <f>F150*$F$133</f>
        <v>13.4</v>
      </c>
      <c r="H150" s="87">
        <f>+G150*$F$134</f>
        <v>737</v>
      </c>
      <c r="J150" s="75"/>
    </row>
    <row r="151" spans="1:10" s="13" customFormat="1" ht="14.25" x14ac:dyDescent="0.2">
      <c r="A151" s="89" t="s">
        <v>53</v>
      </c>
      <c r="B151" s="100" t="s">
        <v>841</v>
      </c>
      <c r="C151" s="100"/>
      <c r="D151" s="100"/>
      <c r="E151" s="99"/>
      <c r="F151" s="99"/>
      <c r="G151" s="614"/>
      <c r="H151" s="87"/>
      <c r="J151" s="75"/>
    </row>
    <row r="152" spans="1:10" s="13" customFormat="1" ht="14.25" x14ac:dyDescent="0.2">
      <c r="A152" s="89" t="s">
        <v>95</v>
      </c>
      <c r="B152" s="100" t="s">
        <v>738</v>
      </c>
      <c r="C152" s="100"/>
      <c r="D152" s="100"/>
      <c r="E152" s="99">
        <v>0.32</v>
      </c>
      <c r="F152" s="99">
        <f>E152*(100%+$F$136)</f>
        <v>0.32</v>
      </c>
      <c r="G152" s="614">
        <f>F152*$F$133</f>
        <v>10.72</v>
      </c>
      <c r="H152" s="87">
        <f>+G152*$F$134</f>
        <v>589.6</v>
      </c>
      <c r="J152" s="75"/>
    </row>
    <row r="153" spans="1:10" s="13" customFormat="1" ht="14.25" x14ac:dyDescent="0.2">
      <c r="A153" s="117" t="s">
        <v>96</v>
      </c>
      <c r="B153" s="118" t="s">
        <v>838</v>
      </c>
      <c r="C153" s="118"/>
      <c r="D153" s="118"/>
      <c r="E153" s="119"/>
      <c r="F153" s="119"/>
      <c r="G153" s="615"/>
      <c r="H153" s="91"/>
      <c r="J153" s="75"/>
    </row>
    <row r="154" spans="1:10" s="13" customFormat="1" ht="14.25" x14ac:dyDescent="0.2">
      <c r="A154" s="116" t="s">
        <v>39</v>
      </c>
      <c r="B154" s="102" t="s">
        <v>121</v>
      </c>
      <c r="C154" s="102"/>
      <c r="D154" s="102"/>
      <c r="E154" s="103">
        <f>SUM(E155:E156)</f>
        <v>0</v>
      </c>
      <c r="F154" s="103">
        <f>SUM(F155:F156)</f>
        <v>0</v>
      </c>
      <c r="G154" s="613">
        <f>SUM(G155:G156)</f>
        <v>0</v>
      </c>
      <c r="H154" s="104">
        <f>SUM(H155:H156)</f>
        <v>0</v>
      </c>
      <c r="I154" s="125">
        <f>IFERROR(H154/'OSNOVNI PODATKI'!$E$332,0)</f>
        <v>0</v>
      </c>
      <c r="J154" s="75"/>
    </row>
    <row r="155" spans="1:10" s="13" customFormat="1" ht="14.25" x14ac:dyDescent="0.2">
      <c r="A155" s="89" t="s">
        <v>40</v>
      </c>
      <c r="B155" s="95" t="s">
        <v>839</v>
      </c>
      <c r="C155" s="95"/>
      <c r="D155" s="95"/>
      <c r="E155" s="86"/>
      <c r="F155" s="86"/>
      <c r="G155" s="614"/>
      <c r="H155" s="87"/>
      <c r="J155" s="75"/>
    </row>
    <row r="156" spans="1:10" s="13" customFormat="1" ht="14.25" x14ac:dyDescent="0.2">
      <c r="A156" s="117" t="s">
        <v>41</v>
      </c>
      <c r="B156" s="90" t="s">
        <v>201</v>
      </c>
      <c r="C156" s="90"/>
      <c r="D156" s="90"/>
      <c r="E156" s="112"/>
      <c r="F156" s="112"/>
      <c r="G156" s="615"/>
      <c r="H156" s="91"/>
      <c r="J156" s="75"/>
    </row>
    <row r="157" spans="1:10" s="13" customFormat="1" ht="14.25" x14ac:dyDescent="0.2">
      <c r="A157" s="120">
        <v>4</v>
      </c>
      <c r="B157" s="102" t="s">
        <v>60</v>
      </c>
      <c r="C157" s="102"/>
      <c r="D157" s="102"/>
      <c r="E157" s="103">
        <f>SUM(E158:E162)</f>
        <v>0.05</v>
      </c>
      <c r="F157" s="103">
        <f>SUM(F158:F162)</f>
        <v>0.05</v>
      </c>
      <c r="G157" s="613">
        <f>SUM(G158:G162)</f>
        <v>1.675</v>
      </c>
      <c r="H157" s="104">
        <f>SUM(H158:H162)</f>
        <v>92.125</v>
      </c>
      <c r="I157" s="125">
        <f>IFERROR(H157/'OSNOVNI PODATKI'!$E$332,0)</f>
        <v>0</v>
      </c>
      <c r="J157" s="75"/>
    </row>
    <row r="158" spans="1:10" s="13" customFormat="1" ht="14.25" x14ac:dyDescent="0.2">
      <c r="A158" s="89" t="s">
        <v>42</v>
      </c>
      <c r="B158" s="95" t="s">
        <v>202</v>
      </c>
      <c r="C158" s="95"/>
      <c r="D158" s="95"/>
      <c r="E158" s="86"/>
      <c r="F158" s="86"/>
      <c r="G158" s="614"/>
      <c r="H158" s="87"/>
    </row>
    <row r="159" spans="1:10" s="13" customFormat="1" ht="14.25" x14ac:dyDescent="0.2">
      <c r="A159" s="89" t="s">
        <v>43</v>
      </c>
      <c r="B159" s="95" t="s">
        <v>858</v>
      </c>
      <c r="C159" s="95"/>
      <c r="D159" s="95"/>
      <c r="E159" s="86"/>
      <c r="F159" s="86"/>
      <c r="G159" s="614"/>
      <c r="H159" s="87"/>
    </row>
    <row r="160" spans="1:10" s="13" customFormat="1" ht="14.25" x14ac:dyDescent="0.2">
      <c r="A160" s="89" t="s">
        <v>44</v>
      </c>
      <c r="B160" s="95" t="s">
        <v>953</v>
      </c>
      <c r="C160" s="95"/>
      <c r="D160" s="95"/>
      <c r="E160" s="86"/>
      <c r="F160" s="86"/>
      <c r="G160" s="614"/>
      <c r="H160" s="87"/>
    </row>
    <row r="161" spans="1:9" s="13" customFormat="1" ht="14.25" x14ac:dyDescent="0.2">
      <c r="A161" s="89" t="s">
        <v>45</v>
      </c>
      <c r="B161" s="95" t="s">
        <v>859</v>
      </c>
      <c r="C161" s="95"/>
      <c r="D161" s="95"/>
      <c r="E161" s="86"/>
      <c r="F161" s="86"/>
      <c r="G161" s="614"/>
      <c r="H161" s="87"/>
    </row>
    <row r="162" spans="1:9" s="13" customFormat="1" ht="14.25" x14ac:dyDescent="0.2">
      <c r="A162" s="117" t="s">
        <v>46</v>
      </c>
      <c r="B162" s="90" t="s">
        <v>840</v>
      </c>
      <c r="C162" s="90"/>
      <c r="D162" s="90"/>
      <c r="E162" s="112">
        <v>0.05</v>
      </c>
      <c r="F162" s="112">
        <f>E162*(100%+$F$136)</f>
        <v>0.05</v>
      </c>
      <c r="G162" s="615">
        <f>F162*$F$133</f>
        <v>1.675</v>
      </c>
      <c r="H162" s="91">
        <f>+G162*$F$134</f>
        <v>92.125</v>
      </c>
    </row>
    <row r="163" spans="1:9" s="13" customFormat="1" ht="14.25" x14ac:dyDescent="0.2">
      <c r="A163" s="121">
        <v>5</v>
      </c>
      <c r="B163" s="102" t="s">
        <v>47</v>
      </c>
      <c r="C163" s="102"/>
      <c r="D163" s="102"/>
      <c r="E163" s="103">
        <f>SUM(E164:E165)</f>
        <v>0</v>
      </c>
      <c r="F163" s="103">
        <f>SUM(F164:F165)</f>
        <v>0</v>
      </c>
      <c r="G163" s="613">
        <f>SUM(G164:G165)</f>
        <v>0</v>
      </c>
      <c r="H163" s="104">
        <f>SUM(H164:H165)</f>
        <v>0</v>
      </c>
      <c r="I163" s="125">
        <f>IFERROR(H163/'OSNOVNI PODATKI'!$E$332,0)</f>
        <v>0</v>
      </c>
    </row>
    <row r="164" spans="1:9" s="13" customFormat="1" ht="14.25" x14ac:dyDescent="0.2">
      <c r="A164" s="89" t="s">
        <v>48</v>
      </c>
      <c r="B164" s="98" t="s">
        <v>204</v>
      </c>
      <c r="C164" s="98"/>
      <c r="D164" s="98"/>
      <c r="E164" s="86"/>
      <c r="F164" s="86"/>
      <c r="G164" s="614"/>
      <c r="H164" s="87"/>
    </row>
    <row r="165" spans="1:9" s="13" customFormat="1" ht="14.25" x14ac:dyDescent="0.2">
      <c r="A165" s="117" t="s">
        <v>49</v>
      </c>
      <c r="B165" s="123" t="s">
        <v>205</v>
      </c>
      <c r="C165" s="123"/>
      <c r="D165" s="123"/>
      <c r="E165" s="112"/>
      <c r="F165" s="112"/>
      <c r="G165" s="615"/>
      <c r="H165" s="91"/>
    </row>
    <row r="166" spans="1:9" s="13" customFormat="1" ht="14.25" x14ac:dyDescent="0.2">
      <c r="A166" s="122">
        <v>6</v>
      </c>
      <c r="B166" s="102" t="s">
        <v>50</v>
      </c>
      <c r="C166" s="102"/>
      <c r="D166" s="102"/>
      <c r="E166" s="103"/>
      <c r="F166" s="103"/>
      <c r="G166" s="613"/>
      <c r="H166" s="104"/>
    </row>
    <row r="167" spans="1:9" s="13" customFormat="1" ht="14.25" x14ac:dyDescent="0.2">
      <c r="A167" s="89" t="s">
        <v>54</v>
      </c>
      <c r="B167" s="98" t="s">
        <v>206</v>
      </c>
      <c r="C167" s="98"/>
      <c r="D167" s="98"/>
      <c r="E167" s="86"/>
      <c r="F167" s="86"/>
      <c r="G167" s="614"/>
      <c r="H167" s="87"/>
    </row>
    <row r="168" spans="1:9" s="13" customFormat="1" ht="14.25" x14ac:dyDescent="0.2">
      <c r="A168" s="89" t="s">
        <v>55</v>
      </c>
      <c r="B168" s="98" t="s">
        <v>207</v>
      </c>
      <c r="C168" s="98"/>
      <c r="D168" s="98"/>
      <c r="E168" s="86"/>
      <c r="F168" s="86"/>
      <c r="G168" s="614"/>
      <c r="H168" s="87"/>
    </row>
    <row r="169" spans="1:9" s="13" customFormat="1" ht="14.25" x14ac:dyDescent="0.2">
      <c r="A169" s="117" t="s">
        <v>56</v>
      </c>
      <c r="B169" s="123" t="s">
        <v>208</v>
      </c>
      <c r="C169" s="123"/>
      <c r="D169" s="123"/>
      <c r="E169" s="112"/>
      <c r="F169" s="112"/>
      <c r="G169" s="615"/>
      <c r="H169" s="91"/>
    </row>
    <row r="170" spans="1:9" s="13" customFormat="1" ht="14.25" x14ac:dyDescent="0.2">
      <c r="A170" s="92"/>
      <c r="B170" s="93"/>
      <c r="C170" s="93"/>
      <c r="D170" s="93"/>
      <c r="E170" s="94"/>
      <c r="F170" s="94"/>
      <c r="G170" s="610"/>
      <c r="H170" s="93"/>
    </row>
    <row r="171" spans="1:9" s="13" customFormat="1" ht="14.25" x14ac:dyDescent="0.2">
      <c r="A171" s="126"/>
      <c r="B171" s="127" t="s">
        <v>1</v>
      </c>
      <c r="C171" s="127"/>
      <c r="D171" s="127"/>
      <c r="E171" s="128">
        <f>E141+E144+E148+E154+E157+E163+E166</f>
        <v>1.0000000000000002</v>
      </c>
      <c r="F171" s="128">
        <f>F141+F144+F148+F154+F157+F163+F166</f>
        <v>1.0000000000000002</v>
      </c>
      <c r="G171" s="611">
        <f>G141+G144+G148+G154+G157+G163+G166</f>
        <v>33.5</v>
      </c>
      <c r="H171" s="604">
        <f>H141+H144+H148+H154+H157+H163+H166</f>
        <v>1842.5</v>
      </c>
      <c r="I171" s="125">
        <f>IFERROR(H171/'OSNOVNI PODATKI'!$E$332,0)</f>
        <v>0</v>
      </c>
    </row>
    <row r="172" spans="1:9" s="13" customFormat="1" ht="14.25" x14ac:dyDescent="0.2">
      <c r="A172" s="29"/>
      <c r="B172" s="124"/>
      <c r="E172" s="30"/>
      <c r="G172" s="30"/>
      <c r="H172" s="125"/>
    </row>
    <row r="173" spans="1:9" s="13" customFormat="1" ht="14.25" x14ac:dyDescent="0.2">
      <c r="A173" s="29"/>
      <c r="B173" s="124"/>
      <c r="E173" s="30"/>
      <c r="G173" s="30"/>
      <c r="H173" s="125"/>
    </row>
    <row r="174" spans="1:9" s="13" customFormat="1" ht="14.25" x14ac:dyDescent="0.2"/>
    <row r="175" spans="1:9" s="13" customFormat="1" ht="14.25" x14ac:dyDescent="0.2"/>
    <row r="176" spans="1:9" s="13" customFormat="1" ht="15" thickBot="1" x14ac:dyDescent="0.25"/>
    <row r="177" spans="1:9" s="13" customFormat="1" ht="18.75" x14ac:dyDescent="0.2">
      <c r="A177" s="807" t="s">
        <v>476</v>
      </c>
      <c r="B177" s="807"/>
      <c r="C177" s="807"/>
      <c r="D177" s="807"/>
      <c r="E177" s="807"/>
      <c r="F177" s="807"/>
      <c r="G177" s="807"/>
      <c r="H177" s="807"/>
    </row>
    <row r="178" spans="1:9" s="77" customFormat="1" x14ac:dyDescent="0.2">
      <c r="A178" s="209"/>
      <c r="B178" s="209"/>
      <c r="C178" s="729"/>
      <c r="D178" s="729"/>
      <c r="E178" s="729"/>
      <c r="F178" s="626"/>
      <c r="G178" s="729"/>
      <c r="H178" s="729"/>
    </row>
    <row r="179" spans="1:9" s="77" customFormat="1" x14ac:dyDescent="0.2">
      <c r="A179" s="209"/>
      <c r="B179" s="84" t="s">
        <v>868</v>
      </c>
      <c r="C179" s="209"/>
      <c r="D179" s="209"/>
      <c r="E179" s="209"/>
      <c r="F179" s="496">
        <f>'OSNOVNI PODATKI'!G378</f>
        <v>27</v>
      </c>
      <c r="G179" s="209"/>
      <c r="H179" s="209"/>
    </row>
    <row r="180" spans="1:9" s="77" customFormat="1" x14ac:dyDescent="0.2">
      <c r="A180" s="209"/>
      <c r="B180" s="84" t="s">
        <v>869</v>
      </c>
      <c r="C180" s="207"/>
      <c r="D180" s="83"/>
      <c r="E180" s="83"/>
      <c r="F180" s="482">
        <f>'ARHIGRAM 6'!I16</f>
        <v>55</v>
      </c>
      <c r="G180" s="207"/>
      <c r="H180" s="207"/>
    </row>
    <row r="181" spans="1:9" s="2" customFormat="1" x14ac:dyDescent="0.2">
      <c r="A181" s="77"/>
      <c r="B181" s="209"/>
      <c r="C181" s="209"/>
      <c r="D181" s="209"/>
      <c r="E181" s="209"/>
      <c r="F181" s="209"/>
      <c r="G181" s="209"/>
    </row>
    <row r="182" spans="1:9" s="77" customFormat="1" x14ac:dyDescent="0.2">
      <c r="B182" s="84" t="str">
        <f>'OSNOVNI PODATKI'!B384</f>
        <v>PRIBITEK ZA PRENOVO</v>
      </c>
      <c r="C182" s="207"/>
      <c r="D182" s="83"/>
      <c r="E182" s="83"/>
      <c r="F182" s="310">
        <f>'OSNOVNI PODATKI'!F384</f>
        <v>0</v>
      </c>
      <c r="G182" s="207"/>
      <c r="H182" s="207"/>
    </row>
    <row r="183" spans="1:9" s="77" customFormat="1" x14ac:dyDescent="0.2">
      <c r="B183" s="312"/>
      <c r="C183" s="312"/>
      <c r="D183" s="312"/>
      <c r="E183" s="312"/>
      <c r="F183" s="207"/>
      <c r="G183" s="207"/>
      <c r="H183" s="207"/>
    </row>
    <row r="184" spans="1:9" s="13" customFormat="1" ht="14.25" x14ac:dyDescent="0.2">
      <c r="A184" s="211"/>
      <c r="B184" s="211"/>
      <c r="C184" s="211"/>
      <c r="D184" s="211"/>
      <c r="E184" s="211"/>
      <c r="F184" s="211"/>
      <c r="G184" s="211"/>
      <c r="H184" s="211"/>
    </row>
    <row r="185" spans="1:9" s="13" customFormat="1" ht="38.25" x14ac:dyDescent="0.2">
      <c r="A185" s="105"/>
      <c r="B185" s="106"/>
      <c r="C185" s="106"/>
      <c r="D185" s="106"/>
      <c r="E185" s="107" t="s">
        <v>25</v>
      </c>
      <c r="F185" s="299" t="s">
        <v>481</v>
      </c>
      <c r="G185" s="606" t="s">
        <v>57</v>
      </c>
      <c r="H185" s="108" t="s">
        <v>70</v>
      </c>
      <c r="I185" s="411" t="s">
        <v>907</v>
      </c>
    </row>
    <row r="186" spans="1:9" s="13" customFormat="1" ht="14.25" x14ac:dyDescent="0.2">
      <c r="A186" s="101" t="s">
        <v>29</v>
      </c>
      <c r="B186" s="102" t="s">
        <v>30</v>
      </c>
      <c r="C186" s="102"/>
      <c r="D186" s="102"/>
      <c r="E186" s="103"/>
      <c r="F186" s="103"/>
      <c r="G186" s="613"/>
      <c r="H186" s="104"/>
    </row>
    <row r="187" spans="1:9" s="13" customFormat="1" ht="14.25" x14ac:dyDescent="0.2">
      <c r="A187" s="85" t="s">
        <v>31</v>
      </c>
      <c r="B187" s="97" t="s">
        <v>65</v>
      </c>
      <c r="C187" s="97"/>
      <c r="D187" s="97"/>
      <c r="E187" s="86"/>
      <c r="F187" s="86"/>
      <c r="G187" s="614"/>
      <c r="H187" s="87" t="str">
        <f>IF(J194=TRUE,G187*'VREDNOST NU'!#REF!,"")</f>
        <v/>
      </c>
    </row>
    <row r="188" spans="1:9" ht="14.25" x14ac:dyDescent="0.2">
      <c r="A188" s="110" t="s">
        <v>32</v>
      </c>
      <c r="B188" s="111" t="s">
        <v>66</v>
      </c>
      <c r="C188" s="111"/>
      <c r="D188" s="111"/>
      <c r="E188" s="112"/>
      <c r="F188" s="112"/>
      <c r="G188" s="615"/>
      <c r="H188" s="91" t="str">
        <f>IF(J195=TRUE,G188*'VREDNOST NU'!#REF!,"")</f>
        <v/>
      </c>
      <c r="I188" s="13"/>
    </row>
    <row r="189" spans="1:9" x14ac:dyDescent="0.2">
      <c r="A189" s="109" t="s">
        <v>33</v>
      </c>
      <c r="B189" s="102" t="s">
        <v>34</v>
      </c>
      <c r="C189" s="102"/>
      <c r="D189" s="102"/>
      <c r="E189" s="103">
        <f>SUM(E190:E192)</f>
        <v>0.03</v>
      </c>
      <c r="F189" s="103">
        <f>SUM(F190:F192)</f>
        <v>0.03</v>
      </c>
      <c r="G189" s="613">
        <f>SUM(G190:G192)</f>
        <v>0.80999999999999994</v>
      </c>
      <c r="H189" s="104">
        <f>SUM(H190:H192)</f>
        <v>44.55</v>
      </c>
      <c r="I189" s="125">
        <f>IFERROR(H189/'OSNOVNI PODATKI'!$E$332,0)</f>
        <v>0</v>
      </c>
    </row>
    <row r="190" spans="1:9" s="77" customFormat="1" ht="14.25" x14ac:dyDescent="0.2">
      <c r="A190" s="88" t="s">
        <v>35</v>
      </c>
      <c r="B190" s="96" t="s">
        <v>67</v>
      </c>
      <c r="C190" s="96"/>
      <c r="D190" s="96"/>
      <c r="E190" s="86">
        <v>1.4999999999999999E-2</v>
      </c>
      <c r="F190" s="300">
        <f>E190*(100%+$F$182)</f>
        <v>1.4999999999999999E-2</v>
      </c>
      <c r="G190" s="614">
        <f>F190*$F$179</f>
        <v>0.40499999999999997</v>
      </c>
      <c r="H190" s="87">
        <f>+G190*$F$180</f>
        <v>22.274999999999999</v>
      </c>
      <c r="I190" s="13"/>
    </row>
    <row r="191" spans="1:9" s="2" customFormat="1" ht="14.25" x14ac:dyDescent="0.2">
      <c r="A191" s="88" t="s">
        <v>36</v>
      </c>
      <c r="B191" s="96" t="s">
        <v>68</v>
      </c>
      <c r="C191" s="96"/>
      <c r="D191" s="96"/>
      <c r="E191" s="86">
        <v>1.4999999999999999E-2</v>
      </c>
      <c r="F191" s="86">
        <f>E191*(100%+$F$182)</f>
        <v>1.4999999999999999E-2</v>
      </c>
      <c r="G191" s="614">
        <f>F191*$F$179</f>
        <v>0.40499999999999997</v>
      </c>
      <c r="H191" s="87">
        <f>+G191*$F$180</f>
        <v>22.274999999999999</v>
      </c>
      <c r="I191" s="13"/>
    </row>
    <row r="192" spans="1:9" s="12" customFormat="1" ht="14.25" x14ac:dyDescent="0.25">
      <c r="A192" s="114" t="s">
        <v>37</v>
      </c>
      <c r="B192" s="115" t="s">
        <v>837</v>
      </c>
      <c r="C192" s="115"/>
      <c r="D192" s="115"/>
      <c r="E192" s="112">
        <v>0</v>
      </c>
      <c r="F192" s="112">
        <f>E192*(100%+$F$182)</f>
        <v>0</v>
      </c>
      <c r="G192" s="615">
        <f>F192*$F$179</f>
        <v>0</v>
      </c>
      <c r="H192" s="91">
        <f>+G192*$F$180</f>
        <v>0</v>
      </c>
      <c r="I192" s="13"/>
    </row>
    <row r="193" spans="1:9" s="13" customFormat="1" ht="14.25" x14ac:dyDescent="0.2">
      <c r="A193" s="113">
        <v>2</v>
      </c>
      <c r="B193" s="102" t="s">
        <v>38</v>
      </c>
      <c r="C193" s="102"/>
      <c r="D193" s="102"/>
      <c r="E193" s="103">
        <f>+E194+E195+E196+E197+E198</f>
        <v>0.92000000000000015</v>
      </c>
      <c r="F193" s="103">
        <f>+F194+F195+F196+F197+F198</f>
        <v>0.92000000000000015</v>
      </c>
      <c r="G193" s="616">
        <f>SUM(G194:G198)</f>
        <v>24.840000000000003</v>
      </c>
      <c r="H193" s="104">
        <f>SUM(H194:H198)</f>
        <v>1366.2</v>
      </c>
      <c r="I193" s="125">
        <f>IFERROR(H193/'OSNOVNI PODATKI'!$E$332,0)</f>
        <v>0</v>
      </c>
    </row>
    <row r="194" spans="1:9" s="13" customFormat="1" ht="14.25" x14ac:dyDescent="0.2">
      <c r="A194" s="88" t="s">
        <v>51</v>
      </c>
      <c r="B194" s="96" t="s">
        <v>94</v>
      </c>
      <c r="C194" s="96"/>
      <c r="D194" s="96"/>
      <c r="E194" s="99">
        <v>0.2</v>
      </c>
      <c r="F194" s="300">
        <f>E194*(100%+$F$182)</f>
        <v>0.2</v>
      </c>
      <c r="G194" s="614">
        <f>F194*$F$179</f>
        <v>5.4</v>
      </c>
      <c r="H194" s="87">
        <f>+G194*$F$180</f>
        <v>297</v>
      </c>
    </row>
    <row r="195" spans="1:9" s="13" customFormat="1" ht="14.25" x14ac:dyDescent="0.2">
      <c r="A195" s="89" t="s">
        <v>52</v>
      </c>
      <c r="B195" s="100" t="s">
        <v>737</v>
      </c>
      <c r="C195" s="100"/>
      <c r="D195" s="100"/>
      <c r="E195" s="99">
        <v>0.4</v>
      </c>
      <c r="F195" s="99">
        <f>E195*(100%+$F$182)</f>
        <v>0.4</v>
      </c>
      <c r="G195" s="614">
        <f>F195*$F$179</f>
        <v>10.8</v>
      </c>
      <c r="H195" s="87">
        <f>+G195*$F$180</f>
        <v>594</v>
      </c>
    </row>
    <row r="196" spans="1:9" s="13" customFormat="1" ht="14.25" x14ac:dyDescent="0.2">
      <c r="A196" s="89" t="s">
        <v>53</v>
      </c>
      <c r="B196" s="100" t="s">
        <v>841</v>
      </c>
      <c r="C196" s="100"/>
      <c r="D196" s="100"/>
      <c r="E196" s="99">
        <v>0</v>
      </c>
      <c r="F196" s="99">
        <f>E196*(100%+$F$182)</f>
        <v>0</v>
      </c>
      <c r="G196" s="614">
        <f>F196*$F$179</f>
        <v>0</v>
      </c>
      <c r="H196" s="87">
        <f>+G196*$F$180</f>
        <v>0</v>
      </c>
    </row>
    <row r="197" spans="1:9" s="13" customFormat="1" ht="14.25" x14ac:dyDescent="0.2">
      <c r="A197" s="89" t="s">
        <v>95</v>
      </c>
      <c r="B197" s="100" t="s">
        <v>738</v>
      </c>
      <c r="C197" s="100"/>
      <c r="D197" s="100"/>
      <c r="E197" s="99">
        <v>0.32</v>
      </c>
      <c r="F197" s="99">
        <f>E197*(100%+$F$182)</f>
        <v>0.32</v>
      </c>
      <c r="G197" s="614">
        <f>F197*$F$179</f>
        <v>8.64</v>
      </c>
      <c r="H197" s="87">
        <f>+G197*$F$180</f>
        <v>475.20000000000005</v>
      </c>
    </row>
    <row r="198" spans="1:9" s="13" customFormat="1" ht="14.25" x14ac:dyDescent="0.2">
      <c r="A198" s="117" t="s">
        <v>96</v>
      </c>
      <c r="B198" s="118" t="s">
        <v>838</v>
      </c>
      <c r="C198" s="118"/>
      <c r="D198" s="118"/>
      <c r="E198" s="119">
        <v>0</v>
      </c>
      <c r="F198" s="119">
        <f>E198*(100%+$F$182)</f>
        <v>0</v>
      </c>
      <c r="G198" s="615">
        <f>F198*$F$179</f>
        <v>0</v>
      </c>
      <c r="H198" s="91">
        <f>+G198*$F$180</f>
        <v>0</v>
      </c>
    </row>
    <row r="199" spans="1:9" s="13" customFormat="1" ht="14.25" x14ac:dyDescent="0.2">
      <c r="A199" s="116" t="s">
        <v>39</v>
      </c>
      <c r="B199" s="102" t="s">
        <v>121</v>
      </c>
      <c r="C199" s="102"/>
      <c r="D199" s="102"/>
      <c r="E199" s="103">
        <f>SUM(E200:E201)</f>
        <v>0</v>
      </c>
      <c r="F199" s="103">
        <f>SUM(F200:F201)</f>
        <v>0</v>
      </c>
      <c r="G199" s="613">
        <f>SUM(G200:G201)</f>
        <v>0</v>
      </c>
      <c r="H199" s="104">
        <f>SUM(H200:H201)</f>
        <v>0</v>
      </c>
      <c r="I199" s="125">
        <f>IFERROR(H199/'OSNOVNI PODATKI'!$E$332,0)</f>
        <v>0</v>
      </c>
    </row>
    <row r="200" spans="1:9" s="13" customFormat="1" ht="14.25" x14ac:dyDescent="0.2">
      <c r="A200" s="89" t="s">
        <v>40</v>
      </c>
      <c r="B200" s="95" t="s">
        <v>839</v>
      </c>
      <c r="C200" s="95"/>
      <c r="D200" s="95"/>
      <c r="E200" s="86">
        <v>0</v>
      </c>
      <c r="F200" s="86">
        <f>E200*(100%+$F$182)</f>
        <v>0</v>
      </c>
      <c r="G200" s="614">
        <f>F200*$F$179</f>
        <v>0</v>
      </c>
      <c r="H200" s="87">
        <f>+G200*$F$180</f>
        <v>0</v>
      </c>
    </row>
    <row r="201" spans="1:9" s="13" customFormat="1" ht="14.25" x14ac:dyDescent="0.2">
      <c r="A201" s="117" t="s">
        <v>41</v>
      </c>
      <c r="B201" s="90" t="s">
        <v>201</v>
      </c>
      <c r="C201" s="90"/>
      <c r="D201" s="90"/>
      <c r="E201" s="112">
        <v>0</v>
      </c>
      <c r="F201" s="112">
        <f>E201*(100%+$F$182)</f>
        <v>0</v>
      </c>
      <c r="G201" s="615">
        <f>F201*$F$179</f>
        <v>0</v>
      </c>
      <c r="H201" s="91">
        <f>+G201*$F$180</f>
        <v>0</v>
      </c>
    </row>
    <row r="202" spans="1:9" s="13" customFormat="1" ht="14.25" x14ac:dyDescent="0.2">
      <c r="A202" s="120">
        <v>4</v>
      </c>
      <c r="B202" s="102" t="s">
        <v>60</v>
      </c>
      <c r="C202" s="102"/>
      <c r="D202" s="102"/>
      <c r="E202" s="103">
        <f>SUM(E203:E207)</f>
        <v>0.05</v>
      </c>
      <c r="F202" s="103">
        <f>SUM(F203:F207)</f>
        <v>0.05</v>
      </c>
      <c r="G202" s="613">
        <f>SUM(G203:G207)</f>
        <v>1.35</v>
      </c>
      <c r="H202" s="104">
        <f>SUM(H203:H207)</f>
        <v>74.25</v>
      </c>
      <c r="I202" s="125">
        <f>IFERROR(H202/'OSNOVNI PODATKI'!$E$332,0)</f>
        <v>0</v>
      </c>
    </row>
    <row r="203" spans="1:9" s="13" customFormat="1" ht="14.25" x14ac:dyDescent="0.2">
      <c r="A203" s="89" t="s">
        <v>42</v>
      </c>
      <c r="B203" s="95" t="s">
        <v>202</v>
      </c>
      <c r="C203" s="95"/>
      <c r="D203" s="95"/>
      <c r="E203" s="86">
        <v>0</v>
      </c>
      <c r="F203" s="86">
        <f>E203*(100%+$F$182)</f>
        <v>0</v>
      </c>
      <c r="G203" s="614">
        <f>F203*$F$179</f>
        <v>0</v>
      </c>
      <c r="H203" s="87">
        <f>+G203*$F$180</f>
        <v>0</v>
      </c>
    </row>
    <row r="204" spans="1:9" s="13" customFormat="1" ht="14.25" x14ac:dyDescent="0.2">
      <c r="A204" s="89" t="s">
        <v>43</v>
      </c>
      <c r="B204" s="95" t="s">
        <v>858</v>
      </c>
      <c r="C204" s="95"/>
      <c r="D204" s="95"/>
      <c r="E204" s="86">
        <v>0</v>
      </c>
      <c r="F204" s="86">
        <f>E204*(100%+$F$182)</f>
        <v>0</v>
      </c>
      <c r="G204" s="614">
        <f>F204*$F$179</f>
        <v>0</v>
      </c>
      <c r="H204" s="87">
        <f>+G204*$F$180</f>
        <v>0</v>
      </c>
    </row>
    <row r="205" spans="1:9" s="13" customFormat="1" ht="14.25" x14ac:dyDescent="0.2">
      <c r="A205" s="89" t="s">
        <v>44</v>
      </c>
      <c r="B205" s="95" t="s">
        <v>953</v>
      </c>
      <c r="C205" s="95"/>
      <c r="D205" s="95"/>
      <c r="E205" s="86">
        <v>0</v>
      </c>
      <c r="F205" s="86">
        <f>E205*(100%+$F$182)</f>
        <v>0</v>
      </c>
      <c r="G205" s="614">
        <f>F205*$F$179</f>
        <v>0</v>
      </c>
      <c r="H205" s="87">
        <f>+G205*$F$180</f>
        <v>0</v>
      </c>
    </row>
    <row r="206" spans="1:9" s="13" customFormat="1" ht="14.25" x14ac:dyDescent="0.2">
      <c r="A206" s="89" t="s">
        <v>45</v>
      </c>
      <c r="B206" s="95" t="s">
        <v>859</v>
      </c>
      <c r="C206" s="95"/>
      <c r="D206" s="95"/>
      <c r="E206" s="86">
        <v>0</v>
      </c>
      <c r="F206" s="86">
        <f>E206*(100%+$F$182)</f>
        <v>0</v>
      </c>
      <c r="G206" s="614">
        <f>F206*$F$179</f>
        <v>0</v>
      </c>
      <c r="H206" s="87">
        <f>+G206*$F$180</f>
        <v>0</v>
      </c>
    </row>
    <row r="207" spans="1:9" s="13" customFormat="1" ht="14.25" x14ac:dyDescent="0.2">
      <c r="A207" s="117" t="s">
        <v>46</v>
      </c>
      <c r="B207" s="90" t="s">
        <v>840</v>
      </c>
      <c r="C207" s="90"/>
      <c r="D207" s="90"/>
      <c r="E207" s="112">
        <v>0.05</v>
      </c>
      <c r="F207" s="112">
        <f>E207*(100%+$F$182)</f>
        <v>0.05</v>
      </c>
      <c r="G207" s="615">
        <f>F207*$F$179</f>
        <v>1.35</v>
      </c>
      <c r="H207" s="91">
        <f>+G207*$F$180</f>
        <v>74.25</v>
      </c>
    </row>
    <row r="208" spans="1:9" s="13" customFormat="1" ht="14.25" x14ac:dyDescent="0.2">
      <c r="A208" s="121">
        <v>5</v>
      </c>
      <c r="B208" s="102" t="s">
        <v>47</v>
      </c>
      <c r="C208" s="102"/>
      <c r="D208" s="102"/>
      <c r="E208" s="103">
        <f>SUM(E209:E210)</f>
        <v>0</v>
      </c>
      <c r="F208" s="103">
        <f>SUM(F209:F210)</f>
        <v>0</v>
      </c>
      <c r="G208" s="613">
        <f>SUM(G209:G210)</f>
        <v>0</v>
      </c>
      <c r="H208" s="104">
        <f>SUM(H209:H210)</f>
        <v>0</v>
      </c>
      <c r="I208" s="125">
        <f>IFERROR(H208/'OSNOVNI PODATKI'!$E$332,0)</f>
        <v>0</v>
      </c>
    </row>
    <row r="209" spans="1:9" s="13" customFormat="1" ht="14.25" x14ac:dyDescent="0.2">
      <c r="A209" s="89" t="s">
        <v>48</v>
      </c>
      <c r="B209" s="98" t="s">
        <v>204</v>
      </c>
      <c r="C209" s="98"/>
      <c r="D209" s="98"/>
      <c r="E209" s="86">
        <v>0</v>
      </c>
      <c r="F209" s="86">
        <f>E209*(100%+$F$182)</f>
        <v>0</v>
      </c>
      <c r="G209" s="614">
        <f>F209*$F$179</f>
        <v>0</v>
      </c>
      <c r="H209" s="87">
        <f>+G209*$F$180</f>
        <v>0</v>
      </c>
    </row>
    <row r="210" spans="1:9" s="13" customFormat="1" ht="14.25" x14ac:dyDescent="0.2">
      <c r="A210" s="117" t="s">
        <v>49</v>
      </c>
      <c r="B210" s="123" t="s">
        <v>205</v>
      </c>
      <c r="C210" s="123"/>
      <c r="D210" s="123"/>
      <c r="E210" s="112">
        <v>0</v>
      </c>
      <c r="F210" s="112">
        <f>E210*(100%+$F$182)</f>
        <v>0</v>
      </c>
      <c r="G210" s="615">
        <f>F210*$F$179</f>
        <v>0</v>
      </c>
      <c r="H210" s="91">
        <f>+G210*$F$180</f>
        <v>0</v>
      </c>
    </row>
    <row r="211" spans="1:9" s="13" customFormat="1" ht="14.25" x14ac:dyDescent="0.2">
      <c r="A211" s="122">
        <v>6</v>
      </c>
      <c r="B211" s="102" t="s">
        <v>50</v>
      </c>
      <c r="C211" s="102"/>
      <c r="D211" s="102"/>
      <c r="E211" s="103"/>
      <c r="F211" s="103"/>
      <c r="G211" s="613"/>
      <c r="H211" s="104"/>
    </row>
    <row r="212" spans="1:9" s="13" customFormat="1" ht="14.25" x14ac:dyDescent="0.2">
      <c r="A212" s="89" t="s">
        <v>54</v>
      </c>
      <c r="B212" s="98" t="s">
        <v>206</v>
      </c>
      <c r="C212" s="98"/>
      <c r="D212" s="98"/>
      <c r="E212" s="86"/>
      <c r="F212" s="86"/>
      <c r="G212" s="614"/>
      <c r="H212" s="87"/>
    </row>
    <row r="213" spans="1:9" s="13" customFormat="1" ht="14.25" x14ac:dyDescent="0.2">
      <c r="A213" s="89" t="s">
        <v>55</v>
      </c>
      <c r="B213" s="98" t="s">
        <v>207</v>
      </c>
      <c r="C213" s="98"/>
      <c r="D213" s="98"/>
      <c r="E213" s="86"/>
      <c r="F213" s="86"/>
      <c r="G213" s="614"/>
      <c r="H213" s="87"/>
    </row>
    <row r="214" spans="1:9" s="13" customFormat="1" ht="14.25" x14ac:dyDescent="0.2">
      <c r="A214" s="117" t="s">
        <v>56</v>
      </c>
      <c r="B214" s="123" t="s">
        <v>208</v>
      </c>
      <c r="C214" s="123"/>
      <c r="D214" s="123"/>
      <c r="E214" s="112"/>
      <c r="F214" s="112"/>
      <c r="G214" s="615"/>
      <c r="H214" s="91"/>
    </row>
    <row r="215" spans="1:9" s="13" customFormat="1" ht="14.25" x14ac:dyDescent="0.2">
      <c r="A215" s="92"/>
      <c r="B215" s="93"/>
      <c r="C215" s="93"/>
      <c r="D215" s="93"/>
      <c r="E215" s="94"/>
      <c r="F215" s="94"/>
      <c r="G215" s="610"/>
      <c r="H215" s="93"/>
    </row>
    <row r="216" spans="1:9" s="13" customFormat="1" ht="14.25" x14ac:dyDescent="0.2">
      <c r="A216" s="126"/>
      <c r="B216" s="127" t="s">
        <v>1</v>
      </c>
      <c r="C216" s="127"/>
      <c r="D216" s="127"/>
      <c r="E216" s="128">
        <f>E186+E189+E193+E199+E202+E208+E211</f>
        <v>1.0000000000000002</v>
      </c>
      <c r="F216" s="128">
        <f>F186+F189+F193+F199+F202+F208+F211</f>
        <v>1.0000000000000002</v>
      </c>
      <c r="G216" s="611">
        <f>G186+G189+G193+G199+G202+G208+G211</f>
        <v>27.000000000000004</v>
      </c>
      <c r="H216" s="604">
        <f>H186+H189+H193+H199+H202+H208+H211</f>
        <v>1485</v>
      </c>
      <c r="I216" s="125">
        <f>IFERROR(H216/'OSNOVNI PODATKI'!$E$332,0)</f>
        <v>0</v>
      </c>
    </row>
    <row r="217" spans="1:9" s="13" customFormat="1" ht="14.25" x14ac:dyDescent="0.2">
      <c r="A217" s="29"/>
      <c r="B217" s="124"/>
      <c r="E217" s="30"/>
      <c r="G217" s="30"/>
      <c r="H217" s="125"/>
    </row>
    <row r="218" spans="1:9" s="13" customFormat="1" ht="14.25" x14ac:dyDescent="0.2">
      <c r="A218" s="29"/>
      <c r="B218" s="124"/>
      <c r="E218" s="30"/>
      <c r="G218" s="30"/>
      <c r="H218" s="125"/>
    </row>
    <row r="219" spans="1:9" s="13" customFormat="1" ht="14.25" x14ac:dyDescent="0.2"/>
    <row r="220" spans="1:9" s="13" customFormat="1" ht="14.25" x14ac:dyDescent="0.2"/>
    <row r="221" spans="1:9" s="13" customFormat="1" ht="15" thickBot="1" x14ac:dyDescent="0.25"/>
    <row r="222" spans="1:9" s="13" customFormat="1" ht="18.75" x14ac:dyDescent="0.2">
      <c r="A222" s="807" t="s">
        <v>478</v>
      </c>
      <c r="B222" s="807"/>
      <c r="C222" s="807"/>
      <c r="D222" s="807"/>
      <c r="E222" s="807"/>
      <c r="F222" s="807"/>
      <c r="G222" s="807"/>
      <c r="H222" s="807"/>
    </row>
    <row r="223" spans="1:9" s="77" customFormat="1" x14ac:dyDescent="0.2">
      <c r="A223" s="209"/>
      <c r="B223" s="209"/>
      <c r="C223" s="729"/>
      <c r="D223" s="729"/>
      <c r="E223" s="729"/>
      <c r="F223" s="626"/>
      <c r="G223" s="729"/>
      <c r="H223" s="729"/>
    </row>
    <row r="224" spans="1:9" s="77" customFormat="1" x14ac:dyDescent="0.2">
      <c r="A224" s="209"/>
      <c r="B224" s="84" t="s">
        <v>868</v>
      </c>
      <c r="C224" s="209"/>
      <c r="D224" s="209"/>
      <c r="E224" s="209"/>
      <c r="F224" s="496">
        <f>'OSNOVNI PODATKI'!G379</f>
        <v>41</v>
      </c>
      <c r="G224" s="209"/>
      <c r="H224" s="209"/>
    </row>
    <row r="225" spans="1:9" s="77" customFormat="1" x14ac:dyDescent="0.2">
      <c r="A225" s="209"/>
      <c r="B225" s="84" t="s">
        <v>869</v>
      </c>
      <c r="C225" s="207"/>
      <c r="D225" s="83"/>
      <c r="E225" s="83"/>
      <c r="F225" s="482">
        <f>'ARHIGRAM 6'!I16</f>
        <v>55</v>
      </c>
      <c r="G225" s="207"/>
      <c r="H225" s="207"/>
    </row>
    <row r="226" spans="1:9" s="2" customFormat="1" x14ac:dyDescent="0.2">
      <c r="A226" s="77"/>
      <c r="B226" s="209"/>
      <c r="C226" s="209"/>
      <c r="D226" s="209"/>
      <c r="E226" s="209"/>
      <c r="F226" s="209"/>
      <c r="G226" s="209"/>
    </row>
    <row r="227" spans="1:9" s="77" customFormat="1" x14ac:dyDescent="0.2">
      <c r="B227" s="84" t="str">
        <f>'OSNOVNI PODATKI'!B384</f>
        <v>PRIBITEK ZA PRENOVO</v>
      </c>
      <c r="C227" s="207"/>
      <c r="D227" s="83"/>
      <c r="E227" s="83"/>
      <c r="F227" s="310">
        <f>'OSNOVNI PODATKI'!F384</f>
        <v>0</v>
      </c>
      <c r="G227" s="207"/>
      <c r="H227" s="207"/>
    </row>
    <row r="228" spans="1:9" s="77" customFormat="1" x14ac:dyDescent="0.2">
      <c r="B228" s="312"/>
      <c r="C228" s="312"/>
      <c r="D228" s="312"/>
      <c r="E228" s="312"/>
      <c r="F228" s="207"/>
      <c r="G228" s="207"/>
      <c r="H228" s="207"/>
    </row>
    <row r="229" spans="1:9" s="13" customFormat="1" ht="14.25" x14ac:dyDescent="0.2">
      <c r="A229" s="211"/>
      <c r="B229" s="211"/>
      <c r="C229" s="211"/>
      <c r="D229" s="211"/>
      <c r="E229" s="211"/>
      <c r="F229" s="211"/>
      <c r="G229" s="211"/>
      <c r="H229" s="211"/>
    </row>
    <row r="230" spans="1:9" s="13" customFormat="1" ht="38.25" x14ac:dyDescent="0.2">
      <c r="A230" s="105"/>
      <c r="B230" s="106"/>
      <c r="C230" s="106"/>
      <c r="D230" s="106"/>
      <c r="E230" s="107" t="s">
        <v>25</v>
      </c>
      <c r="F230" s="299" t="s">
        <v>481</v>
      </c>
      <c r="G230" s="606" t="s">
        <v>57</v>
      </c>
      <c r="H230" s="108" t="s">
        <v>70</v>
      </c>
      <c r="I230" s="411" t="s">
        <v>907</v>
      </c>
    </row>
    <row r="231" spans="1:9" s="13" customFormat="1" ht="14.25" x14ac:dyDescent="0.2">
      <c r="A231" s="101" t="s">
        <v>29</v>
      </c>
      <c r="B231" s="102" t="s">
        <v>30</v>
      </c>
      <c r="C231" s="102"/>
      <c r="D231" s="102"/>
      <c r="E231" s="103"/>
      <c r="F231" s="103"/>
      <c r="G231" s="613"/>
      <c r="H231" s="104"/>
    </row>
    <row r="232" spans="1:9" s="13" customFormat="1" ht="14.25" x14ac:dyDescent="0.2">
      <c r="A232" s="85" t="s">
        <v>31</v>
      </c>
      <c r="B232" s="97" t="s">
        <v>65</v>
      </c>
      <c r="C232" s="97"/>
      <c r="D232" s="97"/>
      <c r="E232" s="86"/>
      <c r="F232" s="86"/>
      <c r="G232" s="614"/>
      <c r="H232" s="87" t="str">
        <f>IF(J239=TRUE,G232*'VREDNOST NU'!#REF!,"")</f>
        <v/>
      </c>
    </row>
    <row r="233" spans="1:9" ht="14.25" x14ac:dyDescent="0.2">
      <c r="A233" s="110" t="s">
        <v>32</v>
      </c>
      <c r="B233" s="111" t="s">
        <v>66</v>
      </c>
      <c r="C233" s="111"/>
      <c r="D233" s="111"/>
      <c r="E233" s="112"/>
      <c r="F233" s="112"/>
      <c r="G233" s="615"/>
      <c r="H233" s="91" t="str">
        <f>IF(J240=TRUE,G233*'VREDNOST NU'!#REF!,"")</f>
        <v/>
      </c>
      <c r="I233" s="13"/>
    </row>
    <row r="234" spans="1:9" x14ac:dyDescent="0.2">
      <c r="A234" s="109" t="s">
        <v>33</v>
      </c>
      <c r="B234" s="102" t="s">
        <v>34</v>
      </c>
      <c r="C234" s="102"/>
      <c r="D234" s="102"/>
      <c r="E234" s="103">
        <f>SUM(E235:E237)</f>
        <v>0.03</v>
      </c>
      <c r="F234" s="103">
        <f>SUM(F235:F237)</f>
        <v>0.03</v>
      </c>
      <c r="G234" s="613">
        <f>SUM(G235:G237)</f>
        <v>1.23</v>
      </c>
      <c r="H234" s="104">
        <f>SUM(H235:H237)</f>
        <v>67.650000000000006</v>
      </c>
      <c r="I234" s="125">
        <f>IFERROR(H234/'OSNOVNI PODATKI'!$E$332,0)</f>
        <v>0</v>
      </c>
    </row>
    <row r="235" spans="1:9" s="77" customFormat="1" ht="14.25" x14ac:dyDescent="0.2">
      <c r="A235" s="88" t="s">
        <v>35</v>
      </c>
      <c r="B235" s="96" t="s">
        <v>67</v>
      </c>
      <c r="C235" s="96"/>
      <c r="D235" s="96"/>
      <c r="E235" s="86">
        <v>1.4999999999999999E-2</v>
      </c>
      <c r="F235" s="300">
        <f>E235*(100%+$F$227)</f>
        <v>1.4999999999999999E-2</v>
      </c>
      <c r="G235" s="614">
        <f>F235*$F$224</f>
        <v>0.61499999999999999</v>
      </c>
      <c r="H235" s="87">
        <f>+G235*$F$225</f>
        <v>33.825000000000003</v>
      </c>
      <c r="I235" s="13"/>
    </row>
    <row r="236" spans="1:9" s="2" customFormat="1" ht="14.25" x14ac:dyDescent="0.2">
      <c r="A236" s="88" t="s">
        <v>36</v>
      </c>
      <c r="B236" s="96" t="s">
        <v>68</v>
      </c>
      <c r="C236" s="96"/>
      <c r="D236" s="96"/>
      <c r="E236" s="86">
        <v>1.4999999999999999E-2</v>
      </c>
      <c r="F236" s="86">
        <f>E236*(100%+$F$227)</f>
        <v>1.4999999999999999E-2</v>
      </c>
      <c r="G236" s="614">
        <f>F236*$F$224</f>
        <v>0.61499999999999999</v>
      </c>
      <c r="H236" s="87">
        <f>+G236*$F$225</f>
        <v>33.825000000000003</v>
      </c>
      <c r="I236" s="13"/>
    </row>
    <row r="237" spans="1:9" s="12" customFormat="1" ht="14.25" x14ac:dyDescent="0.25">
      <c r="A237" s="114" t="s">
        <v>37</v>
      </c>
      <c r="B237" s="115" t="s">
        <v>837</v>
      </c>
      <c r="C237" s="115"/>
      <c r="D237" s="115"/>
      <c r="E237" s="112">
        <v>0</v>
      </c>
      <c r="F237" s="112">
        <f>E237*(100%+$F$227)</f>
        <v>0</v>
      </c>
      <c r="G237" s="615">
        <f>F237*$F$224</f>
        <v>0</v>
      </c>
      <c r="H237" s="91">
        <f>+G237*$F$225</f>
        <v>0</v>
      </c>
      <c r="I237" s="13"/>
    </row>
    <row r="238" spans="1:9" s="13" customFormat="1" ht="14.25" x14ac:dyDescent="0.2">
      <c r="A238" s="113">
        <v>2</v>
      </c>
      <c r="B238" s="102" t="s">
        <v>38</v>
      </c>
      <c r="C238" s="102"/>
      <c r="D238" s="102"/>
      <c r="E238" s="103">
        <f>+E239+E240+E241+E242+E243</f>
        <v>0.92000000000000015</v>
      </c>
      <c r="F238" s="103">
        <f>+F239+F240+F241+F242+F243</f>
        <v>0.92000000000000015</v>
      </c>
      <c r="G238" s="616">
        <f>SUM(G239:G243)</f>
        <v>37.72</v>
      </c>
      <c r="H238" s="104">
        <f>SUM(H239:H243)</f>
        <v>2074.6000000000004</v>
      </c>
      <c r="I238" s="125">
        <f>IFERROR(H238/'OSNOVNI PODATKI'!$E$332,0)</f>
        <v>0</v>
      </c>
    </row>
    <row r="239" spans="1:9" s="13" customFormat="1" ht="14.25" x14ac:dyDescent="0.2">
      <c r="A239" s="88" t="s">
        <v>51</v>
      </c>
      <c r="B239" s="96" t="s">
        <v>94</v>
      </c>
      <c r="C239" s="96"/>
      <c r="D239" s="96"/>
      <c r="E239" s="99">
        <v>0.2</v>
      </c>
      <c r="F239" s="300">
        <f>E239*(100%+$F$227)</f>
        <v>0.2</v>
      </c>
      <c r="G239" s="614">
        <f>F239*$F$224</f>
        <v>8.2000000000000011</v>
      </c>
      <c r="H239" s="87">
        <f>+G239*$F$225</f>
        <v>451.00000000000006</v>
      </c>
    </row>
    <row r="240" spans="1:9" s="13" customFormat="1" ht="14.25" x14ac:dyDescent="0.2">
      <c r="A240" s="89" t="s">
        <v>52</v>
      </c>
      <c r="B240" s="100" t="s">
        <v>737</v>
      </c>
      <c r="C240" s="100"/>
      <c r="D240" s="100"/>
      <c r="E240" s="99">
        <v>0.4</v>
      </c>
      <c r="F240" s="99">
        <f>E240*(100%+$F$227)</f>
        <v>0.4</v>
      </c>
      <c r="G240" s="614">
        <f>F240*$F$224</f>
        <v>16.400000000000002</v>
      </c>
      <c r="H240" s="87">
        <f>+G240*$F$225</f>
        <v>902.00000000000011</v>
      </c>
    </row>
    <row r="241" spans="1:9" s="13" customFormat="1" ht="14.25" x14ac:dyDescent="0.2">
      <c r="A241" s="89" t="s">
        <v>53</v>
      </c>
      <c r="B241" s="100" t="s">
        <v>841</v>
      </c>
      <c r="C241" s="100"/>
      <c r="D241" s="100"/>
      <c r="E241" s="99">
        <v>0</v>
      </c>
      <c r="F241" s="99">
        <f>E241*(100%+$F$227)</f>
        <v>0</v>
      </c>
      <c r="G241" s="614">
        <f>F241*$F$224</f>
        <v>0</v>
      </c>
      <c r="H241" s="87">
        <f>+G241*$F$225</f>
        <v>0</v>
      </c>
    </row>
    <row r="242" spans="1:9" s="13" customFormat="1" ht="14.25" x14ac:dyDescent="0.2">
      <c r="A242" s="89" t="s">
        <v>95</v>
      </c>
      <c r="B242" s="100" t="s">
        <v>738</v>
      </c>
      <c r="C242" s="100"/>
      <c r="D242" s="100"/>
      <c r="E242" s="99">
        <v>0.32</v>
      </c>
      <c r="F242" s="99">
        <f>E242*(100%+$F$227)</f>
        <v>0.32</v>
      </c>
      <c r="G242" s="614">
        <f>F242*$F$224</f>
        <v>13.120000000000001</v>
      </c>
      <c r="H242" s="87">
        <f>+G242*$F$225</f>
        <v>721.6</v>
      </c>
    </row>
    <row r="243" spans="1:9" s="13" customFormat="1" ht="14.25" x14ac:dyDescent="0.2">
      <c r="A243" s="117" t="s">
        <v>96</v>
      </c>
      <c r="B243" s="118" t="s">
        <v>838</v>
      </c>
      <c r="C243" s="118"/>
      <c r="D243" s="118"/>
      <c r="E243" s="119">
        <v>0</v>
      </c>
      <c r="F243" s="119">
        <f>E243*(100%+$F$227)</f>
        <v>0</v>
      </c>
      <c r="G243" s="615">
        <f>F243*$F$224</f>
        <v>0</v>
      </c>
      <c r="H243" s="91">
        <f>+G243*$F$225</f>
        <v>0</v>
      </c>
    </row>
    <row r="244" spans="1:9" s="13" customFormat="1" ht="14.25" x14ac:dyDescent="0.2">
      <c r="A244" s="116" t="s">
        <v>39</v>
      </c>
      <c r="B244" s="102" t="s">
        <v>121</v>
      </c>
      <c r="C244" s="102"/>
      <c r="D244" s="102"/>
      <c r="E244" s="103">
        <f>SUM(E245:E246)</f>
        <v>0</v>
      </c>
      <c r="F244" s="103">
        <f>SUM(F245:F246)</f>
        <v>0</v>
      </c>
      <c r="G244" s="613">
        <f>SUM(G245:G246)</f>
        <v>0</v>
      </c>
      <c r="H244" s="104">
        <f>SUM(H245:H246)</f>
        <v>0</v>
      </c>
      <c r="I244" s="125">
        <f>IFERROR(H244/'OSNOVNI PODATKI'!$E$332,0)</f>
        <v>0</v>
      </c>
    </row>
    <row r="245" spans="1:9" s="13" customFormat="1" ht="14.25" x14ac:dyDescent="0.2">
      <c r="A245" s="89" t="s">
        <v>40</v>
      </c>
      <c r="B245" s="95" t="s">
        <v>839</v>
      </c>
      <c r="C245" s="95"/>
      <c r="D245" s="95"/>
      <c r="E245" s="86">
        <v>0</v>
      </c>
      <c r="F245" s="86">
        <f>E245*(100%+$F$227)</f>
        <v>0</v>
      </c>
      <c r="G245" s="614">
        <f>F245*$F$224</f>
        <v>0</v>
      </c>
      <c r="H245" s="87">
        <f>+G245*$F$225</f>
        <v>0</v>
      </c>
    </row>
    <row r="246" spans="1:9" s="13" customFormat="1" ht="14.25" x14ac:dyDescent="0.2">
      <c r="A246" s="117" t="s">
        <v>41</v>
      </c>
      <c r="B246" s="90" t="s">
        <v>201</v>
      </c>
      <c r="C246" s="90"/>
      <c r="D246" s="90"/>
      <c r="E246" s="112">
        <v>0</v>
      </c>
      <c r="F246" s="112">
        <f>E246*(100%+$F$227)</f>
        <v>0</v>
      </c>
      <c r="G246" s="615">
        <f>F246*$F$224</f>
        <v>0</v>
      </c>
      <c r="H246" s="91">
        <f>+G246*$F$225</f>
        <v>0</v>
      </c>
    </row>
    <row r="247" spans="1:9" s="13" customFormat="1" ht="14.25" x14ac:dyDescent="0.2">
      <c r="A247" s="120">
        <v>4</v>
      </c>
      <c r="B247" s="102" t="s">
        <v>60</v>
      </c>
      <c r="C247" s="102"/>
      <c r="D247" s="102"/>
      <c r="E247" s="103">
        <f>SUM(E248:E252)</f>
        <v>0.05</v>
      </c>
      <c r="F247" s="103">
        <f>SUM(F248:F252)</f>
        <v>0.05</v>
      </c>
      <c r="G247" s="613">
        <f>SUM(G248:G252)</f>
        <v>2.0500000000000003</v>
      </c>
      <c r="H247" s="104">
        <f>SUM(H248:H252)</f>
        <v>112.75000000000001</v>
      </c>
      <c r="I247" s="125">
        <f>IFERROR(H247/'OSNOVNI PODATKI'!$E$332,0)</f>
        <v>0</v>
      </c>
    </row>
    <row r="248" spans="1:9" s="13" customFormat="1" ht="14.25" x14ac:dyDescent="0.2">
      <c r="A248" s="89" t="s">
        <v>42</v>
      </c>
      <c r="B248" s="95" t="s">
        <v>202</v>
      </c>
      <c r="C248" s="95"/>
      <c r="D248" s="95"/>
      <c r="E248" s="86">
        <v>0</v>
      </c>
      <c r="F248" s="86">
        <f>E248*(100%+$F$227)</f>
        <v>0</v>
      </c>
      <c r="G248" s="614">
        <f>F248*$F$224</f>
        <v>0</v>
      </c>
      <c r="H248" s="87">
        <f>+G248*$F$225</f>
        <v>0</v>
      </c>
    </row>
    <row r="249" spans="1:9" s="13" customFormat="1" ht="14.25" x14ac:dyDescent="0.2">
      <c r="A249" s="89" t="s">
        <v>43</v>
      </c>
      <c r="B249" s="95" t="s">
        <v>858</v>
      </c>
      <c r="C249" s="95"/>
      <c r="D249" s="95"/>
      <c r="E249" s="86">
        <v>0</v>
      </c>
      <c r="F249" s="86">
        <f>E249*(100%+$F$227)</f>
        <v>0</v>
      </c>
      <c r="G249" s="614">
        <f>F249*$F$224</f>
        <v>0</v>
      </c>
      <c r="H249" s="87">
        <f>+G249*$F$225</f>
        <v>0</v>
      </c>
    </row>
    <row r="250" spans="1:9" s="13" customFormat="1" ht="14.25" x14ac:dyDescent="0.2">
      <c r="A250" s="89" t="s">
        <v>44</v>
      </c>
      <c r="B250" s="95" t="s">
        <v>953</v>
      </c>
      <c r="C250" s="95"/>
      <c r="D250" s="95"/>
      <c r="E250" s="86">
        <v>0</v>
      </c>
      <c r="F250" s="86">
        <f>E250*(100%+$F$227)</f>
        <v>0</v>
      </c>
      <c r="G250" s="614">
        <f>F250*$F$224</f>
        <v>0</v>
      </c>
      <c r="H250" s="87">
        <f>+G250*$F$225</f>
        <v>0</v>
      </c>
    </row>
    <row r="251" spans="1:9" s="13" customFormat="1" ht="14.25" x14ac:dyDescent="0.2">
      <c r="A251" s="89" t="s">
        <v>45</v>
      </c>
      <c r="B251" s="95" t="s">
        <v>859</v>
      </c>
      <c r="C251" s="95"/>
      <c r="D251" s="95"/>
      <c r="E251" s="86">
        <v>0</v>
      </c>
      <c r="F251" s="86">
        <f>E251*(100%+$F$227)</f>
        <v>0</v>
      </c>
      <c r="G251" s="614">
        <f>F251*$F$224</f>
        <v>0</v>
      </c>
      <c r="H251" s="87">
        <f>+G251*$F$225</f>
        <v>0</v>
      </c>
    </row>
    <row r="252" spans="1:9" s="13" customFormat="1" ht="14.25" x14ac:dyDescent="0.2">
      <c r="A252" s="117" t="s">
        <v>46</v>
      </c>
      <c r="B252" s="90" t="s">
        <v>840</v>
      </c>
      <c r="C252" s="90"/>
      <c r="D252" s="90"/>
      <c r="E252" s="112">
        <v>0.05</v>
      </c>
      <c r="F252" s="112">
        <f>E252*(100%+$F$227)</f>
        <v>0.05</v>
      </c>
      <c r="G252" s="615">
        <f>F252*$F$224</f>
        <v>2.0500000000000003</v>
      </c>
      <c r="H252" s="91">
        <f>+G252*$F$225</f>
        <v>112.75000000000001</v>
      </c>
    </row>
    <row r="253" spans="1:9" s="13" customFormat="1" ht="14.25" x14ac:dyDescent="0.2">
      <c r="A253" s="121">
        <v>5</v>
      </c>
      <c r="B253" s="102" t="s">
        <v>47</v>
      </c>
      <c r="C253" s="102"/>
      <c r="D253" s="102"/>
      <c r="E253" s="103">
        <f>SUM(E254:E255)</f>
        <v>0</v>
      </c>
      <c r="F253" s="103">
        <f>SUM(F254:F255)</f>
        <v>0</v>
      </c>
      <c r="G253" s="613">
        <f>SUM(G254:G255)</f>
        <v>0</v>
      </c>
      <c r="H253" s="104">
        <f>SUM(H254:H255)</f>
        <v>0</v>
      </c>
      <c r="I253" s="125">
        <f>IFERROR(H253/'OSNOVNI PODATKI'!$E$332,0)</f>
        <v>0</v>
      </c>
    </row>
    <row r="254" spans="1:9" s="13" customFormat="1" ht="14.25" x14ac:dyDescent="0.2">
      <c r="A254" s="89" t="s">
        <v>48</v>
      </c>
      <c r="B254" s="98" t="s">
        <v>204</v>
      </c>
      <c r="C254" s="98"/>
      <c r="D254" s="98"/>
      <c r="E254" s="86">
        <v>0</v>
      </c>
      <c r="F254" s="86">
        <f>E254*(100%+$F$227)</f>
        <v>0</v>
      </c>
      <c r="G254" s="614">
        <f>F254*$F$224</f>
        <v>0</v>
      </c>
      <c r="H254" s="87">
        <f>+G254*$F$225</f>
        <v>0</v>
      </c>
    </row>
    <row r="255" spans="1:9" s="13" customFormat="1" ht="14.25" x14ac:dyDescent="0.2">
      <c r="A255" s="117" t="s">
        <v>49</v>
      </c>
      <c r="B255" s="123" t="s">
        <v>205</v>
      </c>
      <c r="C255" s="123"/>
      <c r="D255" s="123"/>
      <c r="E255" s="112">
        <v>0</v>
      </c>
      <c r="F255" s="112">
        <f>E255*(100%+$F$227)</f>
        <v>0</v>
      </c>
      <c r="G255" s="615">
        <f>F255*$F$224</f>
        <v>0</v>
      </c>
      <c r="H255" s="91">
        <f>+G255*$F$225</f>
        <v>0</v>
      </c>
    </row>
    <row r="256" spans="1:9" s="13" customFormat="1" ht="14.25" x14ac:dyDescent="0.2">
      <c r="A256" s="122">
        <v>6</v>
      </c>
      <c r="B256" s="102" t="s">
        <v>50</v>
      </c>
      <c r="C256" s="102"/>
      <c r="D256" s="102"/>
      <c r="E256" s="103"/>
      <c r="F256" s="103"/>
      <c r="G256" s="613"/>
      <c r="H256" s="104"/>
    </row>
    <row r="257" spans="1:9" s="13" customFormat="1" ht="14.25" x14ac:dyDescent="0.2">
      <c r="A257" s="89" t="s">
        <v>54</v>
      </c>
      <c r="B257" s="98" t="s">
        <v>206</v>
      </c>
      <c r="C257" s="98"/>
      <c r="D257" s="98"/>
      <c r="E257" s="86"/>
      <c r="F257" s="86"/>
      <c r="G257" s="614"/>
      <c r="H257" s="87"/>
    </row>
    <row r="258" spans="1:9" s="13" customFormat="1" ht="14.25" x14ac:dyDescent="0.2">
      <c r="A258" s="89" t="s">
        <v>55</v>
      </c>
      <c r="B258" s="98" t="s">
        <v>207</v>
      </c>
      <c r="C258" s="98"/>
      <c r="D258" s="98"/>
      <c r="E258" s="86"/>
      <c r="F258" s="86"/>
      <c r="G258" s="614"/>
      <c r="H258" s="87"/>
    </row>
    <row r="259" spans="1:9" s="13" customFormat="1" ht="14.25" x14ac:dyDescent="0.2">
      <c r="A259" s="117" t="s">
        <v>56</v>
      </c>
      <c r="B259" s="123" t="s">
        <v>208</v>
      </c>
      <c r="C259" s="123"/>
      <c r="D259" s="123"/>
      <c r="E259" s="112"/>
      <c r="F259" s="112"/>
      <c r="G259" s="615"/>
      <c r="H259" s="91"/>
    </row>
    <row r="260" spans="1:9" s="13" customFormat="1" ht="14.25" x14ac:dyDescent="0.2">
      <c r="A260" s="92"/>
      <c r="B260" s="93"/>
      <c r="C260" s="93"/>
      <c r="D260" s="93"/>
      <c r="E260" s="94"/>
      <c r="F260" s="94"/>
      <c r="G260" s="610"/>
      <c r="H260" s="93"/>
    </row>
    <row r="261" spans="1:9" s="13" customFormat="1" ht="14.25" x14ac:dyDescent="0.2">
      <c r="A261" s="126"/>
      <c r="B261" s="127" t="s">
        <v>1</v>
      </c>
      <c r="C261" s="127"/>
      <c r="D261" s="127"/>
      <c r="E261" s="128">
        <f>E231+E234+E238+E244+E247+E253+E256</f>
        <v>1.0000000000000002</v>
      </c>
      <c r="F261" s="128">
        <f>F231+F234+F238+F244+F247+F253+F256</f>
        <v>1.0000000000000002</v>
      </c>
      <c r="G261" s="611">
        <f>G231+G234+G238+G244+G247+G253+G256</f>
        <v>40.999999999999993</v>
      </c>
      <c r="H261" s="604">
        <f>H231+H234+H238+H244+H247+H253+H256</f>
        <v>2255.0000000000005</v>
      </c>
      <c r="I261" s="125">
        <f>IFERROR(H261/'OSNOVNI PODATKI'!$E$332,0)</f>
        <v>0</v>
      </c>
    </row>
    <row r="262" spans="1:9" s="13" customFormat="1" ht="14.25" x14ac:dyDescent="0.2">
      <c r="A262" s="29"/>
      <c r="B262" s="124"/>
      <c r="E262" s="30"/>
      <c r="G262" s="30"/>
      <c r="H262" s="125"/>
    </row>
    <row r="263" spans="1:9" s="13" customFormat="1" ht="14.25" x14ac:dyDescent="0.2">
      <c r="A263" s="29"/>
      <c r="B263" s="124"/>
      <c r="E263" s="30"/>
      <c r="G263" s="30"/>
      <c r="H263" s="125"/>
    </row>
    <row r="264" spans="1:9" s="13" customFormat="1" ht="14.25" x14ac:dyDescent="0.2"/>
    <row r="265" spans="1:9" s="13" customFormat="1" ht="14.25" x14ac:dyDescent="0.2"/>
    <row r="266" spans="1:9" s="13" customFormat="1" ht="14.25" x14ac:dyDescent="0.2"/>
  </sheetData>
  <sheetProtection algorithmName="SHA-512" hashValue="LOrVP3LSra8c6PZjarEHS5HOFbDi0DIPuLXJlehwiLbsO6Ke1Ad6U4EmiPC8VFR43RtrsNQeFVp/Bf89jE9JSQ==" saltValue="GA9ski+vC5/HvoCF0UnuQ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NAVODILA</vt:lpstr>
      <vt:lpstr>OSNOVNI PODATKI</vt:lpstr>
      <vt:lpstr>CENOVNI RAZREDI</vt:lpstr>
      <vt:lpstr>ARHIGRAM 6</vt:lpstr>
      <vt:lpstr>OSNOVNE STORITVE</vt:lpstr>
      <vt:lpstr>POSEBNE STORITVE</vt:lpstr>
      <vt:lpstr>VREDNOST NU</vt:lpstr>
      <vt:lpstr>STAVBE</vt:lpstr>
      <vt:lpstr>NOTRANJA OPREMA</vt:lpstr>
      <vt:lpstr>ODPRTI PROSTOR</vt:lpstr>
      <vt:lpstr>GRADBENE KONSTRUKCIJE</vt:lpstr>
      <vt:lpstr>TEHNIČNA OPREMA</vt:lpstr>
      <vt:lpstr>POŽARNA VARNOST</vt:lpstr>
      <vt:lpstr>GRADBENA FIZIKA</vt:lpstr>
      <vt:lpstr>'OSNOVNI PODATKI'!Print_Area</vt:lpstr>
    </vt:vector>
  </TitlesOfParts>
  <Company>Poljanska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Arhigram 6</dc:title>
  <dc:creator>ZAPS</dc:creator>
  <cp:keywords>ZAPS</cp:keywords>
  <cp:lastModifiedBy>Mima Suhadolc</cp:lastModifiedBy>
  <cp:lastPrinted>2023-09-07T10:49:57Z</cp:lastPrinted>
  <dcterms:created xsi:type="dcterms:W3CDTF">2005-12-03T10:02:57Z</dcterms:created>
  <dcterms:modified xsi:type="dcterms:W3CDTF">2024-12-20T06:53:55Z</dcterms:modified>
</cp:coreProperties>
</file>