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showInkAnnotation="0" codeName="ThisWorkbook"/>
  <mc:AlternateContent xmlns:mc="http://schemas.openxmlformats.org/markup-compatibility/2006">
    <mc:Choice Requires="x15">
      <x15ac:absPath xmlns:x15ac="http://schemas.microsoft.com/office/spreadsheetml/2010/11/ac" url="C:\Dropbox\0 ZAPS\STANDARD ZAPS\S06 PREHODNO OBDOBJE\"/>
    </mc:Choice>
  </mc:AlternateContent>
  <xr:revisionPtr revIDLastSave="0" documentId="13_ncr:1_{7A9BA13B-FAB7-48A6-8BE0-FE526AD36EF0}" xr6:coauthVersionLast="47" xr6:coauthVersionMax="47" xr10:uidLastSave="{00000000-0000-0000-0000-000000000000}"/>
  <bookViews>
    <workbookView xWindow="9480" yWindow="210" windowWidth="19290" windowHeight="15600" xr2:uid="{A9E050DF-2FCD-4FDF-9B8C-CB8BFC9ECADE}"/>
  </bookViews>
  <sheets>
    <sheet name="NAVODILA" sheetId="42" r:id="rId1"/>
    <sheet name="OSNOVNI PODATKI" sheetId="28" r:id="rId2"/>
    <sheet name="CENOVNI RAZREDI" sheetId="49" r:id="rId3"/>
    <sheet name="ARHIGRAM 5" sheetId="17" r:id="rId4"/>
    <sheet name="PONUDBA" sheetId="53" r:id="rId5"/>
    <sheet name="VREDNOST NU" sheetId="7" r:id="rId6"/>
    <sheet name="STAVBE IN NOTRANJA OPREMA" sheetId="18" r:id="rId7"/>
    <sheet name="ODPRTI PROSTOR" sheetId="32" r:id="rId8"/>
    <sheet name="INŽENIRSKI OBJEKTI" sheetId="43" r:id="rId9"/>
    <sheet name="PROMETNA INFRASTRUKTURA" sheetId="44" r:id="rId10"/>
    <sheet name="GRADBENE KONSTRUKCIJE" sheetId="33" r:id="rId11"/>
    <sheet name="TEHNIČNA OPREMA" sheetId="34" r:id="rId12"/>
    <sheet name="POŽARNA VARNOST" sheetId="50" r:id="rId13"/>
    <sheet name="GRADBENA FIZIKA" sheetId="48" r:id="rId14"/>
    <sheet name="Spremembe" sheetId="54" r:id="rId15"/>
  </sheets>
  <externalReferences>
    <externalReference r:id="rId16"/>
    <externalReference r:id="rId17"/>
  </externalReferences>
  <definedNames>
    <definedName name="ARHINST" localSheetId="3">[1]PODATKI!$A$18:$A$21</definedName>
    <definedName name="ARHINST" localSheetId="0">[1]PODATKI!$A$18:$A$21</definedName>
    <definedName name="ARHINST" localSheetId="1">[1]PODATKI!$A$18:$A$21</definedName>
    <definedName name="ARHINST" localSheetId="4">[1]PODATKI!$A$18:$A$21</definedName>
    <definedName name="ARHINST">#REF!</definedName>
    <definedName name="Cenovni_razred">'STAVBE IN NOTRANJA OPREMA'!#REF!</definedName>
    <definedName name="DANE" localSheetId="0">#REF!</definedName>
    <definedName name="DANE" localSheetId="4">#REF!</definedName>
    <definedName name="DANE">#REF!</definedName>
    <definedName name="FAZE" localSheetId="3">[1]PODATKI!$I$3:$I$6</definedName>
    <definedName name="FAZE" localSheetId="0">[1]PODATKI!$I$3:$I$6</definedName>
    <definedName name="FAZE" localSheetId="1">[1]PODATKI!$I$3:$I$6</definedName>
    <definedName name="FAZE" localSheetId="4">[1]PODATKI!$I$3:$I$6</definedName>
    <definedName name="FAZE">#REF!</definedName>
    <definedName name="KONS" localSheetId="3">[1]PODATKI!$A$24:$A$29</definedName>
    <definedName name="KONS" localSheetId="0">[1]PODATKI!$A$24:$A$29</definedName>
    <definedName name="KONS" localSheetId="1">[1]PODATKI!$A$24:$A$29</definedName>
    <definedName name="KONS" localSheetId="4">[1]PODATKI!$A$24:$A$29</definedName>
    <definedName name="KONS">#REF!</definedName>
    <definedName name="NOPREMA" localSheetId="0">#REF!</definedName>
    <definedName name="NOPREMA" localSheetId="4">#REF!</definedName>
    <definedName name="NOPREMA">#REF!</definedName>
    <definedName name="OBJEKT" localSheetId="3">[1]PODATKI!$A$3:$A$14</definedName>
    <definedName name="OBJEKT" localSheetId="0">[1]PODATKI!$A$3:$A$14</definedName>
    <definedName name="OBJEKT" localSheetId="1">[1]PODATKI!$A$3:$A$14</definedName>
    <definedName name="OBJEKT" localSheetId="4">[1]PODATKI!$A$3:$A$14</definedName>
    <definedName name="OBJEKT">#REF!</definedName>
    <definedName name="OPREMA" localSheetId="3">[1]PODATKI!$A$84:$A$86</definedName>
    <definedName name="OPREMA" localSheetId="0">[1]PODATKI!$A$84:$A$86</definedName>
    <definedName name="OPREMA" localSheetId="1">[1]PODATKI!$A$84:$A$86</definedName>
    <definedName name="OPREMA" localSheetId="4">[1]PODATKI!$A$84:$A$86</definedName>
    <definedName name="OPREMA">#REF!</definedName>
    <definedName name="PID" localSheetId="3">[1]PODATKI!$I$9:$I$10</definedName>
    <definedName name="PID" localSheetId="0">[1]PODATKI!$I$9:$I$10</definedName>
    <definedName name="PID" localSheetId="1">[1]PODATKI!$I$9:$I$10</definedName>
    <definedName name="PID" localSheetId="4">[1]PODATKI!$I$9:$I$10</definedName>
    <definedName name="PID">#REF!</definedName>
    <definedName name="POVRŠINE" localSheetId="0">#REF!</definedName>
    <definedName name="POVRŠINE" localSheetId="4">#REF!</definedName>
    <definedName name="POVRŠINE">#REF!</definedName>
    <definedName name="_xlnm.Print_Area" localSheetId="1">'OSNOVNI PODATKI'!$A$1:$E$206</definedName>
    <definedName name="_xlnm.Print_Area" localSheetId="4">PONUDBA!$A$1:$C$228</definedName>
    <definedName name="RAZREDARH" localSheetId="0">#REF!</definedName>
    <definedName name="RAZREDARH" localSheetId="4">#REF!</definedName>
    <definedName name="RAZREDARH">#REF!</definedName>
    <definedName name="RAZREDIARH" localSheetId="0">#REF!</definedName>
    <definedName name="RAZREDIARH" localSheetId="4">#REF!</definedName>
    <definedName name="RAZREDIARH">#REF!</definedName>
    <definedName name="RAZREDIKONS" localSheetId="0">#REF!</definedName>
    <definedName name="RAZREDIKONS" localSheetId="4">#REF!</definedName>
    <definedName name="RAZREDIKONS">#REF!</definedName>
    <definedName name="RAZREDKONS" localSheetId="0">#REF!</definedName>
    <definedName name="RAZREDKONS" localSheetId="4">#REF!</definedName>
    <definedName name="RAZREDKONS">#REF!</definedName>
    <definedName name="STAVBA" localSheetId="0">#REF!</definedName>
    <definedName name="STAVBA" localSheetId="4">#REF!</definedName>
    <definedName name="STAVBA">#REF!</definedName>
    <definedName name="TEH" localSheetId="3">[1]PODATKI!#REF!</definedName>
    <definedName name="TEH" localSheetId="13">[2]PODATKI!#REF!</definedName>
    <definedName name="TEH" localSheetId="10">[2]PODATKI!#REF!</definedName>
    <definedName name="TEH" localSheetId="0">[1]PODATKI!#REF!</definedName>
    <definedName name="TEH" localSheetId="1">[1]PODATKI!#REF!</definedName>
    <definedName name="TEH" localSheetId="4">[1]PODATKI!#REF!</definedName>
    <definedName name="TEH" localSheetId="12">[2]PODATKI!#REF!</definedName>
    <definedName name="TEH" localSheetId="11">[2]PODATKI!#REF!</definedName>
    <definedName name="TEH">#REF!</definedName>
    <definedName name="ZUNANJA" localSheetId="3">[1]PODATKI!$A$51:$A$81</definedName>
    <definedName name="ZUNANJA" localSheetId="0">[1]PODATKI!$A$51:$A$81</definedName>
    <definedName name="ZUNANJA" localSheetId="1">[1]PODATKI!$A$51:$A$81</definedName>
    <definedName name="ZUNANJA" localSheetId="4">[1]PODATKI!$A$51:$A$81</definedName>
    <definedName name="ZUNANJA">#REF!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95" i="7" l="1"/>
  <c r="A223" i="53"/>
  <c r="A119" i="17"/>
  <c r="B12" i="53" l="1"/>
  <c r="B12" i="17"/>
  <c r="M237" i="53"/>
  <c r="L237" i="53"/>
  <c r="K237" i="53"/>
  <c r="J237" i="53"/>
  <c r="Q234" i="53"/>
  <c r="P234" i="53"/>
  <c r="O234" i="53"/>
  <c r="N234" i="53"/>
  <c r="M234" i="53"/>
  <c r="L234" i="53"/>
  <c r="K234" i="53"/>
  <c r="L233" i="53"/>
  <c r="K233" i="53"/>
  <c r="Q232" i="53"/>
  <c r="P232" i="53"/>
  <c r="O232" i="53"/>
  <c r="N232" i="53"/>
  <c r="M232" i="53"/>
  <c r="L232" i="53"/>
  <c r="K232" i="53"/>
  <c r="J232" i="53"/>
  <c r="Q230" i="53"/>
  <c r="P230" i="53"/>
  <c r="O230" i="53"/>
  <c r="N230" i="53"/>
  <c r="M230" i="53"/>
  <c r="L230" i="53"/>
  <c r="K230" i="53"/>
  <c r="J230" i="53"/>
  <c r="Q229" i="53"/>
  <c r="P229" i="53"/>
  <c r="O229" i="53"/>
  <c r="N229" i="53"/>
  <c r="M229" i="53"/>
  <c r="L229" i="53"/>
  <c r="K229" i="53"/>
  <c r="J229" i="53"/>
  <c r="E228" i="53"/>
  <c r="R228" i="53"/>
  <c r="J234" i="53"/>
  <c r="N235" i="53" l="1"/>
  <c r="N238" i="53" s="1"/>
  <c r="O235" i="53"/>
  <c r="O238" i="53" s="1"/>
  <c r="K235" i="53"/>
  <c r="Q235" i="53"/>
  <c r="Q238" i="53" s="1"/>
  <c r="P235" i="53"/>
  <c r="P238" i="53" s="1"/>
  <c r="L235" i="53"/>
  <c r="L238" i="53" s="1"/>
  <c r="J235" i="53"/>
  <c r="F63" i="44" l="1"/>
  <c r="B63" i="44"/>
  <c r="D198" i="28"/>
  <c r="D214" i="28"/>
  <c r="D177" i="28"/>
  <c r="L142" i="17"/>
  <c r="H146" i="17"/>
  <c r="C137" i="17"/>
  <c r="P137" i="17"/>
  <c r="D157" i="28" l="1"/>
  <c r="D146" i="28"/>
  <c r="D135" i="28"/>
  <c r="D124" i="28"/>
  <c r="D113" i="28"/>
  <c r="F188" i="34"/>
  <c r="B188" i="34"/>
  <c r="F144" i="34"/>
  <c r="B144" i="34"/>
  <c r="E257" i="28"/>
  <c r="F67" i="32" s="1"/>
  <c r="F100" i="34"/>
  <c r="B100" i="34"/>
  <c r="F68" i="32"/>
  <c r="B68" i="32"/>
  <c r="F123" i="18"/>
  <c r="B123" i="18"/>
  <c r="B67" i="32"/>
  <c r="N70" i="49"/>
  <c r="M70" i="49"/>
  <c r="L70" i="49"/>
  <c r="M8" i="49"/>
  <c r="L8" i="49"/>
  <c r="O8" i="49" s="1"/>
  <c r="N26" i="49"/>
  <c r="M26" i="49"/>
  <c r="L26" i="49"/>
  <c r="N22" i="49"/>
  <c r="M22" i="49"/>
  <c r="L22" i="49"/>
  <c r="N38" i="49"/>
  <c r="M38" i="49"/>
  <c r="L38" i="49"/>
  <c r="N35" i="49"/>
  <c r="M35" i="49"/>
  <c r="L35" i="49"/>
  <c r="N33" i="49"/>
  <c r="M33" i="49"/>
  <c r="L33" i="49"/>
  <c r="N32" i="49"/>
  <c r="M32" i="49"/>
  <c r="L32" i="49"/>
  <c r="N44" i="49"/>
  <c r="M44" i="49"/>
  <c r="L44" i="49"/>
  <c r="O44" i="49" s="1"/>
  <c r="N45" i="49"/>
  <c r="M45" i="49"/>
  <c r="L45" i="49"/>
  <c r="N48" i="49"/>
  <c r="M48" i="49"/>
  <c r="L48" i="49"/>
  <c r="N42" i="49"/>
  <c r="M42" i="49"/>
  <c r="L42" i="49"/>
  <c r="N41" i="49"/>
  <c r="M41" i="49"/>
  <c r="L41" i="49"/>
  <c r="N50" i="49"/>
  <c r="M50" i="49"/>
  <c r="L50" i="49"/>
  <c r="M54" i="49"/>
  <c r="L54" i="49"/>
  <c r="N58" i="49"/>
  <c r="M58" i="49"/>
  <c r="L58" i="49"/>
  <c r="M55" i="49"/>
  <c r="L55" i="49"/>
  <c r="M56" i="49"/>
  <c r="L56" i="49"/>
  <c r="O56" i="49" s="1"/>
  <c r="N57" i="49"/>
  <c r="M57" i="49"/>
  <c r="L57" i="49"/>
  <c r="M61" i="49"/>
  <c r="L61" i="49"/>
  <c r="M60" i="49"/>
  <c r="L60" i="49"/>
  <c r="O60" i="49" s="1"/>
  <c r="M67" i="49"/>
  <c r="L67" i="49"/>
  <c r="N68" i="49"/>
  <c r="M68" i="49"/>
  <c r="L68" i="49"/>
  <c r="N69" i="49"/>
  <c r="M69" i="49"/>
  <c r="L69" i="49"/>
  <c r="M77" i="49"/>
  <c r="L77" i="49"/>
  <c r="M81" i="49"/>
  <c r="L81" i="49"/>
  <c r="O81" i="49" s="1"/>
  <c r="N80" i="49"/>
  <c r="M80" i="49"/>
  <c r="L80" i="49"/>
  <c r="N92" i="49"/>
  <c r="M92" i="49"/>
  <c r="O92" i="49" s="1"/>
  <c r="L92" i="49"/>
  <c r="N84" i="49"/>
  <c r="M84" i="49"/>
  <c r="L84" i="49"/>
  <c r="N88" i="49"/>
  <c r="M88" i="49"/>
  <c r="L88" i="49"/>
  <c r="B27" i="42"/>
  <c r="B18" i="42"/>
  <c r="B21" i="42"/>
  <c r="B24" i="42"/>
  <c r="A124" i="28"/>
  <c r="A135" i="28" s="1"/>
  <c r="A146" i="28" s="1"/>
  <c r="A157" i="28" s="1"/>
  <c r="A91" i="28"/>
  <c r="A105" i="28" s="1"/>
  <c r="A84" i="28"/>
  <c r="A98" i="28" s="1"/>
  <c r="A30" i="28"/>
  <c r="A52" i="28" s="1"/>
  <c r="A6" i="42"/>
  <c r="B6" i="42"/>
  <c r="B4" i="42"/>
  <c r="C212" i="53"/>
  <c r="C210" i="53" s="1"/>
  <c r="C207" i="53"/>
  <c r="C205" i="53" s="1"/>
  <c r="C202" i="53"/>
  <c r="C200" i="53" s="1"/>
  <c r="C196" i="53"/>
  <c r="C194" i="53" s="1"/>
  <c r="C191" i="53"/>
  <c r="C189" i="53" s="1"/>
  <c r="C166" i="53"/>
  <c r="C164" i="53" s="1"/>
  <c r="C160" i="53"/>
  <c r="C158" i="53" s="1"/>
  <c r="C140" i="53"/>
  <c r="C138" i="53" s="1"/>
  <c r="C133" i="53"/>
  <c r="C131" i="53" s="1"/>
  <c r="C185" i="53"/>
  <c r="C155" i="53"/>
  <c r="C127" i="53"/>
  <c r="C125" i="53" s="1"/>
  <c r="C121" i="53"/>
  <c r="M233" i="53" s="1"/>
  <c r="M235" i="53" s="1"/>
  <c r="C32" i="53"/>
  <c r="C27" i="53"/>
  <c r="C37" i="53"/>
  <c r="B177" i="53"/>
  <c r="B178" i="53"/>
  <c r="B179" i="53"/>
  <c r="B180" i="53"/>
  <c r="B181" i="53"/>
  <c r="B182" i="53"/>
  <c r="B183" i="53"/>
  <c r="B184" i="53"/>
  <c r="B175" i="53"/>
  <c r="B173" i="53"/>
  <c r="B172" i="53"/>
  <c r="B170" i="53"/>
  <c r="B164" i="53"/>
  <c r="B158" i="53"/>
  <c r="B153" i="53"/>
  <c r="B154" i="53"/>
  <c r="B152" i="53"/>
  <c r="B149" i="53"/>
  <c r="B150" i="53"/>
  <c r="B148" i="53"/>
  <c r="B147" i="53"/>
  <c r="B138" i="53"/>
  <c r="B137" i="53"/>
  <c r="B131" i="53"/>
  <c r="B125" i="53"/>
  <c r="B124" i="53"/>
  <c r="B120" i="53"/>
  <c r="B119" i="53"/>
  <c r="B118" i="53"/>
  <c r="B116" i="53"/>
  <c r="B114" i="53"/>
  <c r="B113" i="53"/>
  <c r="B111" i="53"/>
  <c r="B87" i="53"/>
  <c r="B79" i="53"/>
  <c r="B61" i="53"/>
  <c r="B59" i="53"/>
  <c r="C102" i="53"/>
  <c r="B92" i="53"/>
  <c r="B94" i="53"/>
  <c r="B95" i="53"/>
  <c r="B96" i="53"/>
  <c r="B97" i="53"/>
  <c r="B98" i="53"/>
  <c r="B99" i="53"/>
  <c r="B100" i="53"/>
  <c r="B101" i="53"/>
  <c r="B90" i="53"/>
  <c r="B89" i="53"/>
  <c r="B82" i="53"/>
  <c r="B81" i="53"/>
  <c r="B64" i="53"/>
  <c r="B66" i="53"/>
  <c r="B67" i="53"/>
  <c r="B68" i="53"/>
  <c r="B69" i="53"/>
  <c r="B70" i="53"/>
  <c r="B71" i="53"/>
  <c r="B72" i="53"/>
  <c r="B73" i="53"/>
  <c r="B62" i="53"/>
  <c r="C83" i="53"/>
  <c r="C74" i="53"/>
  <c r="C56" i="53"/>
  <c r="B48" i="53"/>
  <c r="B49" i="53"/>
  <c r="B50" i="53"/>
  <c r="B51" i="53"/>
  <c r="B52" i="53"/>
  <c r="B53" i="53"/>
  <c r="B54" i="53"/>
  <c r="B55" i="53"/>
  <c r="B47" i="53"/>
  <c r="B46" i="53"/>
  <c r="B45" i="53"/>
  <c r="B44" i="53"/>
  <c r="B43" i="53"/>
  <c r="B41" i="53"/>
  <c r="B40" i="53"/>
  <c r="B35" i="53"/>
  <c r="B30" i="53"/>
  <c r="B25" i="53"/>
  <c r="B24" i="53"/>
  <c r="B5" i="17"/>
  <c r="A5" i="17"/>
  <c r="B4" i="17"/>
  <c r="K83" i="49"/>
  <c r="K76" i="49"/>
  <c r="K66" i="49"/>
  <c r="K59" i="49"/>
  <c r="K49" i="49"/>
  <c r="K37" i="49"/>
  <c r="K28" i="49"/>
  <c r="K21" i="49"/>
  <c r="M238" i="53" l="1"/>
  <c r="O68" i="49"/>
  <c r="O38" i="49"/>
  <c r="O67" i="49"/>
  <c r="O22" i="49"/>
  <c r="A41" i="28"/>
  <c r="A63" i="28" s="1"/>
  <c r="O70" i="49"/>
  <c r="O55" i="49"/>
  <c r="O32" i="49"/>
  <c r="O61" i="49"/>
  <c r="O57" i="49"/>
  <c r="O77" i="49"/>
  <c r="O58" i="49"/>
  <c r="O41" i="49"/>
  <c r="O33" i="49"/>
  <c r="O54" i="49"/>
  <c r="O69" i="49"/>
  <c r="O50" i="49"/>
  <c r="O26" i="49"/>
  <c r="O45" i="49"/>
  <c r="O88" i="49"/>
  <c r="O42" i="49"/>
  <c r="O35" i="49"/>
  <c r="O84" i="49"/>
  <c r="O80" i="49"/>
  <c r="N87" i="49"/>
  <c r="M87" i="49"/>
  <c r="L87" i="49"/>
  <c r="N86" i="49"/>
  <c r="M86" i="49"/>
  <c r="L86" i="49"/>
  <c r="L85" i="49"/>
  <c r="N85" i="49"/>
  <c r="M85" i="49"/>
  <c r="N91" i="49"/>
  <c r="M91" i="49"/>
  <c r="L91" i="49"/>
  <c r="N89" i="49"/>
  <c r="M89" i="49"/>
  <c r="L89" i="49"/>
  <c r="N90" i="49"/>
  <c r="M90" i="49"/>
  <c r="L90" i="49"/>
  <c r="N36" i="49"/>
  <c r="M36" i="49"/>
  <c r="L36" i="49"/>
  <c r="N34" i="49"/>
  <c r="M34" i="49"/>
  <c r="L34" i="49"/>
  <c r="N79" i="49"/>
  <c r="M79" i="49"/>
  <c r="L79" i="49"/>
  <c r="N78" i="49"/>
  <c r="M78" i="49"/>
  <c r="L78" i="49"/>
  <c r="L76" i="49" s="1"/>
  <c r="N73" i="49"/>
  <c r="M73" i="49"/>
  <c r="L73" i="49"/>
  <c r="N71" i="49"/>
  <c r="M71" i="49"/>
  <c r="L71" i="49"/>
  <c r="N72" i="49"/>
  <c r="M72" i="49"/>
  <c r="L72" i="49"/>
  <c r="N51" i="49"/>
  <c r="N49" i="49" s="1"/>
  <c r="M51" i="49"/>
  <c r="L51" i="49"/>
  <c r="N52" i="49"/>
  <c r="M52" i="49"/>
  <c r="L52" i="49"/>
  <c r="N75" i="49"/>
  <c r="M75" i="49"/>
  <c r="L75" i="49"/>
  <c r="N74" i="49"/>
  <c r="M74" i="49"/>
  <c r="L74" i="49"/>
  <c r="N53" i="49"/>
  <c r="M53" i="49"/>
  <c r="L53" i="49"/>
  <c r="N65" i="49"/>
  <c r="M65" i="49"/>
  <c r="L65" i="49"/>
  <c r="N64" i="49"/>
  <c r="M64" i="49"/>
  <c r="L64" i="49"/>
  <c r="N63" i="49"/>
  <c r="M63" i="49"/>
  <c r="L63" i="49"/>
  <c r="N40" i="49"/>
  <c r="M40" i="49"/>
  <c r="L40" i="49"/>
  <c r="N39" i="49"/>
  <c r="M39" i="49"/>
  <c r="L39" i="49"/>
  <c r="N43" i="49"/>
  <c r="M43" i="49"/>
  <c r="L43" i="49"/>
  <c r="N46" i="49"/>
  <c r="M46" i="49"/>
  <c r="L46" i="49"/>
  <c r="N47" i="49"/>
  <c r="M47" i="49"/>
  <c r="L47" i="49"/>
  <c r="B86" i="17"/>
  <c r="B144" i="53" s="1"/>
  <c r="C18" i="53"/>
  <c r="C21" i="53"/>
  <c r="B11" i="53"/>
  <c r="B10" i="53"/>
  <c r="B9" i="53"/>
  <c r="B8" i="53"/>
  <c r="B7" i="53"/>
  <c r="M76" i="49" l="1"/>
  <c r="N83" i="49"/>
  <c r="N76" i="49"/>
  <c r="L83" i="49"/>
  <c r="L66" i="49"/>
  <c r="N37" i="49"/>
  <c r="M66" i="49"/>
  <c r="L37" i="49"/>
  <c r="L49" i="49"/>
  <c r="N66" i="49"/>
  <c r="M37" i="49"/>
  <c r="M49" i="49"/>
  <c r="M83" i="49"/>
  <c r="O87" i="49"/>
  <c r="O86" i="49"/>
  <c r="O85" i="49"/>
  <c r="O34" i="49"/>
  <c r="O36" i="49"/>
  <c r="O91" i="49"/>
  <c r="O90" i="49"/>
  <c r="O72" i="49"/>
  <c r="O89" i="49"/>
  <c r="O47" i="49"/>
  <c r="O73" i="49"/>
  <c r="O79" i="49"/>
  <c r="O78" i="49"/>
  <c r="O51" i="49"/>
  <c r="O74" i="49"/>
  <c r="O71" i="49"/>
  <c r="O52" i="49"/>
  <c r="O40" i="49"/>
  <c r="O39" i="49"/>
  <c r="O53" i="49"/>
  <c r="O75" i="49"/>
  <c r="O48" i="49"/>
  <c r="O63" i="49"/>
  <c r="O65" i="49"/>
  <c r="O46" i="49"/>
  <c r="O43" i="49"/>
  <c r="C17" i="53"/>
  <c r="C124" i="53" l="1"/>
  <c r="C199" i="53"/>
  <c r="C188" i="53"/>
  <c r="C69" i="28" l="1"/>
  <c r="C68" i="28"/>
  <c r="C57" i="28"/>
  <c r="C56" i="28"/>
  <c r="C46" i="28"/>
  <c r="C45" i="28"/>
  <c r="N124" i="17"/>
  <c r="M124" i="17"/>
  <c r="M137" i="17" l="1"/>
  <c r="O228" i="53"/>
  <c r="N137" i="17"/>
  <c r="P228" i="53"/>
  <c r="O64" i="49"/>
  <c r="N62" i="49"/>
  <c r="N59" i="49" s="1"/>
  <c r="M62" i="49"/>
  <c r="M59" i="49" s="1"/>
  <c r="L62" i="49"/>
  <c r="L59" i="49" s="1"/>
  <c r="M10" i="49"/>
  <c r="F62" i="44"/>
  <c r="B62" i="44"/>
  <c r="F60" i="43"/>
  <c r="B60" i="43"/>
  <c r="F69" i="32"/>
  <c r="B69" i="32"/>
  <c r="F81" i="18"/>
  <c r="B43" i="17"/>
  <c r="B63" i="53" s="1"/>
  <c r="A170" i="28"/>
  <c r="A107" i="28"/>
  <c r="A100" i="28"/>
  <c r="A93" i="28"/>
  <c r="A86" i="28"/>
  <c r="A79" i="28"/>
  <c r="A54" i="28"/>
  <c r="A43" i="28"/>
  <c r="A32" i="28"/>
  <c r="A66" i="28"/>
  <c r="A116" i="28" s="1"/>
  <c r="R1" i="49"/>
  <c r="K7" i="49"/>
  <c r="B76" i="17"/>
  <c r="B62" i="17"/>
  <c r="B93" i="53" s="1"/>
  <c r="G124" i="17"/>
  <c r="C70" i="28"/>
  <c r="C58" i="28"/>
  <c r="C47" i="28"/>
  <c r="C67" i="28"/>
  <c r="C55" i="28"/>
  <c r="C44" i="28"/>
  <c r="C33" i="28"/>
  <c r="C22" i="28"/>
  <c r="G137" i="17" l="1"/>
  <c r="I228" i="53"/>
  <c r="J70" i="49"/>
  <c r="I70" i="49"/>
  <c r="I22" i="49"/>
  <c r="J33" i="49"/>
  <c r="J48" i="49"/>
  <c r="J50" i="49"/>
  <c r="J57" i="49"/>
  <c r="J26" i="49"/>
  <c r="I33" i="49"/>
  <c r="J45" i="49"/>
  <c r="I48" i="49"/>
  <c r="I50" i="49"/>
  <c r="I57" i="49"/>
  <c r="I26" i="49"/>
  <c r="J35" i="49"/>
  <c r="I45" i="49"/>
  <c r="J41" i="49"/>
  <c r="J58" i="49"/>
  <c r="J8" i="49"/>
  <c r="I35" i="49"/>
  <c r="J46" i="49"/>
  <c r="I41" i="49"/>
  <c r="I58" i="49"/>
  <c r="J56" i="49"/>
  <c r="I32" i="49"/>
  <c r="I8" i="49"/>
  <c r="J44" i="49"/>
  <c r="I46" i="49"/>
  <c r="J54" i="49"/>
  <c r="J55" i="49"/>
  <c r="I56" i="49"/>
  <c r="J38" i="49"/>
  <c r="I44" i="49"/>
  <c r="J42" i="49"/>
  <c r="I54" i="49"/>
  <c r="I55" i="49"/>
  <c r="J22" i="49"/>
  <c r="I38" i="49"/>
  <c r="J32" i="49"/>
  <c r="I42" i="49"/>
  <c r="I60" i="49"/>
  <c r="I69" i="49"/>
  <c r="J68" i="49"/>
  <c r="J81" i="49"/>
  <c r="J84" i="49"/>
  <c r="J77" i="49"/>
  <c r="I67" i="49"/>
  <c r="J61" i="49"/>
  <c r="I68" i="49"/>
  <c r="I81" i="49"/>
  <c r="I84" i="49"/>
  <c r="J67" i="49"/>
  <c r="I77" i="49"/>
  <c r="I61" i="49"/>
  <c r="J92" i="49"/>
  <c r="J80" i="49"/>
  <c r="J88" i="49"/>
  <c r="J60" i="49"/>
  <c r="J69" i="49"/>
  <c r="I80" i="49"/>
  <c r="I88" i="49"/>
  <c r="I92" i="49"/>
  <c r="B101" i="17"/>
  <c r="B176" i="53" s="1"/>
  <c r="B117" i="53"/>
  <c r="O62" i="49"/>
  <c r="J87" i="49"/>
  <c r="I87" i="49"/>
  <c r="J86" i="49"/>
  <c r="I85" i="49"/>
  <c r="I86" i="49"/>
  <c r="J85" i="49"/>
  <c r="J89" i="49"/>
  <c r="I79" i="49"/>
  <c r="I89" i="49"/>
  <c r="J34" i="49"/>
  <c r="I36" i="49"/>
  <c r="I34" i="49"/>
  <c r="J78" i="49"/>
  <c r="J91" i="49"/>
  <c r="J36" i="49"/>
  <c r="I91" i="49"/>
  <c r="I78" i="49"/>
  <c r="J90" i="49"/>
  <c r="I90" i="49"/>
  <c r="J79" i="49"/>
  <c r="I71" i="49"/>
  <c r="J52" i="49"/>
  <c r="I52" i="49"/>
  <c r="J51" i="49"/>
  <c r="J73" i="49"/>
  <c r="J72" i="49"/>
  <c r="I51" i="49"/>
  <c r="I73" i="49"/>
  <c r="I72" i="49"/>
  <c r="J71" i="49"/>
  <c r="J62" i="49"/>
  <c r="J75" i="49"/>
  <c r="I75" i="49"/>
  <c r="J74" i="49"/>
  <c r="I74" i="49"/>
  <c r="J65" i="49"/>
  <c r="I65" i="49"/>
  <c r="J53" i="49"/>
  <c r="I53" i="49"/>
  <c r="J64" i="49"/>
  <c r="I64" i="49"/>
  <c r="J63" i="49"/>
  <c r="I63" i="49"/>
  <c r="J40" i="49"/>
  <c r="I40" i="49"/>
  <c r="I39" i="49"/>
  <c r="J39" i="49"/>
  <c r="J43" i="49"/>
  <c r="J47" i="49"/>
  <c r="I47" i="49"/>
  <c r="I43" i="49"/>
  <c r="I62" i="49"/>
  <c r="A149" i="28"/>
  <c r="A160" i="28" s="1"/>
  <c r="A138" i="28"/>
  <c r="A127" i="28"/>
  <c r="N31" i="49"/>
  <c r="M31" i="49"/>
  <c r="L31" i="49"/>
  <c r="J31" i="49"/>
  <c r="I31" i="49"/>
  <c r="N30" i="49"/>
  <c r="M30" i="49"/>
  <c r="L30" i="49"/>
  <c r="J30" i="49"/>
  <c r="I30" i="49"/>
  <c r="N29" i="49"/>
  <c r="M29" i="49"/>
  <c r="L29" i="49"/>
  <c r="J29" i="49"/>
  <c r="I29" i="49"/>
  <c r="N27" i="49"/>
  <c r="M27" i="49"/>
  <c r="L27" i="49"/>
  <c r="J27" i="49"/>
  <c r="I27" i="49"/>
  <c r="L25" i="49"/>
  <c r="N25" i="49"/>
  <c r="M25" i="49"/>
  <c r="J25" i="49"/>
  <c r="I25" i="49"/>
  <c r="N24" i="49"/>
  <c r="M24" i="49"/>
  <c r="L24" i="49"/>
  <c r="J24" i="49"/>
  <c r="I24" i="49"/>
  <c r="N23" i="49"/>
  <c r="M23" i="49"/>
  <c r="L23" i="49"/>
  <c r="J23" i="49"/>
  <c r="I23" i="49"/>
  <c r="N10" i="49"/>
  <c r="N11" i="49"/>
  <c r="C36" i="28" s="1"/>
  <c r="M11" i="49"/>
  <c r="C34" i="28" s="1"/>
  <c r="N14" i="49"/>
  <c r="M14" i="49"/>
  <c r="N15" i="49"/>
  <c r="M15" i="49"/>
  <c r="N16" i="49"/>
  <c r="C25" i="28" s="1"/>
  <c r="M16" i="49"/>
  <c r="N17" i="49"/>
  <c r="M17" i="49"/>
  <c r="N18" i="49"/>
  <c r="M18" i="49"/>
  <c r="M19" i="49"/>
  <c r="N19" i="49"/>
  <c r="N20" i="49"/>
  <c r="M20" i="49"/>
  <c r="L20" i="49"/>
  <c r="J20" i="49"/>
  <c r="I20" i="49"/>
  <c r="L19" i="49"/>
  <c r="J19" i="49"/>
  <c r="I19" i="49"/>
  <c r="L18" i="49"/>
  <c r="J18" i="49"/>
  <c r="I18" i="49"/>
  <c r="L17" i="49"/>
  <c r="J17" i="49"/>
  <c r="I17" i="49"/>
  <c r="L16" i="49"/>
  <c r="J16" i="49"/>
  <c r="I16" i="49"/>
  <c r="L15" i="49"/>
  <c r="J15" i="49"/>
  <c r="I15" i="49"/>
  <c r="J14" i="49"/>
  <c r="I14" i="49"/>
  <c r="M13" i="49"/>
  <c r="L13" i="49"/>
  <c r="J13" i="49"/>
  <c r="I13" i="49"/>
  <c r="M12" i="49"/>
  <c r="L12" i="49"/>
  <c r="J12" i="49"/>
  <c r="I12" i="49"/>
  <c r="L14" i="49"/>
  <c r="L11" i="49"/>
  <c r="C35" i="28" s="1"/>
  <c r="J11" i="49"/>
  <c r="I11" i="49"/>
  <c r="L10" i="49"/>
  <c r="J10" i="49"/>
  <c r="I10" i="49"/>
  <c r="D63" i="28"/>
  <c r="D52" i="28"/>
  <c r="D41" i="28"/>
  <c r="C23" i="28" l="1"/>
  <c r="I37" i="49"/>
  <c r="J66" i="49"/>
  <c r="I59" i="49"/>
  <c r="M21" i="49"/>
  <c r="J37" i="49"/>
  <c r="J59" i="49"/>
  <c r="L28" i="49"/>
  <c r="I83" i="49"/>
  <c r="I76" i="49"/>
  <c r="N21" i="49"/>
  <c r="I28" i="49"/>
  <c r="J83" i="49"/>
  <c r="J28" i="49"/>
  <c r="I66" i="49"/>
  <c r="J76" i="49"/>
  <c r="M28" i="49"/>
  <c r="I49" i="49"/>
  <c r="I21" i="49"/>
  <c r="N28" i="49"/>
  <c r="J49" i="49"/>
  <c r="J21" i="49"/>
  <c r="L21" i="49"/>
  <c r="O18" i="49"/>
  <c r="D30" i="28"/>
  <c r="O29" i="49"/>
  <c r="O31" i="49"/>
  <c r="O13" i="49"/>
  <c r="C24" i="28"/>
  <c r="O30" i="49"/>
  <c r="O20" i="49"/>
  <c r="N7" i="49"/>
  <c r="O14" i="49"/>
  <c r="A184" i="28"/>
  <c r="A179" i="28"/>
  <c r="O25" i="49"/>
  <c r="O24" i="49"/>
  <c r="O27" i="49"/>
  <c r="O23" i="49"/>
  <c r="O17" i="49"/>
  <c r="O16" i="49"/>
  <c r="O12" i="49"/>
  <c r="O19" i="49"/>
  <c r="O11" i="49"/>
  <c r="O15" i="49"/>
  <c r="O10" i="49"/>
  <c r="J9" i="49"/>
  <c r="J7" i="49" s="1"/>
  <c r="I9" i="49"/>
  <c r="I7" i="49" s="1"/>
  <c r="M9" i="49"/>
  <c r="M7" i="49" s="1"/>
  <c r="L9" i="49"/>
  <c r="L7" i="49" s="1"/>
  <c r="D105" i="28"/>
  <c r="D98" i="28"/>
  <c r="D91" i="28"/>
  <c r="D84" i="28"/>
  <c r="D77" i="28"/>
  <c r="A61" i="28"/>
  <c r="A50" i="28"/>
  <c r="A39" i="28"/>
  <c r="A28" i="28"/>
  <c r="B45" i="17"/>
  <c r="B65" i="53" s="1"/>
  <c r="B99" i="17"/>
  <c r="B174" i="53" s="1"/>
  <c r="B74" i="17"/>
  <c r="B115" i="53" s="1"/>
  <c r="B60" i="17"/>
  <c r="B91" i="53" s="1"/>
  <c r="O9" i="49" l="1"/>
  <c r="D19" i="28"/>
  <c r="B81" i="18"/>
  <c r="O124" i="17"/>
  <c r="L124" i="17"/>
  <c r="K124" i="17"/>
  <c r="J124" i="17"/>
  <c r="I124" i="17"/>
  <c r="H124" i="17"/>
  <c r="F124" i="17"/>
  <c r="E124" i="17"/>
  <c r="D124" i="17"/>
  <c r="G446" i="49"/>
  <c r="F447" i="49" s="1"/>
  <c r="G386" i="49"/>
  <c r="F387" i="49" s="1"/>
  <c r="G250" i="49"/>
  <c r="F251" i="49" s="1"/>
  <c r="G179" i="49"/>
  <c r="F180" i="49" s="1"/>
  <c r="G101" i="49"/>
  <c r="F102" i="49" s="1"/>
  <c r="F252" i="48"/>
  <c r="B252" i="48"/>
  <c r="F251" i="48"/>
  <c r="F279" i="48" s="1"/>
  <c r="B251" i="48"/>
  <c r="F209" i="48"/>
  <c r="B209" i="48"/>
  <c r="F208" i="48"/>
  <c r="F237" i="48" s="1"/>
  <c r="B208" i="48"/>
  <c r="F166" i="48"/>
  <c r="B166" i="48"/>
  <c r="F165" i="48"/>
  <c r="B165" i="48"/>
  <c r="F76" i="50"/>
  <c r="F97" i="50" s="1"/>
  <c r="B76" i="50"/>
  <c r="B189" i="34"/>
  <c r="F187" i="34"/>
  <c r="B187" i="34"/>
  <c r="F186" i="34"/>
  <c r="B186" i="34"/>
  <c r="B146" i="34"/>
  <c r="B145" i="34"/>
  <c r="F143" i="34"/>
  <c r="B143" i="34"/>
  <c r="F142" i="34"/>
  <c r="B142" i="34"/>
  <c r="E263" i="28"/>
  <c r="F102" i="34" s="1"/>
  <c r="E262" i="28"/>
  <c r="F101" i="34" s="1"/>
  <c r="B102" i="34"/>
  <c r="B101" i="34"/>
  <c r="F99" i="34"/>
  <c r="B99" i="34"/>
  <c r="F98" i="34"/>
  <c r="B98" i="34"/>
  <c r="B61" i="33"/>
  <c r="F60" i="33"/>
  <c r="B60" i="33"/>
  <c r="F59" i="33"/>
  <c r="B59" i="33"/>
  <c r="F61" i="44"/>
  <c r="B61" i="44"/>
  <c r="F60" i="44"/>
  <c r="B60" i="44"/>
  <c r="F59" i="44"/>
  <c r="B59" i="44"/>
  <c r="E264" i="28"/>
  <c r="F61" i="43" s="1"/>
  <c r="F59" i="43"/>
  <c r="B59" i="43"/>
  <c r="F58" i="43"/>
  <c r="B58" i="43"/>
  <c r="F57" i="43"/>
  <c r="B57" i="43"/>
  <c r="F66" i="32"/>
  <c r="B66" i="32"/>
  <c r="F122" i="18"/>
  <c r="B122" i="18"/>
  <c r="F121" i="18"/>
  <c r="F144" i="18" s="1"/>
  <c r="B121" i="18"/>
  <c r="F79" i="18"/>
  <c r="F80" i="18"/>
  <c r="B80" i="18"/>
  <c r="B79" i="18"/>
  <c r="F78" i="18"/>
  <c r="B78" i="18"/>
  <c r="F62" i="43"/>
  <c r="B62" i="43"/>
  <c r="B61" i="43"/>
  <c r="E76" i="43"/>
  <c r="E261" i="28"/>
  <c r="F60" i="50"/>
  <c r="E278" i="48"/>
  <c r="E272" i="48"/>
  <c r="E269" i="48"/>
  <c r="E263" i="48"/>
  <c r="E259" i="48"/>
  <c r="H258" i="48"/>
  <c r="H257" i="48"/>
  <c r="E235" i="48"/>
  <c r="E229" i="48"/>
  <c r="E226" i="48"/>
  <c r="E220" i="48"/>
  <c r="E216" i="48"/>
  <c r="H215" i="48"/>
  <c r="H214" i="48"/>
  <c r="F144" i="48"/>
  <c r="F145" i="48" s="1"/>
  <c r="F146" i="48" s="1"/>
  <c r="F123" i="48"/>
  <c r="F124" i="48" s="1"/>
  <c r="E215" i="34"/>
  <c r="E209" i="34"/>
  <c r="E206" i="34"/>
  <c r="E200" i="34"/>
  <c r="E196" i="34"/>
  <c r="H195" i="34"/>
  <c r="H194" i="34"/>
  <c r="F78" i="34"/>
  <c r="F79" i="34" s="1"/>
  <c r="F80" i="34" s="1"/>
  <c r="E157" i="34"/>
  <c r="E172" i="34"/>
  <c r="E166" i="34"/>
  <c r="E163" i="34"/>
  <c r="E153" i="34"/>
  <c r="F36" i="43"/>
  <c r="F37" i="43" s="1"/>
  <c r="F38" i="43" s="1"/>
  <c r="D248" i="28"/>
  <c r="F102" i="48" s="1"/>
  <c r="F103" i="48" s="1"/>
  <c r="C241" i="28"/>
  <c r="F35" i="44" s="1"/>
  <c r="F39" i="44" s="1"/>
  <c r="F43" i="44" s="1"/>
  <c r="D213" i="28"/>
  <c r="C240" i="28" s="1"/>
  <c r="F35" i="43" s="1"/>
  <c r="F39" i="43" s="1"/>
  <c r="D191" i="28"/>
  <c r="E102" i="50"/>
  <c r="E96" i="50"/>
  <c r="E93" i="50"/>
  <c r="E87" i="50"/>
  <c r="E83" i="50"/>
  <c r="H82" i="50"/>
  <c r="H81" i="50"/>
  <c r="F62" i="50"/>
  <c r="E192" i="48"/>
  <c r="E186" i="48"/>
  <c r="E183" i="48"/>
  <c r="E177" i="48"/>
  <c r="E173" i="48"/>
  <c r="H172" i="48"/>
  <c r="H171" i="48"/>
  <c r="E88" i="44"/>
  <c r="E82" i="44"/>
  <c r="E79" i="44"/>
  <c r="E73" i="44"/>
  <c r="E69" i="44"/>
  <c r="H68" i="44"/>
  <c r="H67" i="44"/>
  <c r="F36" i="44"/>
  <c r="F37" i="44" s="1"/>
  <c r="E87" i="43"/>
  <c r="E81" i="43"/>
  <c r="E78" i="43"/>
  <c r="E68" i="43"/>
  <c r="H67" i="43"/>
  <c r="D107" i="28"/>
  <c r="D100" i="28"/>
  <c r="D93" i="28"/>
  <c r="D86" i="28"/>
  <c r="D79" i="28"/>
  <c r="I137" i="17" l="1"/>
  <c r="K228" i="53"/>
  <c r="J137" i="17"/>
  <c r="L228" i="53"/>
  <c r="K137" i="17"/>
  <c r="M228" i="53"/>
  <c r="L137" i="17"/>
  <c r="N228" i="53"/>
  <c r="D137" i="17"/>
  <c r="F228" i="53"/>
  <c r="O137" i="17"/>
  <c r="Q228" i="53"/>
  <c r="E137" i="17"/>
  <c r="H228" i="53"/>
  <c r="F137" i="17"/>
  <c r="G228" i="53"/>
  <c r="H137" i="17"/>
  <c r="J228" i="53"/>
  <c r="F89" i="44"/>
  <c r="F77" i="44"/>
  <c r="F76" i="44"/>
  <c r="F74" i="44"/>
  <c r="F90" i="44"/>
  <c r="F81" i="44"/>
  <c r="F71" i="44"/>
  <c r="F80" i="44"/>
  <c r="F70" i="44"/>
  <c r="F78" i="44"/>
  <c r="F75" i="44"/>
  <c r="F72" i="44"/>
  <c r="F211" i="34"/>
  <c r="F48" i="43"/>
  <c r="F43" i="43"/>
  <c r="F41" i="43"/>
  <c r="F125" i="48"/>
  <c r="F104" i="48"/>
  <c r="F38" i="44"/>
  <c r="F41" i="44"/>
  <c r="F76" i="32"/>
  <c r="F96" i="32"/>
  <c r="F95" i="32"/>
  <c r="F92" i="32"/>
  <c r="F91" i="32"/>
  <c r="F89" i="32"/>
  <c r="F87" i="32"/>
  <c r="F86" i="32"/>
  <c r="F78" i="32"/>
  <c r="F77" i="32"/>
  <c r="F84" i="32"/>
  <c r="F93" i="32"/>
  <c r="F82" i="32"/>
  <c r="F81" i="32"/>
  <c r="F83" i="32"/>
  <c r="F80" i="32"/>
  <c r="F90" i="32"/>
  <c r="F85" i="43"/>
  <c r="F83" i="43"/>
  <c r="F86" i="43"/>
  <c r="F86" i="44"/>
  <c r="F84" i="44"/>
  <c r="F87" i="44"/>
  <c r="F168" i="34"/>
  <c r="F124" i="34"/>
  <c r="F197" i="34"/>
  <c r="F214" i="34"/>
  <c r="F213" i="34"/>
  <c r="F174" i="34"/>
  <c r="F171" i="34"/>
  <c r="F170" i="34"/>
  <c r="F123" i="34"/>
  <c r="F127" i="34"/>
  <c r="F126" i="34"/>
  <c r="F149" i="18"/>
  <c r="F147" i="18"/>
  <c r="F146" i="18"/>
  <c r="F105" i="18"/>
  <c r="F104" i="18"/>
  <c r="F182" i="48"/>
  <c r="F102" i="18"/>
  <c r="E223" i="34"/>
  <c r="F268" i="48"/>
  <c r="F88" i="43"/>
  <c r="F223" i="48"/>
  <c r="F228" i="48"/>
  <c r="F232" i="48"/>
  <c r="F233" i="48"/>
  <c r="F234" i="48"/>
  <c r="F236" i="48"/>
  <c r="F235" i="48" s="1"/>
  <c r="F276" i="48"/>
  <c r="F216" i="34"/>
  <c r="F280" i="48"/>
  <c r="F217" i="34"/>
  <c r="F264" i="48"/>
  <c r="F201" i="34"/>
  <c r="F265" i="48"/>
  <c r="F266" i="48"/>
  <c r="F267" i="48"/>
  <c r="F222" i="48"/>
  <c r="F145" i="34"/>
  <c r="F260" i="48"/>
  <c r="F146" i="34"/>
  <c r="F261" i="48"/>
  <c r="F262" i="48"/>
  <c r="F270" i="48"/>
  <c r="F76" i="33"/>
  <c r="F217" i="48"/>
  <c r="F271" i="48"/>
  <c r="F218" i="48"/>
  <c r="F273" i="48"/>
  <c r="F219" i="48"/>
  <c r="F274" i="48"/>
  <c r="F189" i="34"/>
  <c r="F204" i="34" s="1"/>
  <c r="F227" i="48"/>
  <c r="F275" i="48"/>
  <c r="F212" i="34"/>
  <c r="F230" i="48"/>
  <c r="F277" i="48"/>
  <c r="F231" i="48"/>
  <c r="F174" i="48"/>
  <c r="F175" i="48"/>
  <c r="F176" i="48"/>
  <c r="F184" i="48"/>
  <c r="F185" i="48"/>
  <c r="F187" i="48"/>
  <c r="F188" i="48"/>
  <c r="F189" i="48"/>
  <c r="F190" i="48"/>
  <c r="F191" i="48"/>
  <c r="F193" i="48"/>
  <c r="F221" i="48"/>
  <c r="F194" i="48"/>
  <c r="F178" i="48"/>
  <c r="F224" i="48"/>
  <c r="F225" i="48"/>
  <c r="F179" i="48"/>
  <c r="F180" i="48"/>
  <c r="F181" i="48"/>
  <c r="E286" i="48"/>
  <c r="F98" i="50"/>
  <c r="F99" i="50"/>
  <c r="F100" i="50"/>
  <c r="F101" i="50"/>
  <c r="F103" i="50"/>
  <c r="F104" i="50"/>
  <c r="F84" i="50"/>
  <c r="F85" i="50"/>
  <c r="F86" i="50"/>
  <c r="F202" i="34"/>
  <c r="F88" i="50"/>
  <c r="F89" i="50"/>
  <c r="F90" i="50"/>
  <c r="F198" i="34"/>
  <c r="F91" i="50"/>
  <c r="F199" i="34"/>
  <c r="F92" i="50"/>
  <c r="F207" i="34"/>
  <c r="F94" i="50"/>
  <c r="F208" i="34"/>
  <c r="F95" i="50"/>
  <c r="F210" i="34"/>
  <c r="F203" i="34"/>
  <c r="F205" i="34"/>
  <c r="F61" i="33"/>
  <c r="F75" i="33" s="1"/>
  <c r="F156" i="34"/>
  <c r="F164" i="34"/>
  <c r="F165" i="34"/>
  <c r="F173" i="34"/>
  <c r="E180" i="34"/>
  <c r="F154" i="34"/>
  <c r="F155" i="34"/>
  <c r="F167" i="34"/>
  <c r="F169" i="34"/>
  <c r="F117" i="34"/>
  <c r="F158" i="34"/>
  <c r="F159" i="34"/>
  <c r="F160" i="34"/>
  <c r="F162" i="34"/>
  <c r="F110" i="34"/>
  <c r="F111" i="34"/>
  <c r="F112" i="34"/>
  <c r="F120" i="34"/>
  <c r="F121" i="34"/>
  <c r="F125" i="34"/>
  <c r="F129" i="34"/>
  <c r="F130" i="34"/>
  <c r="F114" i="34"/>
  <c r="F115" i="34"/>
  <c r="F116" i="34"/>
  <c r="F118" i="34"/>
  <c r="F72" i="33"/>
  <c r="F68" i="33"/>
  <c r="F69" i="33"/>
  <c r="F70" i="33"/>
  <c r="F78" i="33"/>
  <c r="F79" i="33"/>
  <c r="F81" i="33"/>
  <c r="F82" i="33"/>
  <c r="F83" i="33"/>
  <c r="F84" i="33"/>
  <c r="F85" i="33"/>
  <c r="F87" i="33"/>
  <c r="F88" i="33"/>
  <c r="F73" i="33"/>
  <c r="F74" i="33"/>
  <c r="F73" i="43"/>
  <c r="F76" i="43"/>
  <c r="F83" i="44"/>
  <c r="F85" i="44"/>
  <c r="F89" i="43"/>
  <c r="F74" i="43"/>
  <c r="F75" i="43"/>
  <c r="F77" i="43"/>
  <c r="F69" i="43"/>
  <c r="F70" i="43"/>
  <c r="F71" i="43"/>
  <c r="F79" i="43"/>
  <c r="F80" i="43"/>
  <c r="F82" i="43"/>
  <c r="F84" i="43"/>
  <c r="F134" i="18"/>
  <c r="F135" i="18"/>
  <c r="F136" i="18"/>
  <c r="F130" i="18"/>
  <c r="F137" i="18"/>
  <c r="F138" i="18"/>
  <c r="F131" i="18"/>
  <c r="F132" i="18"/>
  <c r="F140" i="18"/>
  <c r="F141" i="18"/>
  <c r="F150" i="18"/>
  <c r="F143" i="18"/>
  <c r="F145" i="18"/>
  <c r="F94" i="32"/>
  <c r="F99" i="18"/>
  <c r="F108" i="18"/>
  <c r="F98" i="18"/>
  <c r="F88" i="18"/>
  <c r="F89" i="18"/>
  <c r="F90" i="18"/>
  <c r="F101" i="18"/>
  <c r="F103" i="18"/>
  <c r="F107" i="18"/>
  <c r="F92" i="18"/>
  <c r="F93" i="18"/>
  <c r="F94" i="18"/>
  <c r="F95" i="18"/>
  <c r="F96" i="18"/>
  <c r="E72" i="43"/>
  <c r="E95" i="43" s="1"/>
  <c r="E243" i="48"/>
  <c r="E110" i="50"/>
  <c r="E200" i="48"/>
  <c r="E96" i="44"/>
  <c r="F48" i="44" l="1"/>
  <c r="F172" i="34"/>
  <c r="F215" i="34"/>
  <c r="F226" i="48"/>
  <c r="F263" i="48"/>
  <c r="F102" i="50"/>
  <c r="F96" i="50"/>
  <c r="F209" i="34"/>
  <c r="F161" i="34"/>
  <c r="F157" i="34" s="1"/>
  <c r="F272" i="48"/>
  <c r="F192" i="48"/>
  <c r="F216" i="48"/>
  <c r="F269" i="48"/>
  <c r="F163" i="34"/>
  <c r="F183" i="48"/>
  <c r="F259" i="48"/>
  <c r="F196" i="34"/>
  <c r="F229" i="48"/>
  <c r="F177" i="48"/>
  <c r="F77" i="33"/>
  <c r="F220" i="48"/>
  <c r="F278" i="48"/>
  <c r="F173" i="48"/>
  <c r="F186" i="48"/>
  <c r="F93" i="50"/>
  <c r="F87" i="50"/>
  <c r="F83" i="50"/>
  <c r="F206" i="34"/>
  <c r="F200" i="34"/>
  <c r="F166" i="34"/>
  <c r="F153" i="34"/>
  <c r="F113" i="34"/>
  <c r="F122" i="34"/>
  <c r="F128" i="34"/>
  <c r="F119" i="34"/>
  <c r="F109" i="34"/>
  <c r="F86" i="33"/>
  <c r="F67" i="33"/>
  <c r="F80" i="33"/>
  <c r="F71" i="33"/>
  <c r="F88" i="44"/>
  <c r="F82" i="44"/>
  <c r="F73" i="44"/>
  <c r="F79" i="44"/>
  <c r="F69" i="44"/>
  <c r="F75" i="32"/>
  <c r="F72" i="43"/>
  <c r="F81" i="43"/>
  <c r="F87" i="43" s="1"/>
  <c r="F68" i="43"/>
  <c r="F78" i="43"/>
  <c r="F142" i="18"/>
  <c r="F85" i="32"/>
  <c r="F139" i="18"/>
  <c r="F79" i="32"/>
  <c r="F133" i="18"/>
  <c r="F129" i="18"/>
  <c r="F88" i="32"/>
  <c r="F148" i="18"/>
  <c r="F91" i="18"/>
  <c r="F286" i="48" l="1"/>
  <c r="F243" i="48"/>
  <c r="F200" i="48"/>
  <c r="F110" i="50"/>
  <c r="F223" i="34"/>
  <c r="F180" i="34"/>
  <c r="F136" i="34"/>
  <c r="F94" i="33"/>
  <c r="F95" i="43"/>
  <c r="D160" i="28" l="1"/>
  <c r="D149" i="28"/>
  <c r="D138" i="28"/>
  <c r="D127" i="28"/>
  <c r="D164" i="28" l="1"/>
  <c r="D163" i="28"/>
  <c r="D162" i="28"/>
  <c r="D161" i="28"/>
  <c r="D153" i="28"/>
  <c r="D152" i="28"/>
  <c r="D151" i="28"/>
  <c r="D150" i="28"/>
  <c r="D142" i="28"/>
  <c r="D141" i="28"/>
  <c r="D140" i="28"/>
  <c r="D139" i="28"/>
  <c r="D131" i="28"/>
  <c r="D130" i="28"/>
  <c r="D129" i="28"/>
  <c r="D128" i="28"/>
  <c r="E75" i="32" l="1"/>
  <c r="E79" i="32"/>
  <c r="E85" i="32"/>
  <c r="E88" i="32"/>
  <c r="E94" i="32"/>
  <c r="E102" i="32" l="1"/>
  <c r="C28" i="7" l="1"/>
  <c r="C13" i="7"/>
  <c r="D12" i="7"/>
  <c r="D11" i="7"/>
  <c r="D13" i="7" l="1"/>
  <c r="E22" i="7"/>
  <c r="F22" i="7" s="1"/>
  <c r="E17" i="7"/>
  <c r="F9" i="7"/>
  <c r="F18" i="7"/>
  <c r="D78" i="7" s="1"/>
  <c r="F19" i="7"/>
  <c r="D77" i="7" s="1"/>
  <c r="F20" i="7"/>
  <c r="D79" i="7" s="1"/>
  <c r="F21" i="7"/>
  <c r="D80" i="7" s="1"/>
  <c r="F16" i="7"/>
  <c r="F17" i="7" s="1"/>
  <c r="C72" i="7" s="1"/>
  <c r="D40" i="7"/>
  <c r="C74" i="7" l="1"/>
  <c r="C73" i="7"/>
  <c r="D72" i="7" l="1"/>
  <c r="D62" i="7"/>
  <c r="D64" i="7" s="1"/>
  <c r="C34" i="7"/>
  <c r="C36" i="7" s="1"/>
  <c r="D32" i="7"/>
  <c r="D31" i="7"/>
  <c r="E29" i="7"/>
  <c r="D29" i="7"/>
  <c r="E28" i="7"/>
  <c r="D28" i="7"/>
  <c r="D74" i="7" l="1"/>
  <c r="D73" i="7"/>
  <c r="D81" i="7"/>
  <c r="D34" i="7"/>
  <c r="F73" i="7" l="1"/>
  <c r="D83" i="7"/>
  <c r="F83" i="7" s="1"/>
  <c r="D36" i="7"/>
  <c r="D66" i="7" s="1"/>
  <c r="F81" i="7"/>
  <c r="F86" i="7" l="1"/>
  <c r="F36" i="7"/>
  <c r="F62" i="7"/>
  <c r="F64" i="7"/>
  <c r="F91" i="7" l="1"/>
  <c r="F90" i="7"/>
  <c r="H152" i="34" l="1"/>
  <c r="H151" i="34"/>
  <c r="E128" i="34"/>
  <c r="E122" i="34"/>
  <c r="E119" i="34"/>
  <c r="E113" i="34"/>
  <c r="E109" i="34"/>
  <c r="H108" i="34"/>
  <c r="H107" i="34"/>
  <c r="E136" i="34" l="1"/>
  <c r="E86" i="33"/>
  <c r="E80" i="33"/>
  <c r="E77" i="33"/>
  <c r="E71" i="33"/>
  <c r="E67" i="33"/>
  <c r="H66" i="33"/>
  <c r="H65" i="33"/>
  <c r="E94" i="33" l="1"/>
  <c r="E148" i="18"/>
  <c r="E142" i="18"/>
  <c r="E139" i="18"/>
  <c r="E133" i="18"/>
  <c r="E129" i="18"/>
  <c r="E106" i="18"/>
  <c r="E91" i="18"/>
  <c r="E87" i="18"/>
  <c r="E100" i="18"/>
  <c r="E97" i="18"/>
  <c r="F58" i="34"/>
  <c r="F59" i="34" s="1"/>
  <c r="F38" i="34"/>
  <c r="F39" i="34" s="1"/>
  <c r="F36" i="33"/>
  <c r="F37" i="33" s="1"/>
  <c r="F60" i="34" l="1"/>
  <c r="F40" i="34"/>
  <c r="F38" i="33"/>
  <c r="F56" i="18"/>
  <c r="F57" i="18" s="1"/>
  <c r="F41" i="32"/>
  <c r="F42" i="32" s="1"/>
  <c r="E156" i="18"/>
  <c r="E114" i="18"/>
  <c r="D179" i="28"/>
  <c r="F43" i="32" l="1"/>
  <c r="F58" i="18"/>
  <c r="F106" i="18"/>
  <c r="F97" i="18"/>
  <c r="F36" i="18"/>
  <c r="F37" i="18" s="1"/>
  <c r="F38" i="18" s="1"/>
  <c r="D211" i="28"/>
  <c r="C238" i="28" s="1"/>
  <c r="F100" i="18" l="1"/>
  <c r="F87" i="18"/>
  <c r="F55" i="18"/>
  <c r="F59" i="18" s="1"/>
  <c r="F63" i="18" l="1"/>
  <c r="F61" i="18"/>
  <c r="F68" i="18"/>
  <c r="F114" i="18"/>
  <c r="B11" i="17"/>
  <c r="B8" i="17"/>
  <c r="B9" i="17"/>
  <c r="B10" i="17"/>
  <c r="B7" i="17"/>
  <c r="D182" i="28"/>
  <c r="D168" i="28"/>
  <c r="D116" i="28"/>
  <c r="D66" i="28"/>
  <c r="D54" i="28"/>
  <c r="D58" i="28" s="1"/>
  <c r="D43" i="28"/>
  <c r="D47" i="28" s="1"/>
  <c r="D32" i="28"/>
  <c r="D36" i="28" s="1"/>
  <c r="D21" i="28"/>
  <c r="D25" i="28" s="1"/>
  <c r="D178" i="28" l="1"/>
  <c r="D70" i="28"/>
  <c r="D174" i="28" s="1"/>
  <c r="D117" i="28"/>
  <c r="D185" i="28" s="1"/>
  <c r="D118" i="28"/>
  <c r="D186" i="28" s="1"/>
  <c r="D119" i="28"/>
  <c r="D187" i="28" s="1"/>
  <c r="D120" i="28"/>
  <c r="D188" i="28" s="1"/>
  <c r="F60" i="18"/>
  <c r="D170" i="28"/>
  <c r="D223" i="28" s="1"/>
  <c r="C250" i="28" s="1"/>
  <c r="F143" i="48" s="1"/>
  <c r="F147" i="48" s="1"/>
  <c r="D184" i="28"/>
  <c r="D55" i="28"/>
  <c r="D35" i="28"/>
  <c r="D68" i="28"/>
  <c r="D44" i="28"/>
  <c r="D56" i="28"/>
  <c r="D46" i="28"/>
  <c r="D22" i="28"/>
  <c r="D45" i="28"/>
  <c r="D24" i="28"/>
  <c r="D34" i="28"/>
  <c r="D23" i="28"/>
  <c r="D57" i="28"/>
  <c r="D33" i="28"/>
  <c r="D67" i="28"/>
  <c r="D69" i="28"/>
  <c r="F151" i="48" l="1"/>
  <c r="F156" i="48"/>
  <c r="F149" i="48"/>
  <c r="F148" i="48"/>
  <c r="F64" i="18"/>
  <c r="F62" i="18"/>
  <c r="F69" i="18"/>
  <c r="D219" i="28"/>
  <c r="C246" i="28" s="1"/>
  <c r="F77" i="34" s="1"/>
  <c r="D169" i="28"/>
  <c r="D220" i="28"/>
  <c r="C247" i="28" s="1"/>
  <c r="F59" i="50" s="1"/>
  <c r="F63" i="50" s="1"/>
  <c r="D206" i="28"/>
  <c r="D183" i="28"/>
  <c r="D212" i="28"/>
  <c r="C239" i="28" s="1"/>
  <c r="D172" i="28"/>
  <c r="D217" i="28" s="1"/>
  <c r="D173" i="28"/>
  <c r="D218" i="28" s="1"/>
  <c r="D171" i="28"/>
  <c r="D222" i="28" s="1"/>
  <c r="C249" i="28" s="1"/>
  <c r="F122" i="48" s="1"/>
  <c r="F126" i="48" s="1"/>
  <c r="F65" i="50" l="1"/>
  <c r="F67" i="50"/>
  <c r="F152" i="48"/>
  <c r="F150" i="48"/>
  <c r="F153" i="48" s="1"/>
  <c r="F154" i="48" s="1"/>
  <c r="E250" i="28" s="1"/>
  <c r="F157" i="48"/>
  <c r="F158" i="48" s="1"/>
  <c r="F159" i="48" s="1"/>
  <c r="F250" i="28" s="1"/>
  <c r="F130" i="48"/>
  <c r="F128" i="48"/>
  <c r="F135" i="48"/>
  <c r="F81" i="34"/>
  <c r="D210" i="28"/>
  <c r="D216" i="28"/>
  <c r="C243" i="28" s="1"/>
  <c r="F35" i="33" s="1"/>
  <c r="F39" i="33" s="1"/>
  <c r="C244" i="28"/>
  <c r="C245" i="28"/>
  <c r="F40" i="32"/>
  <c r="F44" i="32" s="1"/>
  <c r="I250" i="28" l="1"/>
  <c r="G268" i="48" s="1"/>
  <c r="H268" i="48" s="1"/>
  <c r="F43" i="33"/>
  <c r="F41" i="33"/>
  <c r="F48" i="33"/>
  <c r="F48" i="32"/>
  <c r="F46" i="32"/>
  <c r="F53" i="32"/>
  <c r="F83" i="34"/>
  <c r="F85" i="34"/>
  <c r="F90" i="34"/>
  <c r="F82" i="34"/>
  <c r="F65" i="18"/>
  <c r="F66" i="18" s="1"/>
  <c r="F127" i="48"/>
  <c r="F57" i="34"/>
  <c r="F61" i="34" s="1"/>
  <c r="D221" i="28"/>
  <c r="C248" i="28" s="1"/>
  <c r="F101" i="48" s="1"/>
  <c r="F105" i="48" s="1"/>
  <c r="C237" i="28"/>
  <c r="F35" i="18" s="1"/>
  <c r="F39" i="18" s="1"/>
  <c r="F48" i="18" s="1"/>
  <c r="F70" i="18"/>
  <c r="F71" i="18" s="1"/>
  <c r="F37" i="34"/>
  <c r="F41" i="34" s="1"/>
  <c r="J250" i="28" l="1"/>
  <c r="G267" i="48"/>
  <c r="G264" i="48"/>
  <c r="H264" i="48" s="1"/>
  <c r="G262" i="48"/>
  <c r="H262" i="48" s="1"/>
  <c r="G275" i="48"/>
  <c r="H275" i="48" s="1"/>
  <c r="G279" i="48"/>
  <c r="H279" i="48" s="1"/>
  <c r="G271" i="48"/>
  <c r="H271" i="48" s="1"/>
  <c r="G270" i="48"/>
  <c r="H270" i="48" s="1"/>
  <c r="G273" i="48"/>
  <c r="H273" i="48" s="1"/>
  <c r="G276" i="48"/>
  <c r="H276" i="48" s="1"/>
  <c r="G265" i="48"/>
  <c r="H53" i="17" s="1"/>
  <c r="I53" i="17" s="1"/>
  <c r="G274" i="48"/>
  <c r="H274" i="48" s="1"/>
  <c r="G261" i="48"/>
  <c r="H261" i="48" s="1"/>
  <c r="G277" i="48"/>
  <c r="H277" i="48" s="1"/>
  <c r="G280" i="48"/>
  <c r="H280" i="48" s="1"/>
  <c r="G260" i="48"/>
  <c r="H260" i="48" s="1"/>
  <c r="G266" i="48"/>
  <c r="H266" i="48" s="1"/>
  <c r="H39" i="17"/>
  <c r="O125" i="17" s="1"/>
  <c r="H265" i="48"/>
  <c r="F109" i="48"/>
  <c r="F107" i="48"/>
  <c r="F114" i="48"/>
  <c r="F131" i="48"/>
  <c r="F129" i="48"/>
  <c r="F136" i="48"/>
  <c r="F45" i="34"/>
  <c r="F43" i="34"/>
  <c r="F50" i="34"/>
  <c r="F65" i="34"/>
  <c r="F63" i="34"/>
  <c r="F70" i="34"/>
  <c r="F84" i="34"/>
  <c r="F91" i="34"/>
  <c r="F86" i="34"/>
  <c r="F43" i="18"/>
  <c r="F41" i="18"/>
  <c r="F106" i="48"/>
  <c r="F40" i="44"/>
  <c r="F40" i="43"/>
  <c r="F64" i="50"/>
  <c r="F62" i="34"/>
  <c r="F42" i="34"/>
  <c r="F45" i="32"/>
  <c r="E238" i="28"/>
  <c r="F238" i="28"/>
  <c r="O126" i="17" l="1"/>
  <c r="O139" i="17" s="1"/>
  <c r="G263" i="48"/>
  <c r="H259" i="48"/>
  <c r="H269" i="48"/>
  <c r="G272" i="48"/>
  <c r="I39" i="17"/>
  <c r="G269" i="48"/>
  <c r="H267" i="48"/>
  <c r="H263" i="48" s="1"/>
  <c r="H70" i="17"/>
  <c r="H272" i="48"/>
  <c r="H109" i="17"/>
  <c r="H278" i="48"/>
  <c r="G259" i="48"/>
  <c r="G278" i="48"/>
  <c r="F49" i="43"/>
  <c r="F44" i="43"/>
  <c r="F42" i="43"/>
  <c r="F44" i="44"/>
  <c r="F42" i="44"/>
  <c r="F49" i="44"/>
  <c r="O138" i="17"/>
  <c r="F68" i="50"/>
  <c r="F66" i="50"/>
  <c r="F92" i="34"/>
  <c r="F93" i="34" s="1"/>
  <c r="F246" i="28" s="1"/>
  <c r="F87" i="34"/>
  <c r="F88" i="34" s="1"/>
  <c r="E246" i="28" s="1"/>
  <c r="F110" i="48"/>
  <c r="F108" i="48"/>
  <c r="F115" i="48"/>
  <c r="F66" i="34"/>
  <c r="F64" i="34"/>
  <c r="F71" i="34"/>
  <c r="F49" i="32"/>
  <c r="F47" i="32"/>
  <c r="F54" i="32"/>
  <c r="F46" i="34"/>
  <c r="F44" i="34"/>
  <c r="F51" i="34"/>
  <c r="I238" i="28"/>
  <c r="J238" i="28" s="1"/>
  <c r="F137" i="48"/>
  <c r="F138" i="48" s="1"/>
  <c r="F249" i="28" s="1"/>
  <c r="F132" i="48"/>
  <c r="F40" i="18"/>
  <c r="F49" i="18" s="1"/>
  <c r="F40" i="33"/>
  <c r="H286" i="48" l="1"/>
  <c r="H288" i="48" s="1"/>
  <c r="I70" i="17"/>
  <c r="O128" i="17"/>
  <c r="O141" i="17" s="1"/>
  <c r="G286" i="48"/>
  <c r="I109" i="17"/>
  <c r="O130" i="17"/>
  <c r="I246" i="28"/>
  <c r="G212" i="34" s="1"/>
  <c r="F44" i="33"/>
  <c r="F42" i="33"/>
  <c r="F49" i="33"/>
  <c r="F44" i="18"/>
  <c r="F42" i="18"/>
  <c r="F69" i="50"/>
  <c r="F70" i="50" s="1"/>
  <c r="F247" i="28" s="1"/>
  <c r="I247" i="28" s="1"/>
  <c r="J247" i="28" s="1"/>
  <c r="F133" i="48"/>
  <c r="E249" i="28" s="1"/>
  <c r="I249" i="28" s="1"/>
  <c r="J249" i="28" s="1"/>
  <c r="G149" i="18"/>
  <c r="H149" i="18" s="1"/>
  <c r="G137" i="18"/>
  <c r="G145" i="18"/>
  <c r="H145" i="18" s="1"/>
  <c r="G140" i="18"/>
  <c r="H140" i="18" s="1"/>
  <c r="G150" i="18"/>
  <c r="H150" i="18" s="1"/>
  <c r="G134" i="18"/>
  <c r="G135" i="18"/>
  <c r="G146" i="18"/>
  <c r="G130" i="18"/>
  <c r="H130" i="18" s="1"/>
  <c r="G141" i="18"/>
  <c r="H141" i="18" s="1"/>
  <c r="G132" i="18"/>
  <c r="H132" i="18" s="1"/>
  <c r="G144" i="18"/>
  <c r="G147" i="18"/>
  <c r="H147" i="18" s="1"/>
  <c r="G138" i="18"/>
  <c r="G131" i="18"/>
  <c r="H131" i="18" s="1"/>
  <c r="G136" i="18"/>
  <c r="H136" i="18" s="1"/>
  <c r="G143" i="18"/>
  <c r="H143" i="18" s="1"/>
  <c r="F111" i="48"/>
  <c r="F116" i="48"/>
  <c r="F45" i="43"/>
  <c r="F46" i="43" s="1"/>
  <c r="F50" i="43"/>
  <c r="F51" i="43" s="1"/>
  <c r="F45" i="44"/>
  <c r="F50" i="44"/>
  <c r="F67" i="34"/>
  <c r="F68" i="34" s="1"/>
  <c r="F55" i="32"/>
  <c r="F56" i="32" s="1"/>
  <c r="F47" i="34"/>
  <c r="F48" i="34" s="1"/>
  <c r="F50" i="32"/>
  <c r="F51" i="32" s="1"/>
  <c r="F72" i="34"/>
  <c r="F73" i="34" s="1"/>
  <c r="F52" i="34"/>
  <c r="F53" i="34" s="1"/>
  <c r="K250" i="28" l="1"/>
  <c r="H287" i="48"/>
  <c r="O143" i="17"/>
  <c r="O144" i="17" s="1"/>
  <c r="O147" i="17" s="1"/>
  <c r="O131" i="17"/>
  <c r="O133" i="17" s="1"/>
  <c r="G217" i="34"/>
  <c r="G214" i="34"/>
  <c r="G211" i="34"/>
  <c r="H93" i="17" s="1"/>
  <c r="I93" i="17" s="1"/>
  <c r="G197" i="34"/>
  <c r="G216" i="34"/>
  <c r="G207" i="34"/>
  <c r="G213" i="34"/>
  <c r="H105" i="17" s="1"/>
  <c r="K130" i="17" s="1"/>
  <c r="K143" i="17" s="1"/>
  <c r="G199" i="34"/>
  <c r="G201" i="34"/>
  <c r="H35" i="17" s="1"/>
  <c r="K125" i="17" s="1"/>
  <c r="K138" i="17" s="1"/>
  <c r="G210" i="34"/>
  <c r="G202" i="34"/>
  <c r="H49" i="17" s="1"/>
  <c r="K126" i="17" s="1"/>
  <c r="K139" i="17" s="1"/>
  <c r="G205" i="34"/>
  <c r="H80" i="17" s="1"/>
  <c r="G198" i="34"/>
  <c r="G203" i="34"/>
  <c r="J246" i="28"/>
  <c r="G204" i="34"/>
  <c r="H66" i="17" s="1"/>
  <c r="G208" i="34"/>
  <c r="H144" i="18"/>
  <c r="H89" i="17"/>
  <c r="G237" i="48"/>
  <c r="H237" i="48" s="1"/>
  <c r="G236" i="48"/>
  <c r="G234" i="48"/>
  <c r="H234" i="48" s="1"/>
  <c r="G233" i="48"/>
  <c r="G232" i="48"/>
  <c r="H232" i="48" s="1"/>
  <c r="G231" i="48"/>
  <c r="H231" i="48" s="1"/>
  <c r="G230" i="48"/>
  <c r="H230" i="48" s="1"/>
  <c r="G228" i="48"/>
  <c r="H228" i="48" s="1"/>
  <c r="G227" i="48"/>
  <c r="G225" i="48"/>
  <c r="H225" i="48" s="1"/>
  <c r="G224" i="48"/>
  <c r="H69" i="17" s="1"/>
  <c r="G223" i="48"/>
  <c r="H223" i="48" s="1"/>
  <c r="G222" i="48"/>
  <c r="H52" i="17" s="1"/>
  <c r="G221" i="48"/>
  <c r="G219" i="48"/>
  <c r="H219" i="48" s="1"/>
  <c r="G218" i="48"/>
  <c r="H218" i="48" s="1"/>
  <c r="G217" i="48"/>
  <c r="H217" i="48" s="1"/>
  <c r="F112" i="48"/>
  <c r="E248" i="28" s="1"/>
  <c r="F117" i="48"/>
  <c r="F248" i="28" s="1"/>
  <c r="G98" i="50"/>
  <c r="G100" i="50"/>
  <c r="G91" i="50"/>
  <c r="H67" i="17" s="1"/>
  <c r="G90" i="50"/>
  <c r="G94" i="50"/>
  <c r="G99" i="50"/>
  <c r="G92" i="50"/>
  <c r="G86" i="50"/>
  <c r="G95" i="50"/>
  <c r="G97" i="50"/>
  <c r="G101" i="50"/>
  <c r="H106" i="17" s="1"/>
  <c r="G104" i="50"/>
  <c r="G85" i="50"/>
  <c r="G88" i="50"/>
  <c r="H36" i="17" s="1"/>
  <c r="G103" i="50"/>
  <c r="G89" i="50"/>
  <c r="H50" i="17" s="1"/>
  <c r="G84" i="50"/>
  <c r="F51" i="44"/>
  <c r="F241" i="28" s="1"/>
  <c r="F46" i="44"/>
  <c r="E241" i="28" s="1"/>
  <c r="F240" i="28"/>
  <c r="E240" i="28"/>
  <c r="F245" i="28"/>
  <c r="F244" i="28"/>
  <c r="E244" i="28"/>
  <c r="E245" i="28"/>
  <c r="E239" i="28"/>
  <c r="F239" i="28"/>
  <c r="F45" i="33"/>
  <c r="F46" i="33" s="1"/>
  <c r="H138" i="18"/>
  <c r="H75" i="17"/>
  <c r="E129" i="17" s="1"/>
  <c r="E142" i="17" s="1"/>
  <c r="F45" i="18"/>
  <c r="F46" i="18" s="1"/>
  <c r="F50" i="33"/>
  <c r="F51" i="33" s="1"/>
  <c r="H100" i="17"/>
  <c r="E130" i="17" s="1"/>
  <c r="E143" i="17" s="1"/>
  <c r="H44" i="17"/>
  <c r="E126" i="17" s="1"/>
  <c r="E139" i="17" s="1"/>
  <c r="H134" i="18"/>
  <c r="F50" i="18"/>
  <c r="F51" i="18" s="1"/>
  <c r="H61" i="17"/>
  <c r="E128" i="17" s="1"/>
  <c r="E141" i="17" s="1"/>
  <c r="H139" i="18"/>
  <c r="H146" i="18"/>
  <c r="H135" i="18"/>
  <c r="G148" i="18"/>
  <c r="G133" i="18"/>
  <c r="H137" i="18"/>
  <c r="H148" i="18"/>
  <c r="H129" i="18"/>
  <c r="G129" i="18"/>
  <c r="G139" i="18"/>
  <c r="H30" i="17"/>
  <c r="E125" i="17" s="1"/>
  <c r="G142" i="18"/>
  <c r="I105" i="17" l="1"/>
  <c r="K132" i="17"/>
  <c r="K146" i="17" s="1"/>
  <c r="I35" i="17"/>
  <c r="I49" i="17"/>
  <c r="K128" i="17"/>
  <c r="I66" i="17"/>
  <c r="K129" i="17"/>
  <c r="K142" i="17" s="1"/>
  <c r="I80" i="17"/>
  <c r="H142" i="18"/>
  <c r="E138" i="17"/>
  <c r="E131" i="17"/>
  <c r="I89" i="17"/>
  <c r="C149" i="53" s="1"/>
  <c r="E132" i="17"/>
  <c r="E146" i="17" s="1"/>
  <c r="I241" i="28"/>
  <c r="J241" i="28" s="1"/>
  <c r="I240" i="28"/>
  <c r="J240" i="28" s="1"/>
  <c r="I239" i="28"/>
  <c r="J239" i="28" s="1"/>
  <c r="I245" i="28"/>
  <c r="J245" i="28" s="1"/>
  <c r="I244" i="28"/>
  <c r="J244" i="28" s="1"/>
  <c r="I248" i="28"/>
  <c r="J248" i="28" s="1"/>
  <c r="L128" i="17"/>
  <c r="L141" i="17" s="1"/>
  <c r="I67" i="17"/>
  <c r="L130" i="17"/>
  <c r="L143" i="17" s="1"/>
  <c r="I106" i="17"/>
  <c r="N126" i="17"/>
  <c r="N139" i="17" s="1"/>
  <c r="I52" i="17"/>
  <c r="L126" i="17"/>
  <c r="L139" i="17" s="1"/>
  <c r="I50" i="17"/>
  <c r="N128" i="17"/>
  <c r="N141" i="17" s="1"/>
  <c r="I69" i="17"/>
  <c r="L125" i="17"/>
  <c r="I36" i="17"/>
  <c r="G235" i="48"/>
  <c r="H224" i="48"/>
  <c r="H222" i="48"/>
  <c r="H221" i="48"/>
  <c r="H38" i="17"/>
  <c r="H233" i="48"/>
  <c r="H229" i="48" s="1"/>
  <c r="H108" i="17"/>
  <c r="I108" i="17" s="1"/>
  <c r="G226" i="48"/>
  <c r="H236" i="48"/>
  <c r="H235" i="48" s="1"/>
  <c r="H216" i="48"/>
  <c r="G220" i="48"/>
  <c r="H227" i="48"/>
  <c r="H226" i="48" s="1"/>
  <c r="G229" i="48"/>
  <c r="G216" i="48"/>
  <c r="H205" i="34"/>
  <c r="H204" i="34"/>
  <c r="H214" i="34"/>
  <c r="H203" i="34"/>
  <c r="H213" i="34"/>
  <c r="H202" i="34"/>
  <c r="H212" i="34"/>
  <c r="H211" i="34"/>
  <c r="H199" i="34"/>
  <c r="H198" i="34"/>
  <c r="H208" i="34"/>
  <c r="H217" i="34"/>
  <c r="F243" i="28"/>
  <c r="E243" i="28"/>
  <c r="F237" i="28"/>
  <c r="E237" i="28"/>
  <c r="I100" i="17"/>
  <c r="C175" i="53" s="1"/>
  <c r="H234" i="53" s="1"/>
  <c r="I75" i="17"/>
  <c r="C116" i="53" s="1"/>
  <c r="H233" i="53" s="1"/>
  <c r="I44" i="17"/>
  <c r="C64" i="53" s="1"/>
  <c r="H230" i="53" s="1"/>
  <c r="I30" i="17"/>
  <c r="C46" i="53" s="1"/>
  <c r="H229" i="53" s="1"/>
  <c r="I61" i="17"/>
  <c r="C92" i="53" s="1"/>
  <c r="H232" i="53" s="1"/>
  <c r="H133" i="18"/>
  <c r="H156" i="18" s="1"/>
  <c r="K238" i="28" s="1"/>
  <c r="G156" i="18"/>
  <c r="J238" i="53" l="1"/>
  <c r="H237" i="53"/>
  <c r="H235" i="53"/>
  <c r="E144" i="17"/>
  <c r="E147" i="17" s="1"/>
  <c r="L138" i="17"/>
  <c r="L144" i="17" s="1"/>
  <c r="L147" i="17" s="1"/>
  <c r="L131" i="17"/>
  <c r="L133" i="17" s="1"/>
  <c r="K141" i="17"/>
  <c r="K131" i="17"/>
  <c r="K133" i="17" s="1"/>
  <c r="E133" i="17"/>
  <c r="G85" i="44"/>
  <c r="H85" i="44" s="1"/>
  <c r="I237" i="28"/>
  <c r="J237" i="28" s="1"/>
  <c r="I243" i="28"/>
  <c r="J243" i="28" s="1"/>
  <c r="N125" i="17"/>
  <c r="I38" i="17"/>
  <c r="G243" i="48"/>
  <c r="H220" i="48"/>
  <c r="H243" i="48" s="1"/>
  <c r="N130" i="17"/>
  <c r="N143" i="17" s="1"/>
  <c r="G83" i="44"/>
  <c r="H83" i="44" s="1"/>
  <c r="G90" i="44"/>
  <c r="H90" i="44" s="1"/>
  <c r="G76" i="44"/>
  <c r="H76" i="44" s="1"/>
  <c r="G81" i="44"/>
  <c r="H81" i="44" s="1"/>
  <c r="G89" i="44"/>
  <c r="H89" i="44" s="1"/>
  <c r="G87" i="44"/>
  <c r="H87" i="44" s="1"/>
  <c r="G75" i="44"/>
  <c r="G78" i="44"/>
  <c r="G86" i="44"/>
  <c r="H86" i="44" s="1"/>
  <c r="G77" i="44"/>
  <c r="G194" i="48"/>
  <c r="H194" i="48" s="1"/>
  <c r="G193" i="48"/>
  <c r="H193" i="48" s="1"/>
  <c r="G191" i="48"/>
  <c r="H191" i="48" s="1"/>
  <c r="G190" i="48"/>
  <c r="G189" i="48"/>
  <c r="H189" i="48" s="1"/>
  <c r="G188" i="48"/>
  <c r="H188" i="48" s="1"/>
  <c r="G187" i="48"/>
  <c r="H187" i="48" s="1"/>
  <c r="G185" i="48"/>
  <c r="H185" i="48" s="1"/>
  <c r="G184" i="48"/>
  <c r="H184" i="48" s="1"/>
  <c r="G182" i="48"/>
  <c r="H182" i="48" s="1"/>
  <c r="G181" i="48"/>
  <c r="G180" i="48"/>
  <c r="H180" i="48" s="1"/>
  <c r="G179" i="48"/>
  <c r="G178" i="48"/>
  <c r="G176" i="48"/>
  <c r="H176" i="48" s="1"/>
  <c r="G175" i="48"/>
  <c r="H175" i="48" s="1"/>
  <c r="G174" i="48"/>
  <c r="H174" i="48" s="1"/>
  <c r="G70" i="44"/>
  <c r="G72" i="44"/>
  <c r="G74" i="44"/>
  <c r="G84" i="44"/>
  <c r="H84" i="44" s="1"/>
  <c r="G80" i="44"/>
  <c r="H80" i="44" s="1"/>
  <c r="G71" i="44"/>
  <c r="H71" i="44" s="1"/>
  <c r="G174" i="34"/>
  <c r="H174" i="34" s="1"/>
  <c r="G171" i="34"/>
  <c r="H171" i="34" s="1"/>
  <c r="G156" i="34"/>
  <c r="H156" i="34" s="1"/>
  <c r="G165" i="34"/>
  <c r="H165" i="34" s="1"/>
  <c r="G173" i="34"/>
  <c r="H173" i="34" s="1"/>
  <c r="G164" i="34"/>
  <c r="H164" i="34" s="1"/>
  <c r="G162" i="34"/>
  <c r="H79" i="17" s="1"/>
  <c r="J129" i="17" s="1"/>
  <c r="J142" i="17" s="1"/>
  <c r="G170" i="34"/>
  <c r="H104" i="17" s="1"/>
  <c r="J130" i="17" s="1"/>
  <c r="J143" i="17" s="1"/>
  <c r="G168" i="34"/>
  <c r="G158" i="34"/>
  <c r="H34" i="17" s="1"/>
  <c r="G167" i="34"/>
  <c r="H167" i="34" s="1"/>
  <c r="G159" i="34"/>
  <c r="H48" i="17" s="1"/>
  <c r="G169" i="34"/>
  <c r="H169" i="34" s="1"/>
  <c r="G161" i="34"/>
  <c r="H65" i="17" s="1"/>
  <c r="G154" i="34"/>
  <c r="H154" i="34" s="1"/>
  <c r="G160" i="34"/>
  <c r="H160" i="34" s="1"/>
  <c r="G155" i="34"/>
  <c r="H155" i="34" s="1"/>
  <c r="G117" i="34"/>
  <c r="H117" i="34" s="1"/>
  <c r="G118" i="34"/>
  <c r="H78" i="17" s="1"/>
  <c r="I129" i="17" s="1"/>
  <c r="I142" i="17" s="1"/>
  <c r="G114" i="34"/>
  <c r="H33" i="17" s="1"/>
  <c r="G126" i="34"/>
  <c r="H126" i="34" s="1"/>
  <c r="G125" i="34"/>
  <c r="H125" i="34" s="1"/>
  <c r="G112" i="34"/>
  <c r="H112" i="34" s="1"/>
  <c r="G124" i="34"/>
  <c r="G111" i="34"/>
  <c r="H111" i="34" s="1"/>
  <c r="G116" i="34"/>
  <c r="H116" i="34" s="1"/>
  <c r="G123" i="34"/>
  <c r="H123" i="34" s="1"/>
  <c r="G130" i="34"/>
  <c r="H130" i="34" s="1"/>
  <c r="G127" i="34"/>
  <c r="H127" i="34" s="1"/>
  <c r="G129" i="34"/>
  <c r="H129" i="34" s="1"/>
  <c r="G120" i="34"/>
  <c r="H120" i="34" s="1"/>
  <c r="G121" i="34"/>
  <c r="H121" i="34" s="1"/>
  <c r="G115" i="34"/>
  <c r="H47" i="17" s="1"/>
  <c r="G110" i="34"/>
  <c r="H110" i="34" s="1"/>
  <c r="G88" i="43"/>
  <c r="H88" i="43" s="1"/>
  <c r="G89" i="43"/>
  <c r="H89" i="43" s="1"/>
  <c r="G74" i="43"/>
  <c r="H74" i="43" s="1"/>
  <c r="G75" i="43"/>
  <c r="H75" i="43" s="1"/>
  <c r="G76" i="43"/>
  <c r="H76" i="43" s="1"/>
  <c r="G73" i="43"/>
  <c r="H73" i="43" s="1"/>
  <c r="G77" i="43"/>
  <c r="H77" i="43" s="1"/>
  <c r="G84" i="43"/>
  <c r="H84" i="43" s="1"/>
  <c r="G82" i="43"/>
  <c r="G86" i="43"/>
  <c r="H86" i="43" s="1"/>
  <c r="G83" i="43"/>
  <c r="G85" i="43"/>
  <c r="H85" i="43" s="1"/>
  <c r="G80" i="43"/>
  <c r="H80" i="43" s="1"/>
  <c r="G71" i="43"/>
  <c r="H71" i="43" s="1"/>
  <c r="G70" i="43"/>
  <c r="H70" i="43" s="1"/>
  <c r="G69" i="43"/>
  <c r="H69" i="43" s="1"/>
  <c r="G79" i="43"/>
  <c r="H79" i="43" s="1"/>
  <c r="G96" i="32"/>
  <c r="H96" i="32" s="1"/>
  <c r="G95" i="32"/>
  <c r="H95" i="32" s="1"/>
  <c r="G93" i="32"/>
  <c r="H93" i="32" s="1"/>
  <c r="G92" i="32"/>
  <c r="G91" i="32"/>
  <c r="H91" i="32" s="1"/>
  <c r="G90" i="32"/>
  <c r="H90" i="17" s="1"/>
  <c r="I90" i="17" s="1"/>
  <c r="C150" i="53" s="1"/>
  <c r="G89" i="32"/>
  <c r="H89" i="32" s="1"/>
  <c r="G87" i="32"/>
  <c r="G86" i="32"/>
  <c r="G84" i="32"/>
  <c r="G83" i="32"/>
  <c r="G82" i="32"/>
  <c r="H82" i="32" s="1"/>
  <c r="G81" i="32"/>
  <c r="G80" i="32"/>
  <c r="G78" i="32"/>
  <c r="G77" i="32"/>
  <c r="G76" i="32"/>
  <c r="H207" i="34"/>
  <c r="H206" i="34" s="1"/>
  <c r="G206" i="34"/>
  <c r="H210" i="34"/>
  <c r="H209" i="34" s="1"/>
  <c r="G209" i="34"/>
  <c r="G215" i="34"/>
  <c r="H216" i="34"/>
  <c r="H215" i="34" s="1"/>
  <c r="H201" i="34"/>
  <c r="H200" i="34" s="1"/>
  <c r="G200" i="34"/>
  <c r="G196" i="34"/>
  <c r="H197" i="34"/>
  <c r="H196" i="34" s="1"/>
  <c r="H157" i="18"/>
  <c r="H158" i="18"/>
  <c r="H238" i="53" l="1"/>
  <c r="I237" i="53"/>
  <c r="K238" i="53"/>
  <c r="K144" i="17"/>
  <c r="K147" i="17" s="1"/>
  <c r="N138" i="17"/>
  <c r="N131" i="17"/>
  <c r="N133" i="17" s="1"/>
  <c r="H168" i="34"/>
  <c r="H92" i="17"/>
  <c r="H124" i="34"/>
  <c r="H122" i="34" s="1"/>
  <c r="H91" i="17"/>
  <c r="H90" i="32"/>
  <c r="H88" i="17"/>
  <c r="I126" i="17"/>
  <c r="I139" i="17" s="1"/>
  <c r="I47" i="17"/>
  <c r="J125" i="17"/>
  <c r="I34" i="17"/>
  <c r="J128" i="17"/>
  <c r="J141" i="17" s="1"/>
  <c r="I65" i="17"/>
  <c r="H83" i="43"/>
  <c r="I125" i="17"/>
  <c r="I33" i="17"/>
  <c r="J126" i="17"/>
  <c r="J139" i="17" s="1"/>
  <c r="I48" i="17"/>
  <c r="H82" i="43"/>
  <c r="H87" i="32"/>
  <c r="H101" i="17"/>
  <c r="H86" i="32"/>
  <c r="H43" i="17"/>
  <c r="F126" i="17" s="1"/>
  <c r="F139" i="17" s="1"/>
  <c r="H45" i="17"/>
  <c r="I45" i="17" s="1"/>
  <c r="H74" i="17"/>
  <c r="F129" i="17" s="1"/>
  <c r="F142" i="17" s="1"/>
  <c r="H76" i="17"/>
  <c r="G132" i="17" s="1"/>
  <c r="G146" i="17" s="1"/>
  <c r="H60" i="17"/>
  <c r="F128" i="17" s="1"/>
  <c r="F141" i="17" s="1"/>
  <c r="H62" i="17"/>
  <c r="H99" i="17"/>
  <c r="F130" i="17" s="1"/>
  <c r="F143" i="17" s="1"/>
  <c r="H31" i="17"/>
  <c r="H29" i="17"/>
  <c r="F125" i="17" s="1"/>
  <c r="H80" i="32"/>
  <c r="H83" i="32"/>
  <c r="H84" i="32"/>
  <c r="H81" i="32"/>
  <c r="H178" i="48"/>
  <c r="H37" i="17"/>
  <c r="G192" i="48"/>
  <c r="H179" i="48"/>
  <c r="H51" i="17"/>
  <c r="H190" i="48"/>
  <c r="H186" i="48" s="1"/>
  <c r="H107" i="17"/>
  <c r="I107" i="17" s="1"/>
  <c r="H181" i="48"/>
  <c r="H68" i="17"/>
  <c r="H183" i="48"/>
  <c r="H78" i="44"/>
  <c r="H70" i="44"/>
  <c r="H72" i="44"/>
  <c r="H77" i="44"/>
  <c r="H74" i="44"/>
  <c r="H75" i="44"/>
  <c r="H192" i="48"/>
  <c r="H163" i="34"/>
  <c r="H78" i="32"/>
  <c r="H76" i="32"/>
  <c r="H77" i="32"/>
  <c r="G223" i="34"/>
  <c r="H173" i="48"/>
  <c r="G177" i="48"/>
  <c r="G183" i="48"/>
  <c r="G186" i="48"/>
  <c r="H245" i="48"/>
  <c r="K249" i="28"/>
  <c r="G173" i="48"/>
  <c r="H244" i="48"/>
  <c r="G88" i="33"/>
  <c r="H88" i="33" s="1"/>
  <c r="G87" i="33"/>
  <c r="H87" i="33" s="1"/>
  <c r="G85" i="33"/>
  <c r="H85" i="33" s="1"/>
  <c r="G84" i="33"/>
  <c r="G83" i="33"/>
  <c r="H83" i="33" s="1"/>
  <c r="G82" i="33"/>
  <c r="H82" i="33" s="1"/>
  <c r="G81" i="33"/>
  <c r="H81" i="33" s="1"/>
  <c r="G79" i="33"/>
  <c r="H79" i="33" s="1"/>
  <c r="G78" i="33"/>
  <c r="H78" i="33" s="1"/>
  <c r="G74" i="33"/>
  <c r="G76" i="33"/>
  <c r="H77" i="17" s="1"/>
  <c r="H129" i="17" s="1"/>
  <c r="H142" i="17" s="1"/>
  <c r="G73" i="33"/>
  <c r="H46" i="17" s="1"/>
  <c r="G72" i="33"/>
  <c r="H32" i="17" s="1"/>
  <c r="G70" i="33"/>
  <c r="H70" i="33" s="1"/>
  <c r="G69" i="33"/>
  <c r="H69" i="33" s="1"/>
  <c r="G68" i="33"/>
  <c r="H68" i="33" s="1"/>
  <c r="G75" i="33"/>
  <c r="H223" i="34"/>
  <c r="K246" i="28" s="1"/>
  <c r="H172" i="34"/>
  <c r="H159" i="34"/>
  <c r="H119" i="34"/>
  <c r="I104" i="17"/>
  <c r="H64" i="17"/>
  <c r="I128" i="17" s="1"/>
  <c r="I141" i="17" s="1"/>
  <c r="G166" i="34"/>
  <c r="G172" i="34"/>
  <c r="H170" i="34"/>
  <c r="G163" i="34"/>
  <c r="H90" i="50"/>
  <c r="H158" i="34"/>
  <c r="H161" i="34"/>
  <c r="H114" i="34"/>
  <c r="H153" i="34"/>
  <c r="H162" i="34"/>
  <c r="H128" i="34"/>
  <c r="I79" i="17"/>
  <c r="G157" i="34"/>
  <c r="H118" i="34"/>
  <c r="H115" i="34"/>
  <c r="G153" i="34"/>
  <c r="H103" i="17"/>
  <c r="I130" i="17" s="1"/>
  <c r="I143" i="17" s="1"/>
  <c r="G119" i="34"/>
  <c r="H98" i="50"/>
  <c r="H72" i="43"/>
  <c r="H88" i="44"/>
  <c r="H100" i="50"/>
  <c r="H99" i="50"/>
  <c r="H101" i="50"/>
  <c r="H103" i="50"/>
  <c r="G81" i="43"/>
  <c r="G128" i="34"/>
  <c r="G122" i="34"/>
  <c r="G113" i="34"/>
  <c r="G109" i="34"/>
  <c r="H109" i="34"/>
  <c r="H84" i="50"/>
  <c r="H104" i="50"/>
  <c r="H86" i="50"/>
  <c r="H85" i="50"/>
  <c r="H97" i="50"/>
  <c r="H89" i="50"/>
  <c r="G85" i="32"/>
  <c r="H91" i="50"/>
  <c r="G94" i="32"/>
  <c r="H92" i="50"/>
  <c r="H94" i="50"/>
  <c r="H82" i="44"/>
  <c r="H95" i="50"/>
  <c r="G82" i="44"/>
  <c r="H92" i="32"/>
  <c r="G79" i="44"/>
  <c r="H94" i="32"/>
  <c r="H79" i="44"/>
  <c r="G88" i="32"/>
  <c r="G88" i="44"/>
  <c r="G79" i="32"/>
  <c r="H68" i="43"/>
  <c r="G87" i="43"/>
  <c r="G78" i="43"/>
  <c r="G68" i="43"/>
  <c r="G75" i="32"/>
  <c r="H78" i="43"/>
  <c r="G69" i="44"/>
  <c r="G73" i="44"/>
  <c r="H87" i="43"/>
  <c r="G72" i="43"/>
  <c r="I78" i="17"/>
  <c r="N144" i="17" l="1"/>
  <c r="N147" i="17" s="1"/>
  <c r="J138" i="17"/>
  <c r="J131" i="17"/>
  <c r="I138" i="17"/>
  <c r="I131" i="17"/>
  <c r="F138" i="17"/>
  <c r="F131" i="17"/>
  <c r="I92" i="17"/>
  <c r="J132" i="17"/>
  <c r="J146" i="17" s="1"/>
  <c r="I91" i="17"/>
  <c r="I132" i="17"/>
  <c r="I146" i="17" s="1"/>
  <c r="I101" i="17"/>
  <c r="C176" i="53" s="1"/>
  <c r="I234" i="53" s="1"/>
  <c r="G130" i="17"/>
  <c r="G143" i="17" s="1"/>
  <c r="I88" i="17"/>
  <c r="C148" i="53" s="1"/>
  <c r="G237" i="53" s="1"/>
  <c r="F132" i="17"/>
  <c r="F146" i="17" s="1"/>
  <c r="H166" i="34"/>
  <c r="H85" i="32"/>
  <c r="H81" i="43"/>
  <c r="H95" i="43" s="1"/>
  <c r="H88" i="32"/>
  <c r="I99" i="17"/>
  <c r="C174" i="53" s="1"/>
  <c r="G234" i="53" s="1"/>
  <c r="M126" i="17"/>
  <c r="M139" i="17" s="1"/>
  <c r="I51" i="17"/>
  <c r="M128" i="17"/>
  <c r="M141" i="17" s="1"/>
  <c r="I68" i="17"/>
  <c r="M125" i="17"/>
  <c r="I37" i="17"/>
  <c r="H125" i="17"/>
  <c r="I32" i="17"/>
  <c r="H126" i="17"/>
  <c r="H139" i="17" s="1"/>
  <c r="I46" i="17"/>
  <c r="H79" i="32"/>
  <c r="G125" i="17"/>
  <c r="I31" i="17"/>
  <c r="C47" i="53" s="1"/>
  <c r="I229" i="53" s="1"/>
  <c r="I76" i="17"/>
  <c r="C117" i="53" s="1"/>
  <c r="I233" i="53" s="1"/>
  <c r="G129" i="17"/>
  <c r="G142" i="17" s="1"/>
  <c r="I62" i="17"/>
  <c r="C93" i="53" s="1"/>
  <c r="I232" i="53" s="1"/>
  <c r="G128" i="17"/>
  <c r="G141" i="17" s="1"/>
  <c r="C65" i="53"/>
  <c r="I230" i="53" s="1"/>
  <c r="G126" i="17"/>
  <c r="G139" i="17" s="1"/>
  <c r="H69" i="44"/>
  <c r="G200" i="48"/>
  <c r="H177" i="48"/>
  <c r="H200" i="48" s="1"/>
  <c r="K248" i="28" s="1"/>
  <c r="G180" i="34"/>
  <c r="H84" i="33"/>
  <c r="H80" i="33" s="1"/>
  <c r="H102" i="17"/>
  <c r="M130" i="17"/>
  <c r="M143" i="17" s="1"/>
  <c r="H73" i="44"/>
  <c r="H75" i="33"/>
  <c r="H63" i="17"/>
  <c r="H128" i="17" s="1"/>
  <c r="H141" i="17" s="1"/>
  <c r="H75" i="32"/>
  <c r="I64" i="17"/>
  <c r="H113" i="34"/>
  <c r="H136" i="34" s="1"/>
  <c r="H157" i="34"/>
  <c r="I103" i="17"/>
  <c r="H96" i="50"/>
  <c r="H83" i="50"/>
  <c r="I60" i="17"/>
  <c r="C91" i="53" s="1"/>
  <c r="G232" i="53" s="1"/>
  <c r="G96" i="50"/>
  <c r="G83" i="50"/>
  <c r="G102" i="50"/>
  <c r="H73" i="33"/>
  <c r="H93" i="50"/>
  <c r="H102" i="50"/>
  <c r="G77" i="33"/>
  <c r="I74" i="17"/>
  <c r="C115" i="53" s="1"/>
  <c r="G233" i="53" s="1"/>
  <c r="H72" i="33"/>
  <c r="G87" i="50"/>
  <c r="G136" i="34"/>
  <c r="H225" i="34"/>
  <c r="H224" i="34"/>
  <c r="G93" i="50"/>
  <c r="H67" i="33"/>
  <c r="H88" i="50"/>
  <c r="H87" i="50" s="1"/>
  <c r="H86" i="33"/>
  <c r="G102" i="32"/>
  <c r="H77" i="33"/>
  <c r="G86" i="33"/>
  <c r="I43" i="17"/>
  <c r="C63" i="53" s="1"/>
  <c r="G230" i="53" s="1"/>
  <c r="G96" i="44"/>
  <c r="H76" i="33"/>
  <c r="G71" i="33"/>
  <c r="G67" i="33"/>
  <c r="G95" i="43"/>
  <c r="I29" i="17"/>
  <c r="C45" i="53" s="1"/>
  <c r="G229" i="53" s="1"/>
  <c r="G80" i="33"/>
  <c r="H74" i="33"/>
  <c r="I77" i="17"/>
  <c r="G235" i="53" l="1"/>
  <c r="G238" i="53" s="1"/>
  <c r="I235" i="53"/>
  <c r="F144" i="17"/>
  <c r="F147" i="17" s="1"/>
  <c r="I144" i="17"/>
  <c r="I147" i="17" s="1"/>
  <c r="J144" i="17"/>
  <c r="J147" i="17" s="1"/>
  <c r="J133" i="17"/>
  <c r="I133" i="17"/>
  <c r="H138" i="17"/>
  <c r="G138" i="17"/>
  <c r="G131" i="17"/>
  <c r="G133" i="17" s="1"/>
  <c r="F133" i="17"/>
  <c r="M138" i="17"/>
  <c r="M144" i="17" s="1"/>
  <c r="M131" i="17"/>
  <c r="M133" i="17" s="1"/>
  <c r="H102" i="32"/>
  <c r="H103" i="32" s="1"/>
  <c r="I102" i="17"/>
  <c r="H130" i="17"/>
  <c r="H143" i="17" s="1"/>
  <c r="H96" i="44"/>
  <c r="K241" i="28" s="1"/>
  <c r="H201" i="48"/>
  <c r="H202" i="48"/>
  <c r="H180" i="34"/>
  <c r="H137" i="34"/>
  <c r="K244" i="28"/>
  <c r="H96" i="43"/>
  <c r="K240" i="28"/>
  <c r="H71" i="33"/>
  <c r="H94" i="33" s="1"/>
  <c r="K243" i="28" s="1"/>
  <c r="H138" i="34"/>
  <c r="H110" i="50"/>
  <c r="G110" i="50"/>
  <c r="I63" i="17"/>
  <c r="H97" i="43"/>
  <c r="G94" i="33"/>
  <c r="I238" i="53" l="1"/>
  <c r="G144" i="17"/>
  <c r="G147" i="17" s="1"/>
  <c r="H144" i="17"/>
  <c r="H147" i="17" s="1"/>
  <c r="H131" i="17"/>
  <c r="H133" i="17" s="1"/>
  <c r="M147" i="17"/>
  <c r="H104" i="32"/>
  <c r="K239" i="28"/>
  <c r="H98" i="44"/>
  <c r="H97" i="44"/>
  <c r="H112" i="50"/>
  <c r="K247" i="28"/>
  <c r="H181" i="34"/>
  <c r="K245" i="28"/>
  <c r="H182" i="34"/>
  <c r="H96" i="33"/>
  <c r="H95" i="33"/>
  <c r="H111" i="50"/>
  <c r="G108" i="18" l="1"/>
  <c r="G89" i="18"/>
  <c r="J251" i="28"/>
  <c r="J252" i="28" s="1"/>
  <c r="G98" i="18"/>
  <c r="G105" i="18"/>
  <c r="H105" i="18" s="1"/>
  <c r="G103" i="18"/>
  <c r="G99" i="18"/>
  <c r="H83" i="17" s="1"/>
  <c r="I83" i="17" s="1"/>
  <c r="G93" i="18"/>
  <c r="H93" i="18" s="1"/>
  <c r="G107" i="18"/>
  <c r="G96" i="18"/>
  <c r="H73" i="17" s="1"/>
  <c r="G90" i="18"/>
  <c r="H90" i="18" s="1"/>
  <c r="G102" i="18"/>
  <c r="H102" i="18" s="1"/>
  <c r="G92" i="18"/>
  <c r="H28" i="17" s="1"/>
  <c r="G88" i="18"/>
  <c r="G95" i="18"/>
  <c r="H59" i="17" s="1"/>
  <c r="G101" i="18"/>
  <c r="H85" i="17" s="1"/>
  <c r="G104" i="18"/>
  <c r="H104" i="18" s="1"/>
  <c r="G94" i="18"/>
  <c r="H55" i="17" s="1"/>
  <c r="H107" i="18" l="1"/>
  <c r="H111" i="17"/>
  <c r="H108" i="18"/>
  <c r="H112" i="17"/>
  <c r="I112" i="17" s="1"/>
  <c r="H103" i="18"/>
  <c r="H94" i="17"/>
  <c r="I94" i="17" s="1"/>
  <c r="H98" i="18"/>
  <c r="H82" i="17"/>
  <c r="H89" i="18"/>
  <c r="H23" i="17"/>
  <c r="I23" i="17" s="1"/>
  <c r="C31" i="53" s="1"/>
  <c r="C30" i="53" s="1"/>
  <c r="H95" i="17"/>
  <c r="I95" i="17" s="1"/>
  <c r="H98" i="17"/>
  <c r="D130" i="17" s="1"/>
  <c r="D143" i="17" s="1"/>
  <c r="G97" i="18"/>
  <c r="H96" i="18"/>
  <c r="H99" i="18"/>
  <c r="H56" i="17"/>
  <c r="I56" i="17" s="1"/>
  <c r="C82" i="53" s="1"/>
  <c r="G100" i="18"/>
  <c r="H101" i="18"/>
  <c r="G87" i="18"/>
  <c r="H94" i="18"/>
  <c r="H87" i="17"/>
  <c r="D132" i="17" s="1"/>
  <c r="I55" i="17"/>
  <c r="I59" i="17"/>
  <c r="H57" i="17"/>
  <c r="D128" i="17"/>
  <c r="D141" i="17" s="1"/>
  <c r="H71" i="17"/>
  <c r="I73" i="17"/>
  <c r="D129" i="17"/>
  <c r="D142" i="17" s="1"/>
  <c r="D125" i="17"/>
  <c r="H26" i="17"/>
  <c r="I28" i="17"/>
  <c r="H95" i="18"/>
  <c r="H24" i="17"/>
  <c r="H42" i="17"/>
  <c r="I85" i="17"/>
  <c r="H88" i="18"/>
  <c r="G91" i="18"/>
  <c r="G106" i="18"/>
  <c r="H22" i="17"/>
  <c r="H92" i="18"/>
  <c r="H87" i="18" l="1"/>
  <c r="P143" i="17"/>
  <c r="P142" i="17"/>
  <c r="P141" i="17"/>
  <c r="D138" i="17"/>
  <c r="D146" i="17"/>
  <c r="P132" i="17"/>
  <c r="H106" i="18"/>
  <c r="H100" i="18"/>
  <c r="I100" i="18" s="1"/>
  <c r="H97" i="18"/>
  <c r="I111" i="17"/>
  <c r="I110" i="17" s="1"/>
  <c r="H110" i="17"/>
  <c r="H81" i="17"/>
  <c r="I82" i="17"/>
  <c r="I81" i="17" s="1"/>
  <c r="P125" i="17"/>
  <c r="P128" i="17"/>
  <c r="P129" i="17"/>
  <c r="P130" i="17"/>
  <c r="H96" i="17"/>
  <c r="I98" i="17"/>
  <c r="C173" i="53" s="1"/>
  <c r="F234" i="53" s="1"/>
  <c r="R234" i="53" s="1"/>
  <c r="G114" i="18"/>
  <c r="H54" i="17"/>
  <c r="H91" i="18"/>
  <c r="I91" i="18" s="1"/>
  <c r="H86" i="17"/>
  <c r="I87" i="17"/>
  <c r="C147" i="53" s="1"/>
  <c r="F237" i="53" s="1"/>
  <c r="R237" i="53" s="1"/>
  <c r="I26" i="17"/>
  <c r="C44" i="53"/>
  <c r="I71" i="17"/>
  <c r="C114" i="53"/>
  <c r="I57" i="17"/>
  <c r="C90" i="53"/>
  <c r="F232" i="53" s="1"/>
  <c r="R232" i="53" s="1"/>
  <c r="I42" i="17"/>
  <c r="D126" i="17"/>
  <c r="D139" i="17" s="1"/>
  <c r="H40" i="17"/>
  <c r="I24" i="17"/>
  <c r="H21" i="17"/>
  <c r="I22" i="17"/>
  <c r="C26" i="53" s="1"/>
  <c r="C25" i="53" s="1"/>
  <c r="C81" i="53"/>
  <c r="C80" i="53" s="1"/>
  <c r="C79" i="53" s="1"/>
  <c r="E231" i="53" s="1"/>
  <c r="I54" i="17"/>
  <c r="R231" i="53" l="1"/>
  <c r="E235" i="53"/>
  <c r="C113" i="53"/>
  <c r="C111" i="53" s="1"/>
  <c r="F233" i="53"/>
  <c r="R233" i="53" s="1"/>
  <c r="C43" i="53"/>
  <c r="C41" i="53" s="1"/>
  <c r="F229" i="53"/>
  <c r="P139" i="17"/>
  <c r="P146" i="17"/>
  <c r="P138" i="17"/>
  <c r="D131" i="17"/>
  <c r="D133" i="17" s="1"/>
  <c r="D144" i="17"/>
  <c r="C146" i="53"/>
  <c r="C144" i="53" s="1"/>
  <c r="C172" i="53"/>
  <c r="C170" i="53" s="1"/>
  <c r="C89" i="53"/>
  <c r="C87" i="53" s="1"/>
  <c r="P126" i="17"/>
  <c r="I96" i="17"/>
  <c r="C127" i="17"/>
  <c r="C140" i="17" s="1"/>
  <c r="I86" i="17"/>
  <c r="H84" i="17"/>
  <c r="H114" i="18"/>
  <c r="I40" i="17"/>
  <c r="C62" i="53"/>
  <c r="F230" i="53" s="1"/>
  <c r="R230" i="53" s="1"/>
  <c r="I21" i="17"/>
  <c r="C36" i="53"/>
  <c r="C35" i="53" s="1"/>
  <c r="H25" i="17"/>
  <c r="F235" i="53" l="1"/>
  <c r="R229" i="53"/>
  <c r="E238" i="53"/>
  <c r="D147" i="17"/>
  <c r="P140" i="17"/>
  <c r="C144" i="17"/>
  <c r="H114" i="17"/>
  <c r="C137" i="53"/>
  <c r="C61" i="53"/>
  <c r="C59" i="53" s="1"/>
  <c r="C40" i="53" s="1"/>
  <c r="C131" i="17"/>
  <c r="C133" i="17" s="1"/>
  <c r="P127" i="17"/>
  <c r="P131" i="17" s="1"/>
  <c r="P133" i="17" s="1"/>
  <c r="I25" i="17"/>
  <c r="H116" i="18"/>
  <c r="H115" i="18"/>
  <c r="K237" i="28"/>
  <c r="K251" i="28" s="1"/>
  <c r="K252" i="28" s="1"/>
  <c r="I84" i="17"/>
  <c r="C24" i="53"/>
  <c r="R235" i="53" l="1"/>
  <c r="S229" i="53" s="1"/>
  <c r="F238" i="53"/>
  <c r="K134" i="17"/>
  <c r="L134" i="17"/>
  <c r="J134" i="17"/>
  <c r="E134" i="17"/>
  <c r="I134" i="17"/>
  <c r="F134" i="17"/>
  <c r="N134" i="17"/>
  <c r="G134" i="17"/>
  <c r="O134" i="17"/>
  <c r="H134" i="17"/>
  <c r="P134" i="17"/>
  <c r="M134" i="17"/>
  <c r="D134" i="17"/>
  <c r="C147" i="17"/>
  <c r="P144" i="17"/>
  <c r="C145" i="17" s="1"/>
  <c r="I114" i="17"/>
  <c r="I115" i="17" s="1"/>
  <c r="C217" i="53"/>
  <c r="F236" i="53" l="1"/>
  <c r="C218" i="53"/>
  <c r="C219" i="53" s="1"/>
  <c r="S235" i="53"/>
  <c r="K236" i="53"/>
  <c r="N236" i="53"/>
  <c r="O236" i="53"/>
  <c r="R236" i="53"/>
  <c r="P236" i="53"/>
  <c r="J236" i="53"/>
  <c r="R238" i="53"/>
  <c r="R241" i="53" s="1"/>
  <c r="L236" i="53"/>
  <c r="Q236" i="53"/>
  <c r="M236" i="53"/>
  <c r="H236" i="53"/>
  <c r="G236" i="53"/>
  <c r="I236" i="53"/>
  <c r="S234" i="53"/>
  <c r="S232" i="53"/>
  <c r="S233" i="53"/>
  <c r="E236" i="53"/>
  <c r="S231" i="53"/>
  <c r="S230" i="53"/>
  <c r="F145" i="17"/>
  <c r="N145" i="17"/>
  <c r="G145" i="17"/>
  <c r="O145" i="17"/>
  <c r="H145" i="17"/>
  <c r="P145" i="17"/>
  <c r="L145" i="17"/>
  <c r="E145" i="17"/>
  <c r="I145" i="17"/>
  <c r="J145" i="17"/>
  <c r="K145" i="17"/>
  <c r="M145" i="17"/>
  <c r="D145" i="17"/>
  <c r="Q131" i="17"/>
  <c r="Q128" i="17"/>
  <c r="Q125" i="17"/>
  <c r="Q130" i="17"/>
  <c r="Q129" i="17"/>
  <c r="Q126" i="17"/>
  <c r="Q127" i="17"/>
  <c r="Q144" i="17"/>
  <c r="P147" i="17"/>
  <c r="Q143" i="17"/>
  <c r="Q142" i="17"/>
  <c r="Q141" i="17"/>
  <c r="Q139" i="17"/>
  <c r="Q138" i="17"/>
  <c r="Q140" i="17"/>
  <c r="C134" i="17"/>
  <c r="R239" i="53" l="1"/>
  <c r="O239" i="53"/>
  <c r="P239" i="53"/>
  <c r="Q239" i="53"/>
  <c r="N239" i="53"/>
  <c r="L239" i="53"/>
  <c r="M239" i="53"/>
  <c r="J239" i="53"/>
  <c r="K239" i="53"/>
  <c r="H239" i="53"/>
  <c r="G239" i="53"/>
  <c r="I239" i="53"/>
  <c r="E239" i="53"/>
  <c r="F239" i="53"/>
  <c r="C148" i="17"/>
  <c r="P150" i="17"/>
  <c r="K148" i="17"/>
  <c r="L148" i="17"/>
  <c r="E148" i="17"/>
  <c r="F148" i="17"/>
  <c r="N148" i="17"/>
  <c r="J148" i="17"/>
  <c r="G148" i="17"/>
  <c r="O148" i="17"/>
  <c r="H148" i="17"/>
  <c r="P148" i="17"/>
  <c r="I148" i="17"/>
  <c r="M148" i="17"/>
  <c r="D14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Mima Suhadolc</author>
  </authors>
  <commentList>
    <comment ref="D223" authorId="0" shapeId="0" xr:uid="{4A591711-DF6A-4FE3-B8D0-E9B09EA64F9D}">
      <text>
        <r>
          <rPr>
            <b/>
            <sz val="9"/>
            <color indexed="81"/>
            <rFont val="Tahoma"/>
            <family val="2"/>
          </rPr>
          <t>Mima Suhadolc:</t>
        </r>
        <r>
          <rPr>
            <sz val="9"/>
            <color indexed="81"/>
            <rFont val="Tahoma"/>
            <family val="2"/>
          </rPr>
          <t xml:space="preserve">
V obračunske stroške se lahko vključijo stroški GO in tehnične opreme ter stroški notranje opreme (stroškovna skupina F.100). Stroške GO del in tehnične opreme (EI, SI, TH) je potrebno deliti z bruto prostornino stavbe in pomnožiti z neto prostornino stavbe. Lahko se upošteva tudi soobdelovane elemente stavbe, ki jih je potrebno prav tako obdelati.
Ocena: 0,6</t>
        </r>
      </text>
    </comment>
    <comment ref="D255" authorId="0" shapeId="0" xr:uid="{0C77CF8E-FB3B-49A6-B464-D9F88274E5C2}">
      <text>
        <r>
          <rPr>
            <b/>
            <sz val="9"/>
            <color indexed="81"/>
            <rFont val="Tahoma"/>
            <family val="2"/>
          </rPr>
          <t>Mima Suhadolc:</t>
        </r>
        <r>
          <rPr>
            <sz val="9"/>
            <color indexed="81"/>
            <rFont val="Tahoma"/>
            <family val="2"/>
          </rPr>
          <t xml:space="preserve">
ZA NOTRANJO OPREMO JE LAHKO DODATEK DO 50%</t>
        </r>
      </text>
    </comment>
  </commentList>
</comments>
</file>

<file path=xl/sharedStrings.xml><?xml version="1.0" encoding="utf-8"?>
<sst xmlns="http://schemas.openxmlformats.org/spreadsheetml/2006/main" count="3281" uniqueCount="1082">
  <si>
    <t>SKUPAJ</t>
  </si>
  <si>
    <t>SKUPAJ PROJEKT</t>
  </si>
  <si>
    <t>m2</t>
  </si>
  <si>
    <t>NOTRANJA OPREMA</t>
  </si>
  <si>
    <t>EUR/m2 BEP</t>
  </si>
  <si>
    <t>EUR/m2</t>
  </si>
  <si>
    <t>1.</t>
  </si>
  <si>
    <t>2.</t>
  </si>
  <si>
    <t>3.</t>
  </si>
  <si>
    <t>6.</t>
  </si>
  <si>
    <t>8.</t>
  </si>
  <si>
    <t>9.</t>
  </si>
  <si>
    <t>10.</t>
  </si>
  <si>
    <t>11.</t>
  </si>
  <si>
    <t>12.</t>
  </si>
  <si>
    <t>13.</t>
  </si>
  <si>
    <t>14.</t>
  </si>
  <si>
    <t>15.</t>
  </si>
  <si>
    <t>16.</t>
  </si>
  <si>
    <t>17.</t>
  </si>
  <si>
    <t>18.</t>
  </si>
  <si>
    <t>19.</t>
  </si>
  <si>
    <t>20.</t>
  </si>
  <si>
    <t>21.</t>
  </si>
  <si>
    <t>22.</t>
  </si>
  <si>
    <t>23.</t>
  </si>
  <si>
    <t>Skupaj</t>
  </si>
  <si>
    <t>Št. ur / delovni dan</t>
  </si>
  <si>
    <t>Tedenski fond delovnih ur</t>
  </si>
  <si>
    <t>Letni fond delovnih dni</t>
  </si>
  <si>
    <t>Število dela prostih dni (prazniki)</t>
  </si>
  <si>
    <t>% projekta</t>
  </si>
  <si>
    <t>ARHITEKT d.o.o.</t>
  </si>
  <si>
    <t>STOLPEC</t>
  </si>
  <si>
    <t>VRSTICA</t>
  </si>
  <si>
    <t>PRIMERJALNA VRSTICA</t>
  </si>
  <si>
    <t>Slovenska 1, 1000 Ljubljana</t>
  </si>
  <si>
    <t>Vrednosti se nanašajo na letne stroške poslovanja.</t>
  </si>
  <si>
    <t>0</t>
  </si>
  <si>
    <t>POBUDA</t>
  </si>
  <si>
    <t>0.1</t>
  </si>
  <si>
    <t>0.2</t>
  </si>
  <si>
    <t>1</t>
  </si>
  <si>
    <t>ZAGON</t>
  </si>
  <si>
    <t>1.1</t>
  </si>
  <si>
    <t>1.2</t>
  </si>
  <si>
    <t>1.3</t>
  </si>
  <si>
    <t>PROJEKTIRANJE</t>
  </si>
  <si>
    <t>NAČRT NOTRANJE OPREME</t>
  </si>
  <si>
    <t>NAČRT GRADBENIH KONSTRUKCIJ</t>
  </si>
  <si>
    <t>NAČRT VODOVODNEGA PRIKLJUČKA</t>
  </si>
  <si>
    <t>NAČRT KANALIZACIJSKEGA PRIKLJUČKA</t>
  </si>
  <si>
    <t>NAČRT ELEKTRIČNIH INSTALACIJ</t>
  </si>
  <si>
    <t>NAČRT ELEKTROENERGETSKEGA PRIKLJUČKA</t>
  </si>
  <si>
    <t>NAČRT STROJNIH INSTALACIJ</t>
  </si>
  <si>
    <t>NAČRT PLINSKEGA PRIKLJUČKA</t>
  </si>
  <si>
    <t>NAČRT TEHNOLOGIJE</t>
  </si>
  <si>
    <t>NAČRT POŽARNE VARNOSTI</t>
  </si>
  <si>
    <t>3</t>
  </si>
  <si>
    <t>3.1</t>
  </si>
  <si>
    <t>3.2</t>
  </si>
  <si>
    <t>4.1</t>
  </si>
  <si>
    <t>4.2</t>
  </si>
  <si>
    <t>4.3</t>
  </si>
  <si>
    <t>4.4</t>
  </si>
  <si>
    <t>4.5</t>
  </si>
  <si>
    <t>UPORABA</t>
  </si>
  <si>
    <t>5.1</t>
  </si>
  <si>
    <t>5.2</t>
  </si>
  <si>
    <t>KONEC ŽIVLJENJSKEGA CIKLA</t>
  </si>
  <si>
    <t>2.1</t>
  </si>
  <si>
    <t>2.2</t>
  </si>
  <si>
    <t>2.3</t>
  </si>
  <si>
    <t>6.1</t>
  </si>
  <si>
    <t>6.2</t>
  </si>
  <si>
    <t>6.3</t>
  </si>
  <si>
    <t>ŠTEVILO NU</t>
  </si>
  <si>
    <t>ARHIGRAM 5</t>
  </si>
  <si>
    <t>NAROČNIK</t>
  </si>
  <si>
    <t>PONUDNIK</t>
  </si>
  <si>
    <t>GRADNJA</t>
  </si>
  <si>
    <t>DATUM</t>
  </si>
  <si>
    <t>GRADBENO OBRTNIŠKA DELA (GO)</t>
  </si>
  <si>
    <t>STROJNE INŠTALACIJE (SI)</t>
  </si>
  <si>
    <t>ELEKTRIČNE INŠTALACIJE (EI)</t>
  </si>
  <si>
    <t xml:space="preserve">TRŽNA ANALIZA                            </t>
  </si>
  <si>
    <t>OCENA GOSPODARNOSTI</t>
  </si>
  <si>
    <t>ZAGON PROJEKTA</t>
  </si>
  <si>
    <t>ŠTUDIJA IZVEDLJIVOSTI</t>
  </si>
  <si>
    <t>ZAŠČITA PRED HRUPOM</t>
  </si>
  <si>
    <t>VREDNOST V EUR</t>
  </si>
  <si>
    <t>OBRAČUNSKI STROŠKI V EUR</t>
  </si>
  <si>
    <t>CENOVNI RAZRED I</t>
  </si>
  <si>
    <t>CENOVNI RAZRED II</t>
  </si>
  <si>
    <t>CENOVNI RAZRED III</t>
  </si>
  <si>
    <t>CENOVNI RAZRED IV</t>
  </si>
  <si>
    <t>CENOVNI RAZRED V</t>
  </si>
  <si>
    <t>zelo nizke zahteve</t>
  </si>
  <si>
    <t>nizke zahteve</t>
  </si>
  <si>
    <t>povprečne zahteve</t>
  </si>
  <si>
    <t>visoke zahteve</t>
  </si>
  <si>
    <t>zelo visoke zahteve</t>
  </si>
  <si>
    <t>1 do 6 točk</t>
  </si>
  <si>
    <t>1 do 9 točk</t>
  </si>
  <si>
    <t>Cenovni razred I</t>
  </si>
  <si>
    <t>Cenovni razred II</t>
  </si>
  <si>
    <t>Cenovni razred III</t>
  </si>
  <si>
    <t>Cenovni razred IV</t>
  </si>
  <si>
    <t>Cenovni razred V</t>
  </si>
  <si>
    <t>EUR</t>
  </si>
  <si>
    <t>PRIMERJALNO ŠTEVILO UR</t>
  </si>
  <si>
    <t>Poraba časa za storitve na področju načrtovanja gradbenih konstrukcij</t>
  </si>
  <si>
    <t>BRUTO POVRŠINA</t>
  </si>
  <si>
    <t>DEL 1</t>
  </si>
  <si>
    <t>CENOVNI RAZRED</t>
  </si>
  <si>
    <t>DEL 2</t>
  </si>
  <si>
    <t>DEL 3</t>
  </si>
  <si>
    <t>DEL 4</t>
  </si>
  <si>
    <t>DEL 5</t>
  </si>
  <si>
    <t>STAVBA</t>
  </si>
  <si>
    <t>SKUPAJ STAVBA</t>
  </si>
  <si>
    <t>SKUPAJ BRUTO POVRŠINA</t>
  </si>
  <si>
    <t>VREDNOST INVESTICIJE</t>
  </si>
  <si>
    <t>OBRAČUNSKI STROŠKI</t>
  </si>
  <si>
    <t>SNOVANJE</t>
  </si>
  <si>
    <t>2.4</t>
  </si>
  <si>
    <t>2.5</t>
  </si>
  <si>
    <t>OBRAČUNSKA VREDNOST</t>
  </si>
  <si>
    <t>GOI EUR/m2 BEP</t>
  </si>
  <si>
    <t>NOTRANJA OPREMA EUR/m2 NEP</t>
  </si>
  <si>
    <t>NETO POVRŠINA</t>
  </si>
  <si>
    <t>POVPREČNA VREDNOST GOI EUR/m2 BEP</t>
  </si>
  <si>
    <t>SKUPAJ NETO POVRŠINA</t>
  </si>
  <si>
    <t>POVPREČNA VREDNOST NOTRANJA OPREMA EUR/m2 NEP</t>
  </si>
  <si>
    <t>število funkcionalnih področij</t>
  </si>
  <si>
    <t>zahteve glede oblikovanje svetlobe</t>
  </si>
  <si>
    <t>zahteve glede razporeditve in razmerja prostorov</t>
  </si>
  <si>
    <t>zahteve glede inštalacij</t>
  </si>
  <si>
    <t>zahteve glede barv in materialov</t>
  </si>
  <si>
    <t>konstruktivno oblikovanje detajlov</t>
  </si>
  <si>
    <t>zahteve za vključitev v okolje</t>
  </si>
  <si>
    <t>zahtevnost inštalacij</t>
  </si>
  <si>
    <t>4.</t>
  </si>
  <si>
    <t>5.</t>
  </si>
  <si>
    <t>SKUPAJ MAKSIMALNO 42</t>
  </si>
  <si>
    <t>DOLOČITEV CENOVNIH RAZREDOV</t>
  </si>
  <si>
    <t>oblikovne zahteve</t>
  </si>
  <si>
    <t>komunalna ureditev</t>
  </si>
  <si>
    <t>1 do 8 točk</t>
  </si>
  <si>
    <t>SKUPAJ MAKSIMALNO 36</t>
  </si>
  <si>
    <t>IZBRANI CENOVNI RAZRED</t>
  </si>
  <si>
    <t>PRIMERJALNI STOLPEC</t>
  </si>
  <si>
    <t>MINIMALNO ŠTEVILO UR</t>
  </si>
  <si>
    <t>ŠTEVILO UR</t>
  </si>
  <si>
    <t>PRIMERJALNA VREEDNOST INVESTICIJE</t>
  </si>
  <si>
    <t>INTERPOLACIJA ŠTEVILA UR ZA NIŽJO VREDNOST</t>
  </si>
  <si>
    <t>INTERPOLACIJA ŠTEVILA UR ZA VIŠJO VREDNOST</t>
  </si>
  <si>
    <t>MAKSIMALNO ŠTEVILO UR</t>
  </si>
  <si>
    <t>IZRAČUN ŠTEVILA UR ZA ELEKTRIČNE INŠTALACIJE</t>
  </si>
  <si>
    <t>IZRAČUN ŠTEVILA UR ZA STROJNE INŠTALACIJE</t>
  </si>
  <si>
    <t>PORAZDELITEV UR ZA NAČRTE GK</t>
  </si>
  <si>
    <t>PORAZDELITEV UR ZA NAČRTE ELEKTROTEHNIKE</t>
  </si>
  <si>
    <t>PORAZDELITEV UR ZA NAČRTE STROJNIŠTVA</t>
  </si>
  <si>
    <t>Pridobivanje projektnih pogojev</t>
  </si>
  <si>
    <t>NAČRT TOPLOVODNEGA PRIKLJUČKA</t>
  </si>
  <si>
    <t>NAČRT TELEKOMUNIKACIJSKEGA PRIKLJUČKA</t>
  </si>
  <si>
    <t>I.</t>
  </si>
  <si>
    <t>Stroški</t>
  </si>
  <si>
    <t>A.</t>
  </si>
  <si>
    <t>mesec</t>
  </si>
  <si>
    <t>leto</t>
  </si>
  <si>
    <t>ura</t>
  </si>
  <si>
    <t>faktor bruto/neto</t>
  </si>
  <si>
    <t>skupaj</t>
  </si>
  <si>
    <t>B.</t>
  </si>
  <si>
    <t>Drugi stroški</t>
  </si>
  <si>
    <t>pisarniški in drobni material</t>
  </si>
  <si>
    <t>telefon, internet</t>
  </si>
  <si>
    <t>reprezentanca</t>
  </si>
  <si>
    <t>amortizacija osnovnih sredsev</t>
  </si>
  <si>
    <t>7.</t>
  </si>
  <si>
    <t>amortizacija programske opreme</t>
  </si>
  <si>
    <t>potni stroški, dnevnice</t>
  </si>
  <si>
    <t>prevozna sredstva (leasing, vzdrževanje)</t>
  </si>
  <si>
    <t>literatura, revije, časopisi</t>
  </si>
  <si>
    <t>sodne takse</t>
  </si>
  <si>
    <t>zavarovanja</t>
  </si>
  <si>
    <t>finančni stroški (banke, posojila, )</t>
  </si>
  <si>
    <t>davki</t>
  </si>
  <si>
    <t>računovodstvo</t>
  </si>
  <si>
    <t>odvetniške in notarske stroitve</t>
  </si>
  <si>
    <t xml:space="preserve">druga svetovanja v zvezi z vodenjem firme </t>
  </si>
  <si>
    <t>članarine</t>
  </si>
  <si>
    <t>natečaji (materialni stroški, delo ziunanjih sodelavcev, nabave gradiva, ..)</t>
  </si>
  <si>
    <t>promocija (objave, sodelovanje na predstavitvah)</t>
  </si>
  <si>
    <t>donacije</t>
  </si>
  <si>
    <t>štipendije</t>
  </si>
  <si>
    <t>kazni, odškodnine (rizični fond)</t>
  </si>
  <si>
    <t>skupaj biro</t>
  </si>
  <si>
    <t>C.</t>
  </si>
  <si>
    <t>SKUPAJ A.+B.+C.</t>
  </si>
  <si>
    <t>II.</t>
  </si>
  <si>
    <t>Proizvodne ure</t>
  </si>
  <si>
    <t>Število efektivnih ur</t>
  </si>
  <si>
    <t>delavec</t>
  </si>
  <si>
    <t>dopust</t>
  </si>
  <si>
    <t>prazniki</t>
  </si>
  <si>
    <t>režija (izobraževanje, drugo)</t>
  </si>
  <si>
    <t xml:space="preserve">proizvodne ure </t>
  </si>
  <si>
    <t>Cena povprečne proizvodne ure (NU)</t>
  </si>
  <si>
    <t>Razmerja</t>
  </si>
  <si>
    <t>faktor NU/bto ura</t>
  </si>
  <si>
    <t>prostori, 15 m2/delavec (najemnina, tekoči stroški in vzdrževanje, nadomestilo za uporabo stavbnega zemljišča)</t>
  </si>
  <si>
    <t>pošta, kurirji, DHL, …</t>
  </si>
  <si>
    <t>Pričakovani dobiček (pred obdavčitvijo, 10 % stroškov</t>
  </si>
  <si>
    <t>bolniške</t>
  </si>
  <si>
    <t>faktor NU/nto ura</t>
  </si>
  <si>
    <t>delež</t>
  </si>
  <si>
    <t>prehrana (ocena)</t>
  </si>
  <si>
    <t>prevoz na delo (ocena)</t>
  </si>
  <si>
    <t>regres</t>
  </si>
  <si>
    <t>Neproizvodne ure proizvodnih delavcev:</t>
  </si>
  <si>
    <t>Podatki</t>
  </si>
  <si>
    <t>število zaposlenih</t>
  </si>
  <si>
    <t>od tega proizvodnih delavcev</t>
  </si>
  <si>
    <t>Stroški dela posameznega delavca</t>
  </si>
  <si>
    <t>skupaj za vse delavce</t>
  </si>
  <si>
    <t>dni</t>
  </si>
  <si>
    <t>ur</t>
  </si>
  <si>
    <t>Mesečni fond delovnih dni (povprečni)</t>
  </si>
  <si>
    <t>Letni dopust</t>
  </si>
  <si>
    <t>Bolniška odsotnost</t>
  </si>
  <si>
    <t>Izobraževanje</t>
  </si>
  <si>
    <t>vseh ur v biroju (vsi delavci)</t>
  </si>
  <si>
    <t>od tega vseh ur proizvodnih delavcev</t>
  </si>
  <si>
    <t>bto plača</t>
  </si>
  <si>
    <t>neto plača</t>
  </si>
  <si>
    <t>zahteve glede varovanja, ohranjanja in razvoja narave</t>
  </si>
  <si>
    <t>VRSTA UREDITVE</t>
  </si>
  <si>
    <t>POVRŠINA</t>
  </si>
  <si>
    <t>SKUPAJ POVRŠINA</t>
  </si>
  <si>
    <t>POVPREČNA VREDNOST GOI EUR/m2</t>
  </si>
  <si>
    <t>do 10 točk</t>
  </si>
  <si>
    <t>11 do 18 točk</t>
  </si>
  <si>
    <t>19 do 26 točk</t>
  </si>
  <si>
    <t>27 do 34 točk</t>
  </si>
  <si>
    <t>35 do 42 točk</t>
  </si>
  <si>
    <t>% celotne investicije</t>
  </si>
  <si>
    <t>% investicije GOI objekt</t>
  </si>
  <si>
    <t>do 8 točk</t>
  </si>
  <si>
    <t>9 do 15 točk</t>
  </si>
  <si>
    <t>16 do 22 točk</t>
  </si>
  <si>
    <t>23 do 29 točk</t>
  </si>
  <si>
    <t>30 do 36 točk</t>
  </si>
  <si>
    <t>SKUPAJ OSNOVNE STORITVE</t>
  </si>
  <si>
    <t>GRADBENA POGODBA</t>
  </si>
  <si>
    <t>PRIPRAVA GRADNJE</t>
  </si>
  <si>
    <t>OBRATOVANJE</t>
  </si>
  <si>
    <t>VZDRŽEVANJE</t>
  </si>
  <si>
    <t>PRESOJA</t>
  </si>
  <si>
    <t>PRENOVA</t>
  </si>
  <si>
    <t>RAZGRADNJA</t>
  </si>
  <si>
    <t>Izračunane vrednosti ne vsebujejo DDV.</t>
  </si>
  <si>
    <t>NAVODILA</t>
  </si>
  <si>
    <r>
      <t>m</t>
    </r>
    <r>
      <rPr>
        <vertAlign val="superscript"/>
        <sz val="10"/>
        <rFont val="Inter Light"/>
        <family val="2"/>
        <charset val="238"/>
      </rPr>
      <t>2</t>
    </r>
  </si>
  <si>
    <r>
      <t>EUR/m</t>
    </r>
    <r>
      <rPr>
        <vertAlign val="superscript"/>
        <sz val="10"/>
        <rFont val="Inter Light"/>
        <family val="2"/>
        <charset val="238"/>
      </rPr>
      <t>2</t>
    </r>
  </si>
  <si>
    <t>SKUPAJ NU ZA NAČRT</t>
  </si>
  <si>
    <t>SKUPAJ EUR ZA NAČRT</t>
  </si>
  <si>
    <t>POSEBNE STORITVE</t>
  </si>
  <si>
    <t>Vpiši vrednost</t>
  </si>
  <si>
    <t>Pridobivanje mnenj in gradbenega dovoljenja</t>
  </si>
  <si>
    <t>IZRAČUNANI CENOVNI RAZRED</t>
  </si>
  <si>
    <t>IZRAČUN ŠTEVILA UR ZA NAČRTOVANJE NOTRANJE OPREME</t>
  </si>
  <si>
    <t>PORAZDELITEV UR ZA NAČRTOVANJE NOTRANJE OPREME</t>
  </si>
  <si>
    <t>PORAZDELITEV UR ZA NAČRTOVANJE STAVB</t>
  </si>
  <si>
    <t>IZRAČUN ŠTEVILA UR ZA NAČRTOVANJE STAVB</t>
  </si>
  <si>
    <t>ODPRTI PROSTOR</t>
  </si>
  <si>
    <t>TIPOLOGIJA NOTRANJE OPREME</t>
  </si>
  <si>
    <t>SKUPAJ NOTRANJA OPREMA</t>
  </si>
  <si>
    <t>OSNOVNI PODATKI</t>
  </si>
  <si>
    <t>SKUPAJ ODPRTI PROSTOR</t>
  </si>
  <si>
    <t>I</t>
  </si>
  <si>
    <t>II</t>
  </si>
  <si>
    <t>III</t>
  </si>
  <si>
    <t>IV</t>
  </si>
  <si>
    <t>V</t>
  </si>
  <si>
    <t>x</t>
  </si>
  <si>
    <t>Nasipi in jezovi</t>
  </si>
  <si>
    <t>AB konstrukcija brez opažnih načrtov</t>
  </si>
  <si>
    <t>nezahtevna lesena konstrukcija</t>
  </si>
  <si>
    <t>samo opažni načrti</t>
  </si>
  <si>
    <t>zelo vitke konstrukcije</t>
  </si>
  <si>
    <t>do 44%</t>
  </si>
  <si>
    <t>za stavbe in inženirske objekte iz točk 1 do 5 se upošteva faze 1 in 2</t>
  </si>
  <si>
    <t>za inženirske objekte iz skupine 6 in 7 se upošteva samo faza 2</t>
  </si>
  <si>
    <t>za stavbe 55 % GO del + 10 % I del</t>
  </si>
  <si>
    <t>za inženirske objekte 90 % GO + 15 TN</t>
  </si>
  <si>
    <t>za stavbe z visokim delelžem stroškov temeljenja in nosilne konstrukcije se lahko določi 90 % GO in 15 % TN</t>
  </si>
  <si>
    <t>Stanovanjske stavbe, domovi, šole, upravne stavbe ali banke s povprečno tehnično opremo</t>
  </si>
  <si>
    <t>Domovi, šole, upravne stavbe z nadpovprečno tehnično opremo</t>
  </si>
  <si>
    <t>Dvorane za družabne prireditve, kadar se ne uvrščajo v III. razred</t>
  </si>
  <si>
    <t>Koncertne dvorane, gledališča, operne hiše, konferenčne in kongresne dvorane stavbe</t>
  </si>
  <si>
    <t>Prostori (dvorane) za počitek, igralnice, foyerji</t>
  </si>
  <si>
    <t>Pisarne odprtega tipa</t>
  </si>
  <si>
    <t>Učilnice, predavalnice in sejne sobe</t>
  </si>
  <si>
    <t>– do 500 m³</t>
  </si>
  <si>
    <t>– 500 do 1 500 m³</t>
  </si>
  <si>
    <t>– več kot 1 500 m³</t>
  </si>
  <si>
    <t>Kinematografi</t>
  </si>
  <si>
    <t>– do 1 000 m³</t>
  </si>
  <si>
    <t>– 1 000 do 3 000 m³</t>
  </si>
  <si>
    <t>– več kot 3 000 m³</t>
  </si>
  <si>
    <t>Cerkve</t>
  </si>
  <si>
    <t>Športne dvorane, telovadnice</t>
  </si>
  <si>
    <t>– brez možnosti pregrajevanje, do 1 000 m³</t>
  </si>
  <si>
    <t>– z možnostjo pregrajevanja, do 3 000 m³</t>
  </si>
  <si>
    <t>Večnamenske dovrane</t>
  </si>
  <si>
    <t>– do 3 000 m³</t>
  </si>
  <si>
    <t>Koncertne dvorane, gledališča, operne hiše</t>
  </si>
  <si>
    <t>Poraba časa za osnovne storitve - požarna varnost</t>
  </si>
  <si>
    <t>TEHNOLOGIJA</t>
  </si>
  <si>
    <t>TEHNOLOGIJA (TH)</t>
  </si>
  <si>
    <t>VREDNOST DEL GRADNJA</t>
  </si>
  <si>
    <t>TEHNIČNA OPREMA</t>
  </si>
  <si>
    <t>INŽENIRSKI OBJEKTI</t>
  </si>
  <si>
    <t>STAVBE</t>
  </si>
  <si>
    <t>OBJEKTI PROMETNE INFRASTRUKTURE</t>
  </si>
  <si>
    <t>GRADBENE KONSTRUKCIJE</t>
  </si>
  <si>
    <t>ELEKTRIČNE INSTALACIJE</t>
  </si>
  <si>
    <t>STROJNE INSTALACIJE</t>
  </si>
  <si>
    <t>UČINKOVITA RABA ENERGIJE</t>
  </si>
  <si>
    <t>GRADBENA AKUSTIKA (ZAŠČITA PRED HRUPOM)</t>
  </si>
  <si>
    <t>PROSTORSKA AKUSTIKA</t>
  </si>
  <si>
    <t>POŽARNA VARNOST</t>
  </si>
  <si>
    <t>OPOMBA: POVZETO PO ZAPS, 2012, ARHIGRAM 2</t>
  </si>
  <si>
    <t>oblikovna zahtevnost</t>
  </si>
  <si>
    <t>konstrukcijska zahtevnost</t>
  </si>
  <si>
    <t>zahtevnost zaključnih del</t>
  </si>
  <si>
    <t>Predavalnice, kongresni centri</t>
  </si>
  <si>
    <t>Laboratoriji ali inštituti</t>
  </si>
  <si>
    <t>Stavbe kazenskega sistema</t>
  </si>
  <si>
    <t>Ustanove za varstvo odraslih, dnevni centri</t>
  </si>
  <si>
    <t>Domovi za ostarele ali posteljni domovi z medicinsko-tehničnimi pripomočki ali brez njih,</t>
  </si>
  <si>
    <t>Reševalne postaje, ambulante</t>
  </si>
  <si>
    <t>Prostori za terapijo ali rehabilitacijo, zgradbe za rekreacijo, zdravljenje ali okrevanje</t>
  </si>
  <si>
    <t>Pomožne bolnišnice</t>
  </si>
  <si>
    <t>Bolnišnice I ali II stopnje oskrbe, bolnišnice posebnega namena</t>
  </si>
  <si>
    <t>Bolnišnice III. Stopnje oskrbe, univerzitetne bolnišnice</t>
  </si>
  <si>
    <t>Enostavna prodajna skladišča, stojnice, kioski</t>
  </si>
  <si>
    <t>Javne kuhinje, z jedilnicami ali brez njih</t>
  </si>
  <si>
    <t>Preproste tribune</t>
  </si>
  <si>
    <t>Čolnarne</t>
  </si>
  <si>
    <t>Telovadnice ali športne dvorane</t>
  </si>
  <si>
    <t>Rastlinjaki za proizvodnjo</t>
  </si>
  <si>
    <t>Enostavne zaprte enonadstropne dvorane, delavnice</t>
  </si>
  <si>
    <t>Odprti prehodi, nadkritja, na primer vremenska zavetišča, nadstrešnice</t>
  </si>
  <si>
    <t>Enostavne garažne zgradbe</t>
  </si>
  <si>
    <t>Parkirne stavbe, garaže, podzemne garaže, vsaka z integriranimi drugimi vrstami uporabe</t>
  </si>
  <si>
    <t>Potniški centri ali postaje različnih javnih prevozov</t>
  </si>
  <si>
    <t>Paviljoni za kulturne namene</t>
  </si>
  <si>
    <t>Večnamenske dvorane za verske ali kulturne namene</t>
  </si>
  <si>
    <t>Muzeji</t>
  </si>
  <si>
    <t>Stavbe za radio ali televizijo</t>
  </si>
  <si>
    <t>SEZNAMI STANDARDNIH PRIMEROV</t>
  </si>
  <si>
    <t>Najenostavnejša notranja oprema za začasno uporabo z najpreprostejšo serijsko opremo ali brez nje</t>
  </si>
  <si>
    <t>Notranja oprema z nizkimi zahtevami glede načrtovanja, z uporabo serijsko izdelanega pohištva in opreme preproste kakovosti, brez tehnične opreme</t>
  </si>
  <si>
    <t>Notranja oprema s povprečnimi zahtevami glede načrtovanja, pretežno z uporabo serijsko izdelanega pohištva in opreme ali s povprečno tehnično opremo</t>
  </si>
  <si>
    <t>Notranja oprema z visokimi zahtevami glede načrtovanja, z uporabo serijsko izdelanega pohištva in pohištva visoke kakovosti ali visokokakovostne tehnične opreme</t>
  </si>
  <si>
    <t>Notranjost z zelo visokimi zahtevami glede načrtovanja, z uporabo kompleksnega pohištva in opreme ali obsežne tehnične opreme</t>
  </si>
  <si>
    <t>Najenostavnejše sobe brez pohištva ali za začasno uporabo</t>
  </si>
  <si>
    <t>Najenostavnejši prostori brez pohištva ali za začasno uporabo</t>
  </si>
  <si>
    <t>Preprosti stanovanjski prostori z nizkimi zahtevami glede oblikovanja ali opreme</t>
  </si>
  <si>
    <t>Stanovanjski prostori s povprečnimi zahtevami, serijsko opremljene kuhinje</t>
  </si>
  <si>
    <t>Stanovanjski prostori v skupnih nastanitvah ali domovih</t>
  </si>
  <si>
    <t>Stanovanjski prostori z visokimi zahtevami, kuhinje in kopalnice po meri</t>
  </si>
  <si>
    <t>Predelava podstrešja, zimski vrtovi</t>
  </si>
  <si>
    <t>Skupinski prostori, na primer v jaslih, vrtcih, mladinskih centrih, mladinskih domovih, mladinskih hostlih</t>
  </si>
  <si>
    <t>Avditoriji, izobraževalni centri, knjižnice, laboratoriji, učne kuhinje z jedilnicami oziroma saloni ali brez, specializirane učilnice s tehnično opremo</t>
  </si>
  <si>
    <t>Znanstvenoraziskovalni prostori z visokimi zahtevami in tehnično opremo</t>
  </si>
  <si>
    <t>Kopirnice, prostori za čistila ali drugi pomožni prostori brez konstrukcijskih elementov</t>
  </si>
  <si>
    <t>Sanitarni prostori, utility, pomožni prostori, tehnični prostori</t>
  </si>
  <si>
    <t>Vhodne avle, sejne ali konferenčne sobe, menze, družabni prostori</t>
  </si>
  <si>
    <t>Prostori za sestanke in konference, sodne dvorane, vodstveni prostori z opremo po meri ali sofisticirano tehnično opremo</t>
  </si>
  <si>
    <t>Poslovne, sejne ali konferenčne sobe v prefinjenem dizajnu s pohištvom in opremo po meri, dodelano opremo ali zelo visokimi tehničnimi zahtevami</t>
  </si>
  <si>
    <t>Odprte igralnice ali avle</t>
  </si>
  <si>
    <t>Preprosti prostori za počitek ali pomožni prostori</t>
  </si>
  <si>
    <t>Operacijske dvorane, porodne sobe, rentgenske sobe</t>
  </si>
  <si>
    <t>Prodajne stojnice za začasno uporabo</t>
  </si>
  <si>
    <t>Kioski, prodajna skladišča, pomožni prostori s preprosto opremo in opremo</t>
  </si>
  <si>
    <t>Povprečne trgovine ali restavracije, nakupovalne površine, restavracije s hitro hrano</t>
  </si>
  <si>
    <t>Specializirane trgovine, butiki, razstavni saloni, kinodvorane, velike kuhinje</t>
  </si>
  <si>
    <t>Razstavna stojala, če se uporabljajo sistemske ali modularne komponente</t>
  </si>
  <si>
    <t>Posamezne razstavne stojnice</t>
  </si>
  <si>
    <t>Prostori za goste, recepcije ali zabaviščni prostori v hotelih z individualno zasnovo ali opremo ali z vrhunsko opremo ali tehnično opremo</t>
  </si>
  <si>
    <t>Pomožni ali servisni prostori v športnih objektih ali bazenih</t>
  </si>
  <si>
    <t>Bazeni, fitnes, wellness ali savna, veliki športni objekti</t>
  </si>
  <si>
    <t>Športne, večnamenske ali mestne dvorane, telovadnice, plesne šole</t>
  </si>
  <si>
    <t>Preproste dvorane ali delavnice brez posebne opreme, paviljoni</t>
  </si>
  <si>
    <t>Kmetijski gospodarski prostori</t>
  </si>
  <si>
    <t>Trgovski prostori, delavnice s tehnično ali mehansko opremo</t>
  </si>
  <si>
    <t>Celotne delavnice ali industrijski objekti</t>
  </si>
  <si>
    <t>Prostori v podzemnih garažah, podhodih</t>
  </si>
  <si>
    <t>Gostinska ali poslovna območja na letališčih, železniških postajah</t>
  </si>
  <si>
    <t>Kulturni ali sakralnI objekti, verski prostori</t>
  </si>
  <si>
    <t>Individualno oblikovane razstavne, muzejske ali gledališke površine</t>
  </si>
  <si>
    <t>Koncertne ali gledališke dvorane, studijske sobe za radio, televizijo ali gledališče</t>
  </si>
  <si>
    <t>Preprosta zunanja ureditev</t>
  </si>
  <si>
    <t>Terase in strešni vrtovi</t>
  </si>
  <si>
    <t>Otroška igrišča</t>
  </si>
  <si>
    <t>Gledališča na prostem</t>
  </si>
  <si>
    <t>Pokopališča, spomeniki, spominska obeležja, z visokimi ali zelo visokimi zahtevami</t>
  </si>
  <si>
    <t>INŽENIRSKI OBJEKTI (IZBOR)</t>
  </si>
  <si>
    <t>IZRAČUN ŠTEVILA UR</t>
  </si>
  <si>
    <t>PORAZDELITEV UR</t>
  </si>
  <si>
    <t>% investicije odprti prostor</t>
  </si>
  <si>
    <t>% investicije stavbe</t>
  </si>
  <si>
    <t>Poraba časa - stavbe in notranja oprema</t>
  </si>
  <si>
    <t>Poraba časa - odprti prostor</t>
  </si>
  <si>
    <t>Poraba časa - inženirski objekti</t>
  </si>
  <si>
    <t>Poraba časa za storitve - prometna infrastruktura</t>
  </si>
  <si>
    <t>IZRAČUN ŠTEVILA UR ZA TEHNOLOGIJO</t>
  </si>
  <si>
    <t>PORAZDELITEV UR ZA TEHNOLOGIJO</t>
  </si>
  <si>
    <t>IZRAČUN ŠTEVILA UR - ZAŠČITA PRED HRUPOM</t>
  </si>
  <si>
    <t>Poraba časa  - učinkovita raba energije</t>
  </si>
  <si>
    <t>Poraba časa - Zaščita pred hrupom</t>
  </si>
  <si>
    <t>Poraba časa - prostorska akustika</t>
  </si>
  <si>
    <t>IZRAČUN ŠTEVILA UR - UČINKOVITA RABA ENERGIJE</t>
  </si>
  <si>
    <t>IZRAČUN ŠTEVILA UR - PROSTORSKA AKUSTIKA</t>
  </si>
  <si>
    <t>PORAZDELITEV UR  - UČINKOVITA RABA ENERGIJE</t>
  </si>
  <si>
    <t>PORAZDELITEV UR  - ZAŠČITA PRED HRUPOM</t>
  </si>
  <si>
    <t>IZRAČUN IZHODIŠČNIH VREDNOSTI OSNOVNIH STORITEV</t>
  </si>
  <si>
    <t>PORAZDELITEV UR  - PROSTORSKA AKUSTIKA</t>
  </si>
  <si>
    <t>IZRAČUN ŠTEVILA UR - POŽARNA VARNOST</t>
  </si>
  <si>
    <t>3 do 33 %</t>
  </si>
  <si>
    <t>% investicije notranja oprema</t>
  </si>
  <si>
    <t>% investicije inženirski objekti</t>
  </si>
  <si>
    <t>% investicije prometna infrastruktura</t>
  </si>
  <si>
    <t>% investicije objekti</t>
  </si>
  <si>
    <t>2 do 8 %</t>
  </si>
  <si>
    <t>PODROČJE</t>
  </si>
  <si>
    <t>NADPOVPREČEN OBSEG RISB ZA INŽENIRSKE OBJEKTE</t>
  </si>
  <si>
    <t>do 20 %</t>
  </si>
  <si>
    <t>% z dodatki</t>
  </si>
  <si>
    <t>ZA INŽENIRSKI OBJEKT JE POTREBNA ZASNOVA GK</t>
  </si>
  <si>
    <t>AB KONSTRUKCIJA BREZ OPAŽNIH NAČRTOV ALI ENOSTAVNA LESENA KONSTRUKCIJA</t>
  </si>
  <si>
    <t>BREZ NAČRTA UTOROV IN PREBOJEV V NAČRTIH INŠTALACIJ</t>
  </si>
  <si>
    <t>BREZ PREVERJANJA MONTAŽNIH IN DELAVNIŠKIH NAČRTOV V TEHNIČNIH NAČRTIH</t>
  </si>
  <si>
    <t>za fazo 2.4 GK</t>
  </si>
  <si>
    <t>za fazo 2.4 TO</t>
  </si>
  <si>
    <t>za fazo 2.1 IO</t>
  </si>
  <si>
    <t>za fazo 2.4 IO</t>
  </si>
  <si>
    <t>PRIBITEK ZA PRENOVO</t>
  </si>
  <si>
    <t>UPORABA BIM PROCESOV</t>
  </si>
  <si>
    <t>specifični tehnični pogoji</t>
  </si>
  <si>
    <t>geološke geotehnične danosti gradbenega zemljišča,</t>
  </si>
  <si>
    <t>tehnična oprema in opremljenost,</t>
  </si>
  <si>
    <t>Vključevanje v okolje ali v območje objekta,</t>
  </si>
  <si>
    <t>število funkcionalnih področij ali konstrukcijske in tehnične zahteve,</t>
  </si>
  <si>
    <t>1 do 5 točk</t>
  </si>
  <si>
    <t>1 do 10 točk</t>
  </si>
  <si>
    <t>1 do 15 točk</t>
  </si>
  <si>
    <t>SKUPAJ MAKSIMALNO 40</t>
  </si>
  <si>
    <t>11 do 17 točk</t>
  </si>
  <si>
    <t>18 do 25 točk</t>
  </si>
  <si>
    <t>26 do 33 točk</t>
  </si>
  <si>
    <t>34 do 40 točk</t>
  </si>
  <si>
    <t>vključevanje v okolje ali v območje objekta,</t>
  </si>
  <si>
    <t>PRIMERJALNA VREDNOST INVESTICIJE</t>
  </si>
  <si>
    <t>NAČRT ARHITEKTURE</t>
  </si>
  <si>
    <t>NAČRT ELEKTRIČNIH INŠTALACIJ</t>
  </si>
  <si>
    <t>NAČRT STROJNIH INŠTALACIJ</t>
  </si>
  <si>
    <t>SKUPAJ NU ZA FAZO</t>
  </si>
  <si>
    <t>GRADBENI NADZOR</t>
  </si>
  <si>
    <t>zunanja ureditev</t>
  </si>
  <si>
    <t>Ceste izven naselij</t>
  </si>
  <si>
    <t>– brez posebnih horizontalnih elementov osi ali na zmerno neravnem terenu</t>
  </si>
  <si>
    <t>– s posebnimi horizontalnimi elementi osi ali na neravnem terenu</t>
  </si>
  <si>
    <t>– z večjim številom posebnih horizontalnih elementov osi ali na močno neravnem terenu</t>
  </si>
  <si>
    <t>– v hribovitem terenu</t>
  </si>
  <si>
    <t>Ceste in trgi v naselju</t>
  </si>
  <si>
    <t>– Stanovanjske in zbirne ulice</t>
  </si>
  <si>
    <t>– druge mestne ulice z običajnimi prometnimi zahtevami ali normalnimi urbanističnimi razmerami (povprečno število povezav z okolico)</t>
  </si>
  <si>
    <t>– druge mestne ulice z visokimi prometnimi zahtevami ali težkimi urbanističnimi razmerami (veliko število povezav z okoljem)</t>
  </si>
  <si>
    <t>Poti</t>
  </si>
  <si>
    <t>– na ravnem terenu z enostavnimi pogoji za odvodnjavanje</t>
  </si>
  <si>
    <t>– na neravnem terenu z enostavnimi pogoji za gradnjo in odvodnjavanje</t>
  </si>
  <si>
    <t>– na neravnem terenu s težkimi pogoji za gradnjo in odvodnjavanje</t>
  </si>
  <si>
    <t>Parkirišča, prometne površine</t>
  </si>
  <si>
    <t>– preproste prometne površine, parkirišča izven urbanih območij</t>
  </si>
  <si>
    <t>– notranja parkirišča</t>
  </si>
  <si>
    <t xml:space="preserve">– območja umirjenega prometa z običajnimi urbanističnimi zahtevami </t>
  </si>
  <si>
    <r>
      <t> </t>
    </r>
    <r>
      <rPr>
        <sz val="10"/>
        <color rgb="FF221F1F"/>
        <rFont val="Inter"/>
        <family val="2"/>
      </rPr>
      <t>x</t>
    </r>
  </si>
  <si>
    <t>– območja umirjenega prometa z visokimi urbanističnimi zahtevami</t>
  </si>
  <si>
    <t>– prometne površine za pretovarjanje cesta/cesta</t>
  </si>
  <si>
    <t>– prometne površine za pretovarjanje kombinirani promet</t>
  </si>
  <si>
    <t>Bencinske črpalke, počivališča</t>
  </si>
  <si>
    <t>– z običajnimi prometnimi zahtevami</t>
  </si>
  <si>
    <t>– z visokimi prometnimi zahtevami</t>
  </si>
  <si>
    <t>Vozlišča</t>
  </si>
  <si>
    <t>– enostavna nivojska</t>
  </si>
  <si>
    <t>– zahtevna nivojska</t>
  </si>
  <si>
    <t>– zelo zahtevna nivojska</t>
  </si>
  <si>
    <t>– enostavna izven nivojska</t>
  </si>
  <si>
    <t>– zahtevna izven nivojska</t>
  </si>
  <si>
    <t>– zelo zahtevna izven nivojska</t>
  </si>
  <si>
    <t>Železniški tiri na odprtih progah</t>
  </si>
  <si>
    <t>– brez kretnic in križišč</t>
  </si>
  <si>
    <t>Tirni in peronski sistemi železniških postaj</t>
  </si>
  <si>
    <t>- z enostavno tirno shemo</t>
  </si>
  <si>
    <t>– z zahtevno tirno shemo</t>
  </si>
  <si>
    <t>– z zelo zahtevno tirno shemo</t>
  </si>
  <si>
    <t>– enostavne prometne površine pristajališč, letališča za jadralna letala</t>
  </si>
  <si>
    <t>– zahtevne prometne površine pristajališč, enostavne prometne površine letališč</t>
  </si>
  <si>
    <r>
      <t>x</t>
    </r>
    <r>
      <rPr>
        <sz val="7.5"/>
        <color theme="1"/>
        <rFont val="Inter"/>
        <family val="2"/>
      </rPr>
      <t> </t>
    </r>
  </si>
  <si>
    <t>– zahtevne prometne površine letališč</t>
  </si>
  <si>
    <t>Nosilne konstrukcije z zelo majhno statično zahtevnostjo, predvsem enostavne statično določene ravninske konstrukcije iz lesa, jekla, kamna ali nearmiranega betona, za mirujoče obtežbe, brez ugotavljanja horizontalne togosti</t>
  </si>
  <si>
    <t>Oporni zidovi</t>
  </si>
  <si>
    <t>Temeljenje</t>
  </si>
  <si>
    <t>Oboki</t>
  </si>
  <si>
    <t>Stropne konstrukcije</t>
  </si>
  <si>
    <t>Utrejene skeletne konstrukcije</t>
  </si>
  <si>
    <t>Okvirne in skeletne konstrukcije</t>
  </si>
  <si>
    <t>konstrukcije, prednapete s kabli</t>
  </si>
  <si>
    <t>Dinamično obremenjene konstrukcije</t>
  </si>
  <si>
    <t>Posebne računske metode</t>
  </si>
  <si>
    <t>Prednapete betonske konstrukcije</t>
  </si>
  <si>
    <t>Gradbeni odri</t>
  </si>
  <si>
    <t>Zelo zahtevne nosilne konstrukcije, predvsem statično in konstrukcijsko neobičajno zahtevne nosilne konstrukcije</t>
  </si>
  <si>
    <t>Nosilne konstrukcije z nadpovprečno zahtevnostjo, predvsem statično in konstrukcijsko zahtevne nosilne konstrukcije običajne izvedbe in nosilne konstrukcije, pri katerih je pri preverjanju stabilnosti in trdnosti treba upoštevati težko določljive vplive</t>
  </si>
  <si>
    <t>Nosilne konstrukcije s povprečno zahtevnostjo, predvsem zahtevne, statično določene in nedoločene ravninske konstrukcije običajne izvedbe, brez prednapetih in sovprežnih konstrukcij in brez preverjanja stabilnosti</t>
  </si>
  <si>
    <t>Nosilne konstrukcije z majhno statično zahtevnostjo, predvsem statično določene ravninske konstrukcije običajne izvedbe, brez prednapetih in sovprežnih konstrukcij, za pretežno mirujočo obremenitev</t>
  </si>
  <si>
    <t>vilablok</t>
  </si>
  <si>
    <t>večstanovanjska stavba</t>
  </si>
  <si>
    <t>SKUPAJ GRADBENI STROŠKI</t>
  </si>
  <si>
    <t>VREDNOST V EUR S PRIBITKI</t>
  </si>
  <si>
    <t>Ana Pupedan</t>
  </si>
  <si>
    <t>Krajinske ureditve vodotokov, brežin in plazišč</t>
  </si>
  <si>
    <t>Počivališča, parkirišča, avtobusna in železniška postajališča in peroni z opremo, obračališča in druge utrjene površine, gozdne ceste, pešpoti, kolesarske poti in jahalne steze</t>
  </si>
  <si>
    <t>Območja urbanih vrtov (mestni vrtički, skupnostni vrtovi ipd.)</t>
  </si>
  <si>
    <t>Skakalnice</t>
  </si>
  <si>
    <t>Športna igrišča in rekreacijska območja</t>
  </si>
  <si>
    <t>Športni objekti v odprti krajini, poligoni, tekmovalne steze, vzletišča, jahališča, površine za avtomobilske, motoristične, kolesarske in konjske dirke s pomožnimi objekti</t>
  </si>
  <si>
    <t>Razgledne ploščadi in opazovalnice</t>
  </si>
  <si>
    <t>Živalski in botanični vrtovi, arboretumi</t>
  </si>
  <si>
    <t>Objekti za zaščito pred hrupom in vetrom (protihrupne in protivetrne ograje ali drugi objekti)</t>
  </si>
  <si>
    <t>Urbana oprema (grajena igrala, vodometi in vodnjaki), objekti za oglaševanje in informacijski panoji</t>
  </si>
  <si>
    <t>Zunanje vrtne razstave in dvoranske vrtne predstavitve</t>
  </si>
  <si>
    <t>Nepokrita prezentirana arheološka najdišča in ruševine</t>
  </si>
  <si>
    <t>Zunanje ureditve v povezavi z zgodovinskimi stavbami ali drugimi objekti, zgodovinski parki in vrtovi, vrtni spomeniki</t>
  </si>
  <si>
    <t>Zunanje ureditve glede na tipologijo stavbe, s povprečnimi topografskimi pogoji ali povprečno opremo (npr. ob večstanovanjskih ali javnih stavbah)</t>
  </si>
  <si>
    <t>Zunanje ureditve glede na tipologijo stavbe, s težkimi ali posebej težkimi topografskimi razmerami ali visokimi ali zelo visokimi zahtevami glede opreme (npr. soseske, zunanji prostor šol in vrtcev, domov za starejše, zunanji prostor reprezentančnih stavb ipd.)</t>
  </si>
  <si>
    <t>Marine s pripadajočimi pristaniškimi napravami (športna pristanišča in marine, tudi rečna pristanišča, oprema za plaže, pomoli in pontoni)</t>
  </si>
  <si>
    <t>Urejena naravna kopališča, smučišča na vodi, vlečnice za smučanje na vodi, kajakaške proge</t>
  </si>
  <si>
    <t>Vodne in obvodne ureditve s pretežno ekološkimi in krajinskimi elementi, ribniki brez jezov, drenažni jarki in drugi objekti za osuševanje zemljišč,</t>
  </si>
  <si>
    <t>Reliefno preoblikovanje terena  (nasipi, izkopi in odkopi)</t>
  </si>
  <si>
    <t>CENOVNI RAZREDI - STAVBE</t>
  </si>
  <si>
    <t>CENOVNI RAZREDI - NOTRANJA OPREMA</t>
  </si>
  <si>
    <t>CENOVNI RAZREDI - ODPRTI PROSTOR</t>
  </si>
  <si>
    <t>MERILA ZA OCENJEVANJE INŽENIRSKIH OBJEKTOV</t>
  </si>
  <si>
    <t>CENOVNI RAZREDI - INŽENIRSKI OBJEKTI</t>
  </si>
  <si>
    <t>CENOVNI RAZREDI - OBJEKTI PROMETNE INFRASTRUKTURE</t>
  </si>
  <si>
    <t>MERILA ZA OCENJEVANJE OBJEKTI PROMETNE INFRASTRUKTURE</t>
  </si>
  <si>
    <t>MERILA ZA OCENJEVANJE - STAVBE</t>
  </si>
  <si>
    <t>MERILA ZA OCENJEVANJE - NOTRANJA OPREMA</t>
  </si>
  <si>
    <t>MERILA ZA OCENJEVANJE - ODPRTI PROSTOR</t>
  </si>
  <si>
    <t>NAČRT KRAJINSKE ARHITEKTURE</t>
  </si>
  <si>
    <t>Strojne inštalacije</t>
  </si>
  <si>
    <t>Električne inštalacije</t>
  </si>
  <si>
    <t>Nizkonapetostne napeljave, vključno z vodili</t>
  </si>
  <si>
    <t>Visokonapetostni ali srednjenapetostni sistemi, transformatorske postaje, notranji napajalni sistemi s posebnimi zahtevami (npr. zasilni generatorji električne energije, kombinirane toplarne in elektrarne, dinamično neprekinjeno napajanje)</t>
  </si>
  <si>
    <t>Preproste telekomunikacijske inštalacije s posameznimi terminali</t>
  </si>
  <si>
    <t>Telekomunikacijski ali informacijski sistemi, ki niso navedeni v I. ali III. razredu</t>
  </si>
  <si>
    <t>Telekomunikacijski ali informacijski tehnološki sistemi s posebnimi zahtevami (npr. konferenčni ali tolmaški sistemi, sistemi za obveščanje javnosti za posebne prostore, sistemi za spremljanje nepremičnin, aktivne omrežne komponente, oddaljena prenosna omrežja, sistemi za daljinsko upravljanje, sistemi za vodenje parkiranja)</t>
  </si>
  <si>
    <t>Transportni sistemi</t>
  </si>
  <si>
    <t>Posamezna standardna dvigala, manjša tovorna dvigala, dvižne ploščadi</t>
  </si>
  <si>
    <t>Dvigala ki niso navedena v I. ali III. razredu, tekoče stopnice ali trakovi, žerjavi, nakladalni mostovi, neprekinjeni transportni sistemi</t>
  </si>
  <si>
    <t>Dvigala s posebnimi zahtevami, fasadna dvigala, transportni sistemi z več kot dvema oddajnima ali sprejemnima točkama</t>
  </si>
  <si>
    <t>Posebne naprave in sistemi</t>
  </si>
  <si>
    <t>Sistemi za oskrbo s tekočinami in plini, na primer za proizvodnjo, shranjevanje, predelavo ali distribucijo medicinskih ali tehničnih plinov, tekočin ali vakuuma</t>
  </si>
  <si>
    <t>Sistemi za ogrevanje in hlajenje tehnoloških procesov, sistemi za tehnološki zrak, na primer vakuumski sistemi, testne postaje, vetrovniki, industrijski sesalni sistemi</t>
  </si>
  <si>
    <t>Tehnologija za bencinske črpalke in pralnice vozil</t>
  </si>
  <si>
    <t>Sistemi za odtaljevanje ali zaščita proti zmrzali</t>
  </si>
  <si>
    <t>Stacionarni sistemi za odtaljevanje za velike sisteme, npr. za letališča</t>
  </si>
  <si>
    <t>Tehnološki sistemi</t>
  </si>
  <si>
    <t>Avtomatizacija stavb</t>
  </si>
  <si>
    <t>TIPOLOGIJA</t>
  </si>
  <si>
    <t>lokalni faktor</t>
  </si>
  <si>
    <t>Večstanovanjske stavbe ali skupine stanovanjskih stavb v strnjeni pozidavi, nižji standard</t>
  </si>
  <si>
    <t>Večstanovanjske stavbe ali skupine stanovanjskih stavb v strnjeni pozidavi, srednji standard</t>
  </si>
  <si>
    <t>Večstanovanjske stavbe ali skupine stanovanjskih stavb v strnjeni pozidavi, višji standard</t>
  </si>
  <si>
    <t>Podkletene eno in dvostanovanjske stavbe, srednji standard</t>
  </si>
  <si>
    <t>Podkletene eno in dvostanovanjske stavbe, višji standard</t>
  </si>
  <si>
    <t>Nepodkletene eno in dvostanovanjske stavbe, nižji standard</t>
  </si>
  <si>
    <t>Nepodkletene eno in dvostanovanjske stavbe, srednji standard</t>
  </si>
  <si>
    <t>Nepodkletene eno in dvostanovanjske stavbe, višji standard</t>
  </si>
  <si>
    <t>Oskrbovana stanovanja, srednji standard</t>
  </si>
  <si>
    <t>Oskrbovana stanovanja, višji standard</t>
  </si>
  <si>
    <t>Študentski domovi, skupna nastanitev</t>
  </si>
  <si>
    <t>Šole s povprečnimi načrtovalskimi potrebami - poklicne šole</t>
  </si>
  <si>
    <t>Šole s povprečnimi načrtovalskimi potrebami - osnovne in srednje šole</t>
  </si>
  <si>
    <t>DOKUMENTACIJA ZA UPRAVNE POSTOPKE</t>
  </si>
  <si>
    <t>OCENA STROŠKOV</t>
  </si>
  <si>
    <t xml:space="preserve">Cenovni razdredi se določijo v skladu s seznami standardnih primerov tako, da se cenovni razred za vsak objekt oziroma področje razbere iz ustrezne tabele. Če določanje po seznamu ni mogoče oziroma kadar gre za sestavljene objekte ali različne vrste objektov, se določi razred ki v tem primeru prevlada ali pa se razred določi s točkovanjem glede na posamezna merila za ocenjevanje, ki kot rezultat določijo cenovni razred. </t>
  </si>
  <si>
    <t>MINIMALNO ŠTEVILO NU</t>
  </si>
  <si>
    <t>MAKSIMALNO ŠTEVILO NU</t>
  </si>
  <si>
    <t xml:space="preserve">Vrednosti v ležeči pisavi so informativne narave. </t>
  </si>
  <si>
    <t>PRIBITKI IN OSTALE POSEBNOSTI</t>
  </si>
  <si>
    <t>DELEŽ UREDITVE ODPRTEGA PROSTORA, KI BO ZAJET V NAČRT ARHITEKTURE</t>
  </si>
  <si>
    <t>0 do 100 %</t>
  </si>
  <si>
    <t>OPOMBE</t>
  </si>
  <si>
    <t>NAČRT ARHITEKTURE - ODPRTI PROSTOR</t>
  </si>
  <si>
    <t>VKLJUČEVANJE DRUGIH IZVAJALCEV V POGODBO</t>
  </si>
  <si>
    <t>upošteva se v vseh fazah</t>
  </si>
  <si>
    <t>kadar odprti prostor projektirata A in KA</t>
  </si>
  <si>
    <t>upošteva se v vseh fazah, samo načrtovanje objektov</t>
  </si>
  <si>
    <t>Poraba časa za storitve na področju tehničnega projektiranja</t>
  </si>
  <si>
    <t>Podkletene eno in dvostanovanjske stavbe, nižji standard</t>
  </si>
  <si>
    <t>IDEJNO PROJEKTIRANJE</t>
  </si>
  <si>
    <t>PROJEKTIRANJE ZA IZVEDBO</t>
  </si>
  <si>
    <t>ZA NAČRT ARHITEKTURE</t>
  </si>
  <si>
    <t>ZA NAČRT ARHITEKTURE - ODPRTI PROSTOR</t>
  </si>
  <si>
    <t>ZA NAČRT NOTRANJE OPREME</t>
  </si>
  <si>
    <t>ZA NAČRT KRAJINSKE ARHITEKTURE</t>
  </si>
  <si>
    <t>ZA NAČRT ELEKTRIČNIH INSTALACIJ</t>
  </si>
  <si>
    <t>ZA NAČRT STROJNIH INSTALACIJ</t>
  </si>
  <si>
    <t>ZA NAČRT TEHNOLOGIJE</t>
  </si>
  <si>
    <t>% stroškov gradnje</t>
  </si>
  <si>
    <t>PROJEKT ZA IZVEDBO (PZI):</t>
  </si>
  <si>
    <t>IDEJNI PROJEKT (IDP):</t>
  </si>
  <si>
    <t>IDEJNA ZASNOVA (IDZ):</t>
  </si>
  <si>
    <t>PROJEKTANTSKI NADZOR IZDELOVALCEV POSAMEZNIH NAČRTOV</t>
  </si>
  <si>
    <t>OSNOVNE STORITVE</t>
  </si>
  <si>
    <t>INVESTITOR</t>
  </si>
  <si>
    <t>PROJEKTANT</t>
  </si>
  <si>
    <t>PRILOGA 1 - SPECIFIKACIJA STORITEV</t>
  </si>
  <si>
    <t>SKUPAJ Z DDV</t>
  </si>
  <si>
    <t>STAVBA / DEL 1</t>
  </si>
  <si>
    <t>STAVBA / DEL 2</t>
  </si>
  <si>
    <t>STAVBA / DEL 3</t>
  </si>
  <si>
    <t>STAVBA / DEL 4</t>
  </si>
  <si>
    <t>STAVBA / DEL 5</t>
  </si>
  <si>
    <t>OBJEKT / DEL 1</t>
  </si>
  <si>
    <t>OBJEKT / DEL 2</t>
  </si>
  <si>
    <t>OBJEKT / DEL 3</t>
  </si>
  <si>
    <t>OBJEKT / DEL 4</t>
  </si>
  <si>
    <t>OBJEKT / DEL 5</t>
  </si>
  <si>
    <t>Obračunski stroški so del gradbenih stroškov nameravane gradnje in predstavljajo osnovo za izračun vrednosti posameznih storitev. Obračunski stroški ne vsebujejo DDV.</t>
  </si>
  <si>
    <t>Izpolnjujejo se samo okenca, označena z modro barvo. Vrednosti v poševni pisavi so informativne.</t>
  </si>
  <si>
    <t>VPIŠI ŠTEVILO NU</t>
  </si>
  <si>
    <t>UPORABI SREDNJO VREDNOST ŠTEVILA NU</t>
  </si>
  <si>
    <t>Vrtci - nepodkleteni</t>
  </si>
  <si>
    <t>Vrtci - podkleteni</t>
  </si>
  <si>
    <t>Večnamenske dvorane</t>
  </si>
  <si>
    <t>Veliki športni objekti</t>
  </si>
  <si>
    <t>Notranji bazeni</t>
  </si>
  <si>
    <t>Industrijske stavbe - masivna gradnja</t>
  </si>
  <si>
    <t>Industrijske stavbe - skeletna gradnja</t>
  </si>
  <si>
    <t>Stavbe za gostinstvo, menze ali kantine</t>
  </si>
  <si>
    <t>Diskonti</t>
  </si>
  <si>
    <t>Trgovski centri, nakupovalni centri, pokrite tržnice, sejemske dvorane</t>
  </si>
  <si>
    <t xml:space="preserve">Ureditve ob avtocestah in cestah, zasaditve protivetrnih pasov, zelene ločevalne poteze </t>
  </si>
  <si>
    <t>Zasaditve na prostem z zahtevami glede ohranjanja  narave (izravnalni ukrepi, nadomestni habitati)</t>
  </si>
  <si>
    <t xml:space="preserve">Zunanja ureditev in zasaditev odlagališč odpadkov, zbirnih centrov in smetišč </t>
  </si>
  <si>
    <t xml:space="preserve">Odprti prostori na območjih enostavne pozidave v manjših podeželskih  naseljih in ob posameznih objektih </t>
  </si>
  <si>
    <t>Parki, javni vrtovi in druge urejene zelene površine</t>
  </si>
  <si>
    <t>Trgi (ki so ali niso sestavni deli javne ceste) in območja za pešce</t>
  </si>
  <si>
    <t>Ozelenjena parkirišča in poti brez posebne opreme, zelenice</t>
  </si>
  <si>
    <t>Mestne ulice, avenije in drevoredi v varovalnem pasu cest ter drugi drevoredi, ozelenjene poti in druge povezave z urbano opremo</t>
  </si>
  <si>
    <t>Zabaviščni in tematski parki (npr. vodni, adrenalinski, plezalni parki in podobni objekti na prostem)</t>
  </si>
  <si>
    <t>Ureditve vodotokov in nabrežij vodnih teles v naseljih</t>
  </si>
  <si>
    <t xml:space="preserve">Izobraževalna območja, naravoslovne in druge učne poti </t>
  </si>
  <si>
    <t>Vrtovi in vrtna dvorišča z reprezentativno funkcijo ali visokimi zahtevami</t>
  </si>
  <si>
    <t xml:space="preserve">Smučišča in sankališča s tehnično opremo ali brez </t>
  </si>
  <si>
    <t>Kombinirana igrišča (z raznovrstnim programom), športna igrišča, teniška igrišča in igrišča z umetno podlago</t>
  </si>
  <si>
    <t>Ureditve zahtevnega terena z opornimi zidovi ali drugimi oporami v naseljih</t>
  </si>
  <si>
    <t>Mestni trgi in območja za pešce z visokimi ali zelo visokimi zahtevami glede opreme (mestna jedra, tržnice ipd.)</t>
  </si>
  <si>
    <t>Utrjene brežine (armirane brežine, podporni zidovi, suhozidi, gabioni, skalne ali kamnite zložbe ipd.)</t>
  </si>
  <si>
    <t>Enostavne in improvizirane stavbe za začasno uporabo</t>
  </si>
  <si>
    <t>Penzioni, gostišča</t>
  </si>
  <si>
    <t>Hoteli, moteli</t>
  </si>
  <si>
    <t>Mladinska prenočišča, planinske koče in zavetišča, počitniški domovi</t>
  </si>
  <si>
    <t>8. Infrastruktura</t>
  </si>
  <si>
    <t>1. Stanovanjske stavbe</t>
  </si>
  <si>
    <t>2. Izobraževanje, znanstvena in raziskovalna dejavnost</t>
  </si>
  <si>
    <t>3. Pisarniški in upravni prostori</t>
  </si>
  <si>
    <t>4. Zdravstveni prostori in prostori za oskrbo</t>
  </si>
  <si>
    <t>5. Trgovina in gostinstvo</t>
  </si>
  <si>
    <t>6. Šport in prosti čas</t>
  </si>
  <si>
    <t>2. Izobraževalne, znanstvene in raziskovalne stavbe</t>
  </si>
  <si>
    <t>5. Trgovske in gostinske stavbe</t>
  </si>
  <si>
    <t>3. Poslovne in upravne stavbe</t>
  </si>
  <si>
    <t>8. Stavbe za infrastrukturo</t>
  </si>
  <si>
    <t>7. Gospodarske, industrijske in kmetijske stavbe</t>
  </si>
  <si>
    <t>6. Stavbe za šport in rekreacijo</t>
  </si>
  <si>
    <t>9. Stavbe za kulturo in obredne stavbe</t>
  </si>
  <si>
    <t>1. Stanovanjski prostori</t>
  </si>
  <si>
    <t>9. Kultura, prostori za obrede</t>
  </si>
  <si>
    <t>1. V odprti krajini</t>
  </si>
  <si>
    <t>2. V mestih in naseljih</t>
  </si>
  <si>
    <t>3. Ozelenitev stavb</t>
  </si>
  <si>
    <t>4. Igrišča in športni objekti</t>
  </si>
  <si>
    <t>5. Posebni objekti</t>
  </si>
  <si>
    <t>6. Drugi objekti na prostem</t>
  </si>
  <si>
    <t>1. Objekti in naprave za oskrbo z vodo</t>
  </si>
  <si>
    <t>2. Objekti in naprave za odstranjevanje in čiščenje odpadnih vod z izjemo drenažnih sistemov, ki so namenjeni prometnim površinam in odvodnjavanju (odprti prostor)</t>
  </si>
  <si>
    <t>3. Objekti in naprave za hidrotehniko razen ureditev vodotokov in nabrežij ter vodnih in obvodnih ureditev (odprti prostor)</t>
  </si>
  <si>
    <t>4. Objekti in naprave za oskrbo in odstranjevanje</t>
  </si>
  <si>
    <t>5. Objekti in naprave za odstranjevanje odpadkov</t>
  </si>
  <si>
    <t>6. Inženirski objekti za promet</t>
  </si>
  <si>
    <t>7. Drugi inženirski objekti</t>
  </si>
  <si>
    <t>1. Ceste</t>
  </si>
  <si>
    <t>2. Železnice</t>
  </si>
  <si>
    <t>3. Letališča</t>
  </si>
  <si>
    <t>Zasaditve v odprti krajini, drevoredi, nasadi</t>
  </si>
  <si>
    <t>Območja varstva narave  z različnimi zahtevami glede zagotavljanja ekoloških funkcij (npr. mreženja biotopov)</t>
  </si>
  <si>
    <t>Pripadajoče površine ob stavbah ter drugih objektih in napravah, vrtovi in ureditve z nizkimi ali povprečnimi zahtevami</t>
  </si>
  <si>
    <t>Vertikalna in horizontalna ozelenitev ovoja stavb z visokimi ali zelo visokimi zahtevami (zelene strehe in zelene stene)</t>
  </si>
  <si>
    <t>Ozelenitev v notranjih prostorih z visokimi ali zelo visokimi zahtevami</t>
  </si>
  <si>
    <t>Notranja dvorišča, atriji z visokimi ali zelo visokimi zahtevami</t>
  </si>
  <si>
    <t>Igrišča za igre z žogo, nogometna igrišča in podobno, z nizkimi ali povprečnimi zahtevami</t>
  </si>
  <si>
    <t>Športni objekti za atletiko, atletske steze s pripadajočimi ureditvami in športni stadioni</t>
  </si>
  <si>
    <t>Igrišča za golf, konjeniški centri</t>
  </si>
  <si>
    <t>Šolska dvorišča in igrišča z igrali in vadbenimi napravami</t>
  </si>
  <si>
    <t xml:space="preserve">Šotorišča, kamp oziroma območja za kampiranje ali za avtodome s povprečnimi ali visokimi zahtevami </t>
  </si>
  <si>
    <t>Zunanji bazeni z visokimi zahtevami; bazenska kopališča</t>
  </si>
  <si>
    <t>Enostavne stavbe za začasno uporabo (bungalovi, stavbe v kampih, hišice na drevesih ali na vodi, glamping hišice ipd.)</t>
  </si>
  <si>
    <t>7. Gospodarstvo, industrija, kmetijstvo, promet</t>
  </si>
  <si>
    <t>Šole z nadpovprečnimi načrtovalskimi potrebami - izobraževalni centri, visoke šole, univerze, akademije</t>
  </si>
  <si>
    <t>Pisarniške in upravne stavbe, nižji standard</t>
  </si>
  <si>
    <t>Pisarniške in upravne stavbe, srednji standard</t>
  </si>
  <si>
    <t>Pisarniške in upravne stavbe, višji standard</t>
  </si>
  <si>
    <t>Parlament, sodna stavba</t>
  </si>
  <si>
    <t>Hranilniške in bančne poslovalnice</t>
  </si>
  <si>
    <t>Knjigarne, arhivi</t>
  </si>
  <si>
    <t>4. Zdravstvo in varstvo</t>
  </si>
  <si>
    <t>Gasilske in policijske postaje</t>
  </si>
  <si>
    <t>Pokopališke stavbe</t>
  </si>
  <si>
    <t>Obredne stavbe, cerkve</t>
  </si>
  <si>
    <t>Galerije, kinodvorane</t>
  </si>
  <si>
    <t xml:space="preserve">Gledališča, operne in koncertne hiše </t>
  </si>
  <si>
    <t>Vrednotenje storitev na področju arhitekturnega 
in krajinskoarhitekturnega projektiranja</t>
  </si>
  <si>
    <t>OPREDELITEV</t>
  </si>
  <si>
    <t>PRIPRAVA GRADIV ZA NAROČILO GRADNJE</t>
  </si>
  <si>
    <t>NAROČILO TEHNOLOŠKE OPREME</t>
  </si>
  <si>
    <t>DOVOLJENJE ZA UPORABO</t>
  </si>
  <si>
    <t>PROJEKT IZVEDENIH DEL (PID):</t>
  </si>
  <si>
    <t>VKLJUČI V IZRAČUN</t>
  </si>
  <si>
    <t>BTO VREDNOST NU V EUR</t>
  </si>
  <si>
    <t>PROJEKTNA DOKUMENTACIJA ZA PROJEKTNE POGOJE</t>
  </si>
  <si>
    <t>PROJEKTNA DOKUMENTACIJA ZA PRIDOBIVANJE GRADBENEGA DOVOLJENJA</t>
  </si>
  <si>
    <t>PROJEKTANTSKI POPIS DEL - PROJEKT ZA RAZPIS (PZR):</t>
  </si>
  <si>
    <t>RAZMERJE DOKUMENTACIJE ZA ODOBRITEV</t>
  </si>
  <si>
    <t xml:space="preserve">OCENA STROŠKOV GRADNJE </t>
  </si>
  <si>
    <t>OCENJENA VREDNOST EUR/m2 BTP</t>
  </si>
  <si>
    <t>OCENJENA VREDNOST EUR/m2 NTP</t>
  </si>
  <si>
    <t>OCENJENA VREDNOST EUR/m2 POVRŠINE</t>
  </si>
  <si>
    <t xml:space="preserve">Cenovni razdredi se določijo v skladu s seznamom standardnih primerov tako, da se cenovni razred za vsak objekt oziroma njegov del razbere iz ustrezne tabele na zavihku CENOVNI RAZREDI, nato pa izbere v spodnji razpredelnici v poljih cenovni razred. Če določanje po seznamu ni mogoče oziroma kadar gre za sestavljene objekte ali različne vrste objektov, se določi razred, ki v tem primeru prevladuje, ali pa se razred določi s točkovanjem glede na posamezna merila za ocenjevanje navedena na zavihku CENOVNI RAZREDI, ki kot rezultat določijo cenovni razred. </t>
  </si>
  <si>
    <r>
      <t xml:space="preserve">V primeru da gre za več objektov oziroma objekt z različnimi deli, se stroške gradnje lahko izračunava za vsak objekt ali del objekta posebej. Za vsak posemzen objekt ali del tako najprej vpišite ime objekta ali dela in izberite tipologijo za ta objekt ali del objekta. Na podlagi vašega izbora tipologije se bodo prikazale ocenjena minimalna in maksimalna vrednost gradnje v EUR/m2. Na podlagi teh vrednosti se odločite za vrednost, ki jo boste upoštevali v izračunu in jo vpišite v ustrezno polje. Vpišite še bruto tlorisno površino tega dela (bruto površina) in program bo izračunal oceno stroškov ter jo porazdelil med vrednosti del za GO, EI, SI in TH dela, ki so osnova za izračun obračunskih stroškov. Razmerja med temi deli so odvisna od izbrane tipologije objekta. Postopek ponovite za vse objekte oziroma dele objektov. </t>
    </r>
    <r>
      <rPr>
        <b/>
        <sz val="10"/>
        <rFont val="Inter"/>
        <family val="2"/>
      </rPr>
      <t>Vrednosti ne vsebujejo DDV</t>
    </r>
    <r>
      <rPr>
        <sz val="10"/>
        <rFont val="Inter Light"/>
        <family val="2"/>
        <charset val="238"/>
      </rPr>
      <t>.</t>
    </r>
  </si>
  <si>
    <r>
      <t xml:space="preserve">V istih vrsticah v stolpcu G in H določite </t>
    </r>
    <r>
      <rPr>
        <b/>
        <sz val="10"/>
        <rFont val="Inter"/>
        <family val="2"/>
      </rPr>
      <t>izhodiščne vredsnosti</t>
    </r>
    <r>
      <rPr>
        <sz val="10"/>
        <rFont val="Inter"/>
        <family val="2"/>
      </rPr>
      <t xml:space="preserve"> števila NU. </t>
    </r>
  </si>
  <si>
    <r>
      <t>V vrsticah od 252 dalje določite</t>
    </r>
    <r>
      <rPr>
        <b/>
        <sz val="10"/>
        <rFont val="Inter"/>
        <family val="2"/>
      </rPr>
      <t xml:space="preserve"> pribitke in ostale posebnosti</t>
    </r>
    <r>
      <rPr>
        <sz val="10"/>
        <rFont val="Inter"/>
        <family val="2"/>
      </rPr>
      <t xml:space="preserve"> na osnovne vrednosti. </t>
    </r>
  </si>
  <si>
    <t>Pribitki povečujejo ali zmanjšujejo izhodiščne vrednosti. Vpliv pribitkov se sproti prikazuje v stolpcu J.</t>
  </si>
  <si>
    <t>LOD 100</t>
  </si>
  <si>
    <t>LOD 200</t>
  </si>
  <si>
    <t>LOD 300</t>
  </si>
  <si>
    <t>LOD 400</t>
  </si>
  <si>
    <t>LOD 500</t>
  </si>
  <si>
    <t>Mladinski centri, centri za prosti čas</t>
  </si>
  <si>
    <t>Kmetijska in obrtna gospodarska poslopja</t>
  </si>
  <si>
    <t>INFORMATIVNA MINIMALNA VREDNOST</t>
  </si>
  <si>
    <t>INFORMATIVNA MAKSIMALNA VREDNOST</t>
  </si>
  <si>
    <t>INFORMATIVNA MINIMALNA VREDNOST EUR/m2 BTP</t>
  </si>
  <si>
    <t>INFORMATIVNA MASKIMALNA VREDNOST EUR/m2 BTP</t>
  </si>
  <si>
    <t>INFORMATIVNA MINIMALNA VREDNOST EUR/m2 NTP</t>
  </si>
  <si>
    <t>INFORMATIVNA MAKSIMALNAVREDNOST EUR/m2 NTP</t>
  </si>
  <si>
    <t>INFORMATIVNA MINIMALNA VREDNOST EUR/m2</t>
  </si>
  <si>
    <t>INFORMATIVNA MAKSIMALNA VREDNOST EUR/m2</t>
  </si>
  <si>
    <t>upošteva se v fazi 2 in podfazi 4.5 pri načrtovanju objektov in podpornem načrtovanju</t>
  </si>
  <si>
    <t>če je opcija izbrana, se v fazi 4.2 za gradbeni nadzor upošteva vse NU, določene za to fazo, v nasprotnem primeru pa le del NU za projektantski nadzor (10 % projektne dokumentacije), samo načrtovanje objektov</t>
  </si>
  <si>
    <t>BREZ</t>
  </si>
  <si>
    <t>IZVAJANJE GRADNJE</t>
  </si>
  <si>
    <t>PREDAJA OBJEKTA</t>
  </si>
  <si>
    <t>VZDRŽAVENJE</t>
  </si>
  <si>
    <r>
      <t xml:space="preserve">Za </t>
    </r>
    <r>
      <rPr>
        <b/>
        <sz val="10"/>
        <rFont val="Inter"/>
        <family val="2"/>
      </rPr>
      <t>izračun vrednosti ene NU</t>
    </r>
    <r>
      <rPr>
        <sz val="10"/>
        <rFont val="Inter"/>
        <family val="2"/>
      </rPr>
      <t xml:space="preserve"> je na voljo pripomoček na zavihku VREDNOST NU.</t>
    </r>
  </si>
  <si>
    <r>
      <t xml:space="preserve">Zavihek PONUDBA je namenjen </t>
    </r>
    <r>
      <rPr>
        <b/>
        <sz val="10"/>
        <rFont val="Inter"/>
        <family val="2"/>
      </rPr>
      <t>pripravi priloge k ponudbi ali pogodbi</t>
    </r>
    <r>
      <rPr>
        <sz val="10"/>
        <rFont val="Inter"/>
        <family val="2"/>
      </rPr>
      <t xml:space="preserve"> in je v celoti odklenjen. Vrednosti za osnovne storitve za načrtovanje objektov se prenesejo iz zavihka ARHIGRAM 5, vrednosti za osnovne storitve za tehnično projektiranje se lahko prenesejo iz zavihka ARHIGRAM 5 ali pa se vpišejo poljubno, vrednosti za vse posebne storitve pa se vedno vpišejo poljubno. V tem zavihku je mogoče z dodajanjem vrstic navajati katerekoli posebne storitve, pri tem je potrebno le paziti, da seštevki ostanejo pravilni.</t>
    </r>
  </si>
  <si>
    <t>Odstopanja od minimalnega števila NU ne zagotavljajo kakovostne izvedbe storitev.</t>
  </si>
  <si>
    <t xml:space="preserve">Podatki se vpisujejo le v polja, obarvana svetlo modro. Za izračun vrednosti storitev in pripravo ponudbe se uporabljajo le modro obarvani zavihki, na ostalih zavihkih se izvajajo le samodejne računske operacije. </t>
  </si>
  <si>
    <t>Podrobnosti glede pribitkov so opisane v ST ZAPS 02:2021.</t>
  </si>
  <si>
    <t xml:space="preserve">Podrobnosti glede izračunov so opisane v ST ZAPS 02:2021. </t>
  </si>
  <si>
    <t>SI 
(D.100-D.300)</t>
  </si>
  <si>
    <t>EI 
(D.400-D.500)</t>
  </si>
  <si>
    <t>TH (D.600-D.900)</t>
  </si>
  <si>
    <t>GO 
(C.100 - C.900)</t>
  </si>
  <si>
    <t xml:space="preserve">Arhigram 5 je pripravljen na osnovi Standarda storitev Zbornice za arhitekturo in prostor Slovenije. Storitve v tem standardu so določene v skladu s ST ZAPS 01:2021, vrednotenje storitev pa v skladu s ST ZAPS 02:2021. Kadar se ponudba za storitve pripravi v skladu s ST ZAPS, morajo biti tudi storitve opravljene v skladu s tem standardom. </t>
  </si>
  <si>
    <t>ENOTNI CENOVNI RAZRED</t>
  </si>
  <si>
    <t>SNOVANJE (IDZ)</t>
  </si>
  <si>
    <t>IDEJNO PROJEKTIRANJE (IDP)</t>
  </si>
  <si>
    <t>PROJEKTIRANJE ZA IZVEDBO (PZI)</t>
  </si>
  <si>
    <t>PRIPRAVA GRADIV ZA NAROČILO (PZR)</t>
  </si>
  <si>
    <t>DOVOLJENJE ZA UPORABO (PID)</t>
  </si>
  <si>
    <t>IZVLEČEK VREDNOSTI POSAMEZNIH NAČRTOV V NU</t>
  </si>
  <si>
    <t>IZVLEČEK VREDNOSTI POSAMEZNIH NAČRTOV V EUR</t>
  </si>
  <si>
    <t>NAROČANJE GRADNJE</t>
  </si>
  <si>
    <t>STROŠKI ZEMELJSKIH DEL DO VIŠINE 40 % DRUGIH UPRAVIČENIH STROŠKOV</t>
  </si>
  <si>
    <t>10 % OBRAČUNSKI STROŠKI GRADNJE INŽENIRSKIH OBJEKTOV</t>
  </si>
  <si>
    <t>ODSTOTEK OBRAČUNSKIH STROŠKOV ZA OBJEKTE PROMETNE INFRASTRUKTURE</t>
  </si>
  <si>
    <t>za faze 1 do 3 in 5 OPI</t>
  </si>
  <si>
    <t>PORAZDELITEV UR ZA NAČRTOVANJE OBJEKTOV PROMETNE INFRASTRUKTURE</t>
  </si>
  <si>
    <t>60 do 100 %</t>
  </si>
  <si>
    <t>dodane vrednosti za večje investicije</t>
  </si>
  <si>
    <t>popravljen odstotek za PZR pri stavbah</t>
  </si>
  <si>
    <t>faza dodovljenje za uporabo: dodan odstotek za načrt požarne varnosti</t>
  </si>
  <si>
    <t>ROK IZVEDBE</t>
  </si>
  <si>
    <t>ZA NAČRT GRADBENIH KONSTRUKCIJ</t>
  </si>
  <si>
    <t>ŠT. PONUDBE</t>
  </si>
  <si>
    <r>
      <t xml:space="preserve">Na zavihku OSNOVNI PODATKI najprej v polja D1 do D6 vpišite </t>
    </r>
    <r>
      <rPr>
        <b/>
        <sz val="10"/>
        <rFont val="Inter"/>
        <family val="2"/>
      </rPr>
      <t>osnovne podatke</t>
    </r>
    <r>
      <rPr>
        <sz val="10"/>
        <rFont val="Inter"/>
        <family val="2"/>
      </rPr>
      <t xml:space="preserve"> o nameravani gradnji.</t>
    </r>
  </si>
  <si>
    <r>
      <t>V vrstice od 14 dalje vpišite podatke, potrebne za</t>
    </r>
    <r>
      <rPr>
        <b/>
        <sz val="10"/>
        <rFont val="Inter"/>
        <family val="2"/>
      </rPr>
      <t xml:space="preserve"> izračun ocene stroškov gradnje </t>
    </r>
    <r>
      <rPr>
        <sz val="10"/>
        <rFont val="Inter"/>
        <family val="2"/>
      </rPr>
      <t xml:space="preserve">za stavbe, notranjo opremo,  odprti prostor, inženirske objekte in objekte prometne infrastrukture. </t>
    </r>
  </si>
  <si>
    <r>
      <t>V vrsticah od 236 dalje določite</t>
    </r>
    <r>
      <rPr>
        <b/>
        <sz val="10"/>
        <rFont val="Inter"/>
        <family val="2"/>
      </rPr>
      <t xml:space="preserve"> cenovne razrede</t>
    </r>
    <r>
      <rPr>
        <sz val="10"/>
        <rFont val="Inter"/>
        <family val="2"/>
      </rPr>
      <t xml:space="preserve"> za posamezna področja.</t>
    </r>
  </si>
  <si>
    <t>Na podlagi obračunskih stroškov in izbranih cenovnih razredov se za vsako področje izračuna minimalno in maskimalno število NU. Če želite uporabiti srednjo vrednost potrebnega števila NU, odkljukajte ustrezen kvadratek. Če želite vnesti drugačno število NU, ga vpišite v stolpec H (modro polje) in izklopite kljukico v stolpcu G (uporabi srednjo vrednost števila NU).</t>
  </si>
  <si>
    <r>
      <t xml:space="preserve">Na zavihku ARHIGRAM 5 se avtomatično izračunavajo </t>
    </r>
    <r>
      <rPr>
        <b/>
        <sz val="10"/>
        <rFont val="Inter"/>
        <family val="2"/>
      </rPr>
      <t>vrednosti osnovnih storitev</t>
    </r>
    <r>
      <rPr>
        <sz val="10"/>
        <rFont val="Inter"/>
        <family val="2"/>
      </rPr>
      <t xml:space="preserve">. V polje I17 vnesite </t>
    </r>
    <r>
      <rPr>
        <b/>
        <sz val="10"/>
        <rFont val="Inter"/>
        <family val="2"/>
      </rPr>
      <t>vrednost ene NU</t>
    </r>
    <r>
      <rPr>
        <sz val="10"/>
        <rFont val="Inter"/>
        <family val="2"/>
      </rPr>
      <t xml:space="preserve"> in v stolpcu G </t>
    </r>
    <r>
      <rPr>
        <b/>
        <sz val="10"/>
        <rFont val="Inter"/>
        <family val="2"/>
      </rPr>
      <t>odkljukajte vsebine</t>
    </r>
    <r>
      <rPr>
        <sz val="10"/>
        <rFont val="Inter"/>
        <family val="2"/>
      </rPr>
      <t>, ki jih želite vključiti v ponudbo. Storitve za podporno oziroma strokovno projektiranje (gradbene konstrukcije, inštalacije, tehnologija, požarna varnost in gradbena fizika) pisane v ležeči pisavi so zgolj informativne narave.</t>
    </r>
  </si>
  <si>
    <t>V vrsticah od 123 dalje je izvleček vrednosti posameznih načrtov za lažjo orientacijo.</t>
  </si>
  <si>
    <t>Če želite prenesti izračunano vrednost iz zavihka Arhigram 5, postavite kazalnik v ustrezno okence in vpišite simbol "je enako" nato pa na zavihku Arhigram 5 izberite ustrezno polje.</t>
  </si>
  <si>
    <t>DDV</t>
  </si>
  <si>
    <t>Izvleček vsebuje le vrednosti projektne dokumentacije, vrez posebnih storitev in ostalih faz.</t>
  </si>
  <si>
    <t>V 5.18</t>
  </si>
  <si>
    <t>JANUAR 2022</t>
  </si>
  <si>
    <t>2022-01</t>
  </si>
  <si>
    <t>Enostavne kmetijske stavbe, na primer poljski skednji</t>
  </si>
  <si>
    <t>Gospodarske stavbe, hlevi</t>
  </si>
  <si>
    <t>Posebne stavbe za skladiščenje, na primer hladilnice</t>
  </si>
  <si>
    <t>Delavnice, obrtne stavbe</t>
  </si>
  <si>
    <t>Letališča</t>
  </si>
  <si>
    <t>Energetske centrale, zgradbe elektrarn, velike elektrarne</t>
  </si>
  <si>
    <t>Preproste odprte dvorane</t>
  </si>
  <si>
    <t>Shrambe ali pomožni prostori s preprostim pohištvom ali opremo</t>
  </si>
  <si>
    <t>Učilnice, predavalnice, seminarske sobe, manjše knjižnice, menze</t>
  </si>
  <si>
    <t>Kongresni, konferenčni in seminarski prostori, sejne sobe s pohištvom in opremo po meri ter obsežno tehnično opremo</t>
  </si>
  <si>
    <t>Območja notranjih komunikacij</t>
  </si>
  <si>
    <t>Pisarne, administrativni prostori in lounge s povprečnimi zahtevami, stopnišča, čakalnice, čajne kuhinje</t>
  </si>
  <si>
    <t>Prostori za stranke, razstavni in predstavitveni prostori</t>
  </si>
  <si>
    <t>Posvetovalne, negovalne, bolniške, bivalne ali družabne sobe s povprečnimi potrebami brez medicinsko tehnične opreme</t>
  </si>
  <si>
    <t>Ambulante in prostori za oskrbo z opremo ali medicinsko tehnološko opremo v zdravstvenih, terapevtskih, rehabilitacijskih ali negovalnih ustanovah in ambulantah ordinacijah</t>
  </si>
  <si>
    <t>Sobe za goste, visokokakovostni sanitarni prostori, na primer v restavracijah, barih, vinskih barih, kavarnah, klubskih sobah</t>
  </si>
  <si>
    <t>Gostinski ali sanitarni prostori, na primer v penzionih ali hotelih s povprečnimi zahtevami ali napravami ali opremo</t>
  </si>
  <si>
    <t>Cisterne</t>
  </si>
  <si>
    <t>Zbiralniki deževnice</t>
  </si>
  <si>
    <t>Male komunalne čistilne naprave, enostavna črpališča in dvižne naprave</t>
  </si>
  <si>
    <t>Čistilne naprave s skupno aerobno stabilizacijo, črpališča in dvižne naprave</t>
  </si>
  <si>
    <t>Čistilne naprave, zahtevnejša črpališča in dvižne naprave</t>
  </si>
  <si>
    <t>Zahtevne čistilne naprave</t>
  </si>
  <si>
    <t>Namakanje in odvodnjavanje brez cevnih sistemov, obsežna zemeljska dela z različnimi nivoji ali materiali</t>
  </si>
  <si>
    <t>Posamezna vodna telesa z enakomernim padcem in prečnim prerezom, z izjemo posameznih vodnih teles s pretežno ekološkimi in krajinsko oblikovalskimi elementi</t>
  </si>
  <si>
    <t>Posamezna vodna telesa z enakomernim padcem in enakomerno spremenljivim prečnim prerezom</t>
  </si>
  <si>
    <t>Posamezna vodna telesa z neenakomernim padcem in neenakomerno spremenljivim prečnim prerezom</t>
  </si>
  <si>
    <t>Posamezna vodna telesa z neenakomernim padcem in številnimi spremembami  prečnega prerez, vodni sistemi s številnimi spremembami prereza, zlasti zahtevno načrtovanje vodotokov z visokimi tehničnimi zahtevami in izravnalnimi ukrepi</t>
  </si>
  <si>
    <t>Bajerji z nasipi višine do 3,0 m nad terenom, brez razbremenilnikov visoke vode in regulacijskih odtočnih objektov</t>
  </si>
  <si>
    <t>Bajerji z nasipi višine več kot 3 m nad terenom brez razbremenilnikov visokih vod, ribniki z nasipi višine do 3 m nad terenom z razbremenilnikom visokih vod</t>
  </si>
  <si>
    <t>Zadrževalniki in nasipi z višino do 5,0 m nad terenom ali do 100.000 m3 prostornine</t>
  </si>
  <si>
    <t xml:space="preserve">Zadrževalniki in nasipi s prostornino od 100.000 m³ do 5.000.000 m³ </t>
  </si>
  <si>
    <r>
      <t>Zadrževalniki in nasipi s prostornino nad 5.000.000 m</t>
    </r>
    <r>
      <rPr>
        <vertAlign val="superscript"/>
        <sz val="10"/>
        <color rgb="FF000000"/>
        <rFont val="Inter"/>
        <family val="2"/>
      </rPr>
      <t>3</t>
    </r>
  </si>
  <si>
    <t>Zahtevni nasipi in jezovi</t>
  </si>
  <si>
    <t>Izjemno zahtevni nasipi in jezovi</t>
  </si>
  <si>
    <t>Preprosti rovi in predori</t>
  </si>
  <si>
    <t>Rovi in prepusti</t>
  </si>
  <si>
    <t>Zahtevni rovi in prepusti</t>
  </si>
  <si>
    <t>Posebej zahtevni rovi in prepusti</t>
  </si>
  <si>
    <t>Enostavne fiksne zapornice</t>
  </si>
  <si>
    <t>Fiksne zapornice</t>
  </si>
  <si>
    <t>Preproste premične zapornice</t>
  </si>
  <si>
    <t>Premične zapornice</t>
  </si>
  <si>
    <t>Preproste pregrade in zapore kanalov</t>
  </si>
  <si>
    <t>Pregrade in zapore kanalov</t>
  </si>
  <si>
    <t>Majhne hidroelektrarne</t>
  </si>
  <si>
    <t>Hidroelektrarne</t>
  </si>
  <si>
    <t>Zahtevne hidroelektrarne, na primer črpalne ali kavernske elektrarne</t>
  </si>
  <si>
    <t>Protipoplavni jezovi in stene</t>
  </si>
  <si>
    <t>Protipoplavni jezovi in stene v težkih pogojih</t>
  </si>
  <si>
    <t>Poplavni kesoni, zahtevni jezovi, valobrani</t>
  </si>
  <si>
    <t>Privezi za čolne z bitvami, sidrišči, valobrani in bojami na stoječih vodah</t>
  </si>
  <si>
    <t>Privezi za čolne z bitvami, sidrišči, valobrani in bojami na tekočnih vodah, enostavni nakladalni mostovi za ladje, z enostavnimi obalnimi zidovi in pomoli</t>
  </si>
  <si>
    <t>Nakladalni mostovi za ladje, pristanišča z bitvami, sidrišči, valobrani in bojami z  obalnimi zidovi in pomoli z velikimi obremenitvami</t>
  </si>
  <si>
    <t>Pristanišča, nakladalni mostovi za ladje v primeru plime ali poplave, pristanišča v primeru plime in poplave, zahtevne obalne stene in pomoli</t>
  </si>
  <si>
    <t>Zahtevni plavajoči pomoli, premični nakladalni mostovi</t>
  </si>
  <si>
    <t>Preproste ojačitve brežin</t>
  </si>
  <si>
    <t>Obalni zidovi in stene</t>
  </si>
  <si>
    <t>Zahtevni obalni zidovi in stene, utrditev brežin na vodnih poteh</t>
  </si>
  <si>
    <t>Ladijski kanali z bitvami, obalnimi zidovi, s preprostimi pogoji</t>
  </si>
  <si>
    <t>Ladijski kanali z bitvami, obalnimi zidovi, v zahtevnih razmerah, s prehodi</t>
  </si>
  <si>
    <t>Mostovi za komunalne vode</t>
  </si>
  <si>
    <t>Preproste zapornice za ladje in čolne</t>
  </si>
  <si>
    <t>Ladijske zapornice za nizko višino dviga</t>
  </si>
  <si>
    <t>Ladijske zapornice za veliko višino dviga</t>
  </si>
  <si>
    <t>Dvigala za ladje</t>
  </si>
  <si>
    <t>Ladjedelnice, preprosti suhi doki</t>
  </si>
  <si>
    <t>Zahtevni suhi doki</t>
  </si>
  <si>
    <t>Plavajoči doki</t>
  </si>
  <si>
    <t>Začasna skladišča, nepokriti zbirni centri in prekladalne postaje za odpadke, odpadno embalažo in kosovne odpadke brez dodatnih naprav</t>
  </si>
  <si>
    <t>Začasna skladišča, nepokriti zbirni centri in prekladalne postaje za odpadke, odpadno embalažo in kosovne odpadke s preprostimi dodatnimi napravami</t>
  </si>
  <si>
    <t>Začasna skladišča, nepokriti zbirni centri in prekladalne postaje za odpadke, odpadno embalažo in kosovne odpadke z zahtevnimi dodatnimi napravami</t>
  </si>
  <si>
    <t>Enostavne, enostopenjske naprave za predelavo odpadkov</t>
  </si>
  <si>
    <t>Naprave za predelavo odpadkov</t>
  </si>
  <si>
    <t>Večstopenjske naprave za predelavo odpadkov</t>
  </si>
  <si>
    <t>Enostavne naprave za predelavo gradbenih odpadkov</t>
  </si>
  <si>
    <t>Naprave za predelavo gradbenih odpadkov</t>
  </si>
  <si>
    <t>Odlagališča gradbenih odpadkov brez posebnih naprav</t>
  </si>
  <si>
    <t>Odlagališča gradbenih odpadkov</t>
  </si>
  <si>
    <t>Kompostirnice rastlinskih odpadkov brez posebnih naprav</t>
  </si>
  <si>
    <t>Kompostirnice organiskih odpadkov, kompostirnice rastlinskih odpadkov</t>
  </si>
  <si>
    <t>Kompostirnice</t>
  </si>
  <si>
    <t>Odlagališča nenevarnih odpadkov in monodeponije</t>
  </si>
  <si>
    <t>Odlagališča nenevarnih odpadkov in mono odlagališča s težkimi tehničnimi zahtevami</t>
  </si>
  <si>
    <t>Sistemi za kondicioniranje nevarnih odpadkov</t>
  </si>
  <si>
    <t>Sežigalnice, pirolizne naprave</t>
  </si>
  <si>
    <t>Odlagališča nevarnih odpadkov</t>
  </si>
  <si>
    <t>Sistemi za podzemna odlagališča</t>
  </si>
  <si>
    <t>Odlagališča zabojnikov</t>
  </si>
  <si>
    <t>Tesnjenje starih nanosov in onesnaženih mest</t>
  </si>
  <si>
    <t>Tesnjenje starih nanosov in onesnaženih mest s visokimi tehničnimi zahtevami</t>
  </si>
  <si>
    <t>Sanacija starih odlagališč odpadkov in kontaminiranih zemljišč</t>
  </si>
  <si>
    <t>Naprave za čiščenje odpadne vode</t>
  </si>
  <si>
    <t>Zahtevne naprave za čiščenje odpadne vode</t>
  </si>
  <si>
    <t>Protihrupne ograje, z izjemo protihrupnih ograj kot krajinskega oblikovanja,</t>
  </si>
  <si>
    <t>Enostavni sistemi za zaščito pred hrupom</t>
  </si>
  <si>
    <t>Sistemi za zaščito pred hrupom</t>
  </si>
  <si>
    <t>Sistemi za zaščito pred hrupom v zahtevem urbanem okolju</t>
  </si>
  <si>
    <t>Ravni enopoljni mostovi preproste zasnove</t>
  </si>
  <si>
    <t xml:space="preserve">Enopoljni mostovi </t>
  </si>
  <si>
    <t>Enostavni večpoljni in ločni mostovi</t>
  </si>
  <si>
    <t>Zahtevni eno- in večpoljni mostovi in ločni mostovi</t>
  </si>
  <si>
    <t>Zahtevne vzdolžno prednapete jeklene konstrukcije</t>
  </si>
  <si>
    <t>Izjemno zahtevni mostovi</t>
  </si>
  <si>
    <t>Predori in tuneli</t>
  </si>
  <si>
    <t>Zahtevni predori in tuneli</t>
  </si>
  <si>
    <t>Zelo zahtevni predori in tuneli</t>
  </si>
  <si>
    <t>Postaje podzemne železnice</t>
  </si>
  <si>
    <t>Zahtevne postaje podzemne železnice</t>
  </si>
  <si>
    <t>Posebej zahtevne postaje  in prestopne postaje podzemne železnice</t>
  </si>
  <si>
    <t>Enostavni dimniki</t>
  </si>
  <si>
    <t>Dimniki</t>
  </si>
  <si>
    <t>Zahtevni dimniki</t>
  </si>
  <si>
    <t>Posebej zahtevni dimniki</t>
  </si>
  <si>
    <t>Enostavni jambori in stolpi brez nadgradenj</t>
  </si>
  <si>
    <t>Jambori in stolpi brez nadgradenj</t>
  </si>
  <si>
    <t>Jambori in stolpi z nadgradnjami</t>
  </si>
  <si>
    <t>Jambori in stolpi z nadgradnjami in etažami z uporabnimi površinami</t>
  </si>
  <si>
    <t>Jambori in stolpi z nadgradnjami in etažami z uporabnimi površinami v javni rabi</t>
  </si>
  <si>
    <t>Zahtevne vetrnice</t>
  </si>
  <si>
    <t>Nesidrani enostavni masivni podporni in oporni zidovi z majhnimi višinskimi razlikami brez prometne obremenitve kot sredstvo za preoblikovanje terena in za konstruktivno zaščito pobočij</t>
  </si>
  <si>
    <t>Nesidrani enostavni masivni podporni in oporni zidovi s prometnimi obremenitvami na nezahtevnem terenu</t>
  </si>
  <si>
    <t xml:space="preserve">Sidrani masivni podporni in oporni zidovi ali nesidrani masivni podporni in oporni zidovi na zahtevnem terenu </t>
  </si>
  <si>
    <t xml:space="preserve">Sidrani masivni podporni in oporni zidovi na zahtevnem terenu </t>
  </si>
  <si>
    <t xml:space="preserve">Sidrani masivni podporni in oporni zidovi na izjemno zahtevnem terenu </t>
  </si>
  <si>
    <t xml:space="preserve">Samostojne podzemne garaže, enostavne kaverne in komore, enostavne predori </t>
  </si>
  <si>
    <t>Zahtevne samostojne podzemne garaže, zahtevne kaverne in komore, zahtevni predori</t>
  </si>
  <si>
    <t>Izjemno zahtevne kaverne in komore</t>
  </si>
  <si>
    <t>Enostavno ploskovno temeljenje (temeljne plošče)</t>
  </si>
  <si>
    <t xml:space="preserve">Povprečno zahtevno ploskovno temeljenje, povprečno zahtevno ravninsko in prostorsko temeljenje </t>
  </si>
  <si>
    <t>Zahtevno ploskovno temeljenje, zahtevno ravninsko in prostorsko temeljenje, pilotna in druga posebna temeljenja</t>
  </si>
  <si>
    <t>Zidane gradnje z nosilnimi stenami do temeljev, brez ugotavljanja horizontalne togosti,</t>
  </si>
  <si>
    <t>Nosilne zidane konstrukcije z upoštevanjem nosilnih oziroma ojačenih sten,</t>
  </si>
  <si>
    <t>Konstrukcije, pri katerih je treba trdnostne lastnosti zidanih delov določiti s preizkusom (inženirska opečna gradnja)</t>
  </si>
  <si>
    <t>Enostavni oboki</t>
  </si>
  <si>
    <t>Zahtevni oboki in sistemi obokov</t>
  </si>
  <si>
    <t>Enostavne stropne konstrukcije s pretežno mirujočo površinsko obtežbo</t>
  </si>
  <si>
    <t>Povprečno zahtevne stropne konstrukcije</t>
  </si>
  <si>
    <t>Enopoljne poševne plošče</t>
  </si>
  <si>
    <t>Poševni ali ukrivljeni nosilci</t>
  </si>
  <si>
    <t>Poševni ukrivljeni nosilci</t>
  </si>
  <si>
    <t>Povprečno zahtevne brane in ortotropne plošče,</t>
  </si>
  <si>
    <t>Zahtevne brane in ortotropne plošče,</t>
  </si>
  <si>
    <t>Povprečno zahtevne ploskovne konstrukcije (plošče, stene)</t>
  </si>
  <si>
    <t>Zahtevne ploskovne konstrukcije (plošče, stene, poliedrične konstrukcije, lupine)</t>
  </si>
  <si>
    <t>Enostavne poliedrične konstrukcije brez prednapetja</t>
  </si>
  <si>
    <t>Enostavne sovprežne konstrukcije stavb brez upoštevanja vpliva raztezkov in skrčkov</t>
  </si>
  <si>
    <t>Povprečno zahtevne sovprežne konstrukcije</t>
  </si>
  <si>
    <t>Prednapete sovprežne konstrukcije</t>
  </si>
  <si>
    <t>Zahtevni okvirji, skeleti in stolpi, pri katerih se morata stabilnost in trdnost preverjati po posebnih računskih metodah</t>
  </si>
  <si>
    <t>Enostavne okvirne konstrukcije, brez prednapetih konstrukcij in brez preverjanja stabilnosti,</t>
  </si>
  <si>
    <t>Povprečno zahtevne okvirne konstrukcije</t>
  </si>
  <si>
    <t>Zahtevne okvirne konstrukcije s prednapetimi konstrukcijskimi elementi in s preverjanjem stabilnosti</t>
  </si>
  <si>
    <t>Povprečno zahtevne prostorske konstrukcije</t>
  </si>
  <si>
    <t>Zahtevne prostorske konstrukcije</t>
  </si>
  <si>
    <t>Enostavne konstrukcije, prednapete s kabli</t>
  </si>
  <si>
    <t>Povprečno do zelo zahtevne konstrukcije, prednapete s kabli</t>
  </si>
  <si>
    <t>Konstrukcije z enostavno dinamično obremenitvijo</t>
  </si>
  <si>
    <t>Konstrukcije s povprečno do zelo zahtevno dinamično obremenitvijo</t>
  </si>
  <si>
    <t>Zahtevne nosilne konstrukcije, pri katerih se za dimenzioniranje prerezov upošteva teorija II. reda</t>
  </si>
  <si>
    <t>Zelo zahtevne nosilne konstrukcije, pri katerih se za dimenzioniranje prerezov upošteva teorija II. reda</t>
  </si>
  <si>
    <t>Zahtevne inovativne nosilne konstrukcije</t>
  </si>
  <si>
    <t>Nosilne konstrukcije, pri katerih je stabilnost mogoče dokazati le z modelnimi preizkusi ali z računom po metodi končnih elementov</t>
  </si>
  <si>
    <t>Nosilne konstrukcije, pri katerih je treba pri dimenzioniranju prerezov upoštevati odpornost veznih elementov</t>
  </si>
  <si>
    <t>Enostavne statično določene betonske prednapete konstrukcije</t>
  </si>
  <si>
    <t>Povprečno zahtevne betonske prednapete konstrukcije</t>
  </si>
  <si>
    <t>Zahtevne do zelo zahtevne betonske prednapete konstrukcije</t>
  </si>
  <si>
    <t>Enostavni gradbeni odri in drugi enostavni odri za inženirske objekte</t>
  </si>
  <si>
    <t>Zahtevni gradbeni odri in drugi zahtevni odri za inženirske objekte</t>
  </si>
  <si>
    <t>Zelo zahtevni gradbeni odri in drugi zelo zahtevni odri za inženirske objekte, npr. visoki nosilni odri ali odri z velikim razponom</t>
  </si>
  <si>
    <t>Inštalacije za plin, vodovod in kanalizacijo s kratkim in enostavnim razvodom</t>
  </si>
  <si>
    <t>Inštalacije za plin, vodovod in kanalizacijo z obsežnim razvejanim razvodom, sistemom za kroženje sanitarne vode, dvižnimi vodi in napravami za zviševanje tlaka</t>
  </si>
  <si>
    <t>Sistemi za čiščenje, razstrupljanje ali nevtralizacijo odpadne vode, sistemi za biološko, kemično ali fizikalno obdelavo vode, sistemi s posebnimi higienskimi zahtevami ali nove tehnologije (npr. za bolnišnice, domove za ostarele in podobnoi)</t>
  </si>
  <si>
    <t>Naprave za tlačno regulacijo plina, večstopenjski ločevalniki lahkih tekočin</t>
  </si>
  <si>
    <t xml:space="preserve">Posamične naprave za ogrevanje, etažno ogrevanje </t>
  </si>
  <si>
    <t>Ogrevalni sistemi v stavbah, eno- ali dvovalentni sistemi (na primer solarni sistemi za ogrevanje sanitarne vode, sistemi s toplotno črpalko)</t>
  </si>
  <si>
    <t>Površinsko ogrevanje</t>
  </si>
  <si>
    <t>Hišne toplotne postaje</t>
  </si>
  <si>
    <t>Razvejana omrežja</t>
  </si>
  <si>
    <t>Multivalentni sistemi</t>
  </si>
  <si>
    <t>Sistemi s sočasno proizvodnjo toplote in električne energije, parno ogrevanje, sistemi s toplo vodo, sevalno stropno ogrevanje (npr. športne ali industrijske hale)</t>
  </si>
  <si>
    <t>Posamične prezračevalne naprave</t>
  </si>
  <si>
    <t>Termodinamični prezračevalni sistemi (na primer ogrevanje), nadtlačno prezračevanje</t>
  </si>
  <si>
    <t>Prezračevalni sistemi z vsaj dvema termodinamičnima sistemoma (npr. ogrevanje ali hlajenje), delni klimatski sistemi, klimatski sistemi</t>
  </si>
  <si>
    <t>Sistemi s posebnimi zahtevami glede kakovosti zraka (npr. operacijske dvorane)</t>
  </si>
  <si>
    <t>Hladilne naprave, hladilni sistemi brez procesnega hlajenja</t>
  </si>
  <si>
    <t>Hišne postaje za daljinsko hlajenje, centralno hlajenje</t>
  </si>
  <si>
    <t>Nizkonapetostni sistemi z do dvema merilnima mestoma, vključno z osvetlitvijo ali varnostno razsvetljavo s posameznimi baterijami</t>
  </si>
  <si>
    <t>Ozemljitev</t>
  </si>
  <si>
    <t>Kompaktne transformatorske postaje, lastni sistemi za proizvodnjo električne energije (npr. centralni akumulatorji ali sistemi za neprekinjeno napajanje, fotovoltaični sistemi)</t>
  </si>
  <si>
    <t>Nizkonapetostni sistemi z do tremi distribucijskimi nivoji (merilnimi mesti), vključno z osvetlitvijo</t>
  </si>
  <si>
    <t>Sistemi centralne varnostne razsvetljave</t>
  </si>
  <si>
    <t>Sistemi za zaščito pred strelo ali ozemljitev, razen če je navedeno v I ali III razredu</t>
  </si>
  <si>
    <t>Zunanja razsvetljava</t>
  </si>
  <si>
    <t>Nizkonapetostni sistemi z najmanj štirimi distribucijskimi nivoji (merilnimi mesti) ali več kot 1000 A nazivnega toka</t>
  </si>
  <si>
    <t>Sistemi razsvetljave s posebnimi zahtevami načrtovanja (npr. simulacije svetlobe za muzeje ali druge posebne prostore)</t>
  </si>
  <si>
    <t>Sistemi za zaščito pred strelo s posebnimi zahtevami (npr. bolnišnice, stolpnice, podatkovni centri)</t>
  </si>
  <si>
    <t>Enostavna kuhinjska oprema, na primer čajne kuhinje</t>
  </si>
  <si>
    <t>Kuhinjska oprema, npr. srednje velike kuhinje, pogrevalne kuhinje, naprave za pripravo hrane ali pijače,</t>
  </si>
  <si>
    <t>Serviranje ali skladiščenje hrane (brez kuhinje), vključno s pripadajočimi hladilnimi sistemi</t>
  </si>
  <si>
    <t>Zahtevna kuhinjska tehnologija, na primer velike kuhinje, oprema za proizvodne kuhinje, vključno s strežbo ali skladiščenjem in pripadajočimi hladilnimi sistemi, komercialno hlajenje za velike kuhinje, velike hladilnice ali hladilne omare</t>
  </si>
  <si>
    <t>Naprave za pranje ali čiščenje, na primer za skupne pralnice</t>
  </si>
  <si>
    <t>Naprave za pranje ali čiščenje, na primer oprema za javne pralnice</t>
  </si>
  <si>
    <t>Pralni ali čistilni sistemi za velika pralna in čistilna podjetja</t>
  </si>
  <si>
    <t>Medicinska ali laboratorijska oprema, na primer za posamično splošno medicinsko prakso</t>
  </si>
  <si>
    <t>Medicinska ali laboratorijska oprema, na primer za skupinske prakse v splošni medicini ali posamezne prakse v specialistični medicini, sanatoriji, oskrbovalni centri, bolnišnični oddelki, laboratorijski prostori za šole</t>
  </si>
  <si>
    <t>Medicinska ali laboratorijska oprema, na primer za klinike, inštitute z učnimi ali raziskovalnimi nalogami, laboratorije, proizvodne obrate</t>
  </si>
  <si>
    <t>Sistemi za odstranjevanje, npr. odpadkov ali perila,</t>
  </si>
  <si>
    <t>Sistemi za odstranjevanje, na primer centralni sistemi za odstranjevanje perila ali odpadkov, centralni sistemi za sesanje</t>
  </si>
  <si>
    <t>Odrska tehnika za majhne ali srednje velike odre</t>
  </si>
  <si>
    <t>Odrska tehnika za velike odre</t>
  </si>
  <si>
    <t>Bazenski sistemi na primer sistemi za obdelavo vode, sistemi za ustvarjanje valov, premično dno bazena</t>
  </si>
  <si>
    <t>Skladiščni sistemi, na primer naprave za shranjevanje in dviganje (s pripadajočimi regalnimi sistemi), avtomatski sistemi za prevoz blaga</t>
  </si>
  <si>
    <t>Enostavni tehnološki sistemi za obdelavo vode (na primer prezračevanje, odstranjevanje železa, odstranjevanje mangana, kemično razkisanje, fizično razkisanje)</t>
  </si>
  <si>
    <t>Tehnološki sistemi za obdelavo vode (na primer membranska filtracija, flokulacijska filtracija, ozoniranje, odstranjevanje arzena, dealuminizacija, denitrifikacija)</t>
  </si>
  <si>
    <t>Enostavni tehnološki sistemi za čiščenje odpadne vode (na primer aerobna stabilizacija)</t>
  </si>
  <si>
    <t>Tehnološki sistemi za čiščenje odpadne vode (npr. za večstopenjske čistilne naprave)</t>
  </si>
  <si>
    <t>Enostavni sistemi za obdelavo blata (npr. sistemi za usedanje blata z mehanskimi napravami)</t>
  </si>
  <si>
    <t>Sistemi za večstopenjske ali kombinirane procese obdelave blata</t>
  </si>
  <si>
    <t>Enostavni tehnični sistemi za odvajanje odplak</t>
  </si>
  <si>
    <t>Tehnični sistemi za odvajanje odplak</t>
  </si>
  <si>
    <t>Enostavni tehnični sistemi za črpanje, dovajanje in skladiščenje vode</t>
  </si>
  <si>
    <t>Tehnični sistemi za črpanje, dovajanje in skladiščenje vode</t>
  </si>
  <si>
    <t>Enostavni sistemi za čiščenje deževnice</t>
  </si>
  <si>
    <t>Enostavni sistemi za sisteme za dekontaminacijo podtalnice</t>
  </si>
  <si>
    <t>Kompleksni tehnični sistemi za sisteme za dekontaminacijo podtalnice</t>
  </si>
  <si>
    <t>Enostavni tehnični sistemi za dovajanje in odstranjevanje plinov
(npr. sistem odorizacije)</t>
  </si>
  <si>
    <t>Enostavni tehnični sistemi za oskrbo in odstranjevanje trdnih snovi</t>
  </si>
  <si>
    <t>Tehnični sistemi za oskrbo in odstranjevanje trdnih snovi</t>
  </si>
  <si>
    <t>Enostavni tehnični sistemi za odstranjevanje odpadkov (npr. za kompostarne, sistemi za kondicioniranje nevarnih odpadkov, odlagališča gospodinjskih odpadkov ali mono odlagališča nevarnih odpadkov, sistemi za podzemna odlagališča, sistemi za obdelavo onesnaženih tal)</t>
  </si>
  <si>
    <t>Tehnološki sistemi za odstranjevanje odpadkov (npr. za sežigalnice, pirolizne sisteme, večnamenske sisteme za obdelavo materialov, ki jih je mogoče reciklirati)</t>
  </si>
  <si>
    <t>Sistemi avtomatizacije stavb, nevtralni do proizvajalca, ali sistemi za avtomatizacijo s sistemsko integracijo med sistemskimi skupinami</t>
  </si>
  <si>
    <t>Posamični gasilni aparati, na primer ročni gasilni aparati</t>
  </si>
  <si>
    <t>Ročno upravljani sistemi za gašenje požara</t>
  </si>
  <si>
    <t>Avtomatični sistemi za gašenje požara</t>
  </si>
  <si>
    <t>Cenovni razred je enak kot za stavbe</t>
  </si>
  <si>
    <t>Stanovanjske stavbe z zamaknjenimi tlorisi</t>
  </si>
  <si>
    <t>Stanovanjske stavbe, izpostavljene zunanjemu hrupu</t>
  </si>
  <si>
    <t>Hoteli, kadar se ne uvrščajo v III. razred</t>
  </si>
  <si>
    <t>Univerze in visoke šole</t>
  </si>
  <si>
    <t>Bolnišnice, kadar se ne uvrščajo v III. razred</t>
  </si>
  <si>
    <t>Stavbe za oddih, zdravljenje in rekreacijo</t>
  </si>
  <si>
    <t>Delavnice, ki potrebujejo zvočno zaščitene prostore</t>
  </si>
  <si>
    <t>Hoteli z obsežno gastronomsko dejavnostjo</t>
  </si>
  <si>
    <t>Stavbe za poslovno ali stanovanjsko rabo</t>
  </si>
  <si>
    <t>Bolnišnice na posebej neugodnih lokacijah ali z neugodno razporeditvijo oskrbovalnih naprav</t>
  </si>
  <si>
    <t>Snemalni studii, akustični merilni laboratoriji</t>
  </si>
  <si>
    <t>Prostori s spremenljivimi akustičnimi lastnostmi</t>
  </si>
  <si>
    <t>IZDELAVA DOKUMENTACIJE ZA PRIDOBIVANJE DOVOLJENJ</t>
  </si>
  <si>
    <t>PRIPRAVA DOKUMENTACIJE ZA PRIDOBIVANJE DOVOLJENJ</t>
  </si>
  <si>
    <t>POSKUSNO OBRATOVANJE</t>
  </si>
  <si>
    <t>Kalkulacija stroškov za določitev vrednosti projektantske obračunske ure (2022)</t>
  </si>
  <si>
    <t>povprečni BTO OD v Sloveniji 2021</t>
  </si>
  <si>
    <t>povprečni NTO OD v Sloveniji 2021</t>
  </si>
  <si>
    <t>© 2022 ZAPS, vse pravice pridržane</t>
  </si>
  <si>
    <t>Občinska in četrtna središča, stavbe za kulturo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</si>
</sst>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0.00\ &quot;€&quot;"/>
    <numFmt numFmtId="166" formatCode="0_ ;[Red]\-0\ "/>
    <numFmt numFmtId="167" formatCode="#,##0_ ;\-#,##0\ "/>
    <numFmt numFmtId="168" formatCode="0.0%"/>
    <numFmt numFmtId="169" formatCode="0\ &quot;NU&quot;"/>
    <numFmt numFmtId="170" formatCode="#,##0\ [$EUR];\-#,##0\ [$EUR]"/>
    <numFmt numFmtId="171" formatCode="#,##0\ &quot;NU&quot;"/>
    <numFmt numFmtId="172" formatCode="#,##0.0"/>
    <numFmt numFmtId="173" formatCode="_-* #,##0\ _€_-;\-* #,##0\ _€_-;_-* &quot;-&quot;??\ _€_-;_-@_-"/>
  </numFmts>
  <fonts count="129" x14ac:knownFonts="1">
    <font>
      <sz val="10"/>
      <name val="Arial"/>
      <charset val="238"/>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1"/>
      <color theme="1"/>
      <name val="Inter ExtraLight"/>
      <family val="2"/>
      <charset val="238"/>
      <scheme val="minor"/>
    </font>
    <font>
      <sz val="10"/>
      <name val="Arial"/>
      <family val="2"/>
      <charset val="238"/>
    </font>
    <font>
      <sz val="10"/>
      <name val="Arial"/>
      <family val="2"/>
      <charset val="238"/>
    </font>
    <font>
      <sz val="11"/>
      <color theme="1"/>
      <name val="Calibri"/>
      <family val="2"/>
      <charset val="238"/>
    </font>
    <font>
      <sz val="11"/>
      <name val="Bahnschrift Light SemiCondensed"/>
      <family val="2"/>
      <charset val="238"/>
    </font>
    <font>
      <sz val="14"/>
      <name val="Bahnschrift SemiBold SemiConden"/>
      <family val="2"/>
      <charset val="238"/>
    </font>
    <font>
      <sz val="12"/>
      <color rgb="FF000000"/>
      <name val="Bahnschrift SemiBold SemiConden"/>
      <family val="2"/>
      <charset val="238"/>
    </font>
    <font>
      <sz val="10"/>
      <color theme="1"/>
      <name val="Bahnschrift SemiLight SemiConde"/>
      <family val="2"/>
      <charset val="238"/>
    </font>
    <font>
      <sz val="10"/>
      <name val="Barlow Semi Condensed SemiBold"/>
    </font>
    <font>
      <sz val="10"/>
      <name val="Barlow Semi Condensed"/>
    </font>
    <font>
      <sz val="10"/>
      <color rgb="FF000000"/>
      <name val="Barlow Semi Condensed"/>
    </font>
    <font>
      <sz val="10"/>
      <color rgb="FF000000"/>
      <name val="Inter"/>
      <family val="2"/>
      <charset val="238"/>
    </font>
    <font>
      <b/>
      <sz val="10"/>
      <color rgb="FF000000"/>
      <name val="Inter"/>
      <family val="2"/>
    </font>
    <font>
      <sz val="10"/>
      <color rgb="FF000000"/>
      <name val="Inter"/>
      <family val="2"/>
    </font>
    <font>
      <sz val="10"/>
      <name val="Inter Light"/>
      <family val="2"/>
      <charset val="238"/>
    </font>
    <font>
      <sz val="14"/>
      <name val="Inter Light"/>
      <family val="2"/>
      <charset val="238"/>
    </font>
    <font>
      <sz val="12"/>
      <name val="Inter Light"/>
      <family val="2"/>
      <charset val="238"/>
    </font>
    <font>
      <b/>
      <sz val="10"/>
      <name val="Inter Light"/>
      <family val="2"/>
      <charset val="238"/>
    </font>
    <font>
      <sz val="12"/>
      <color theme="1" tint="0.499984740745262"/>
      <name val="Inter Light"/>
      <family val="2"/>
      <charset val="238"/>
    </font>
    <font>
      <b/>
      <sz val="12"/>
      <name val="Inter Light"/>
      <family val="2"/>
      <charset val="238"/>
    </font>
    <font>
      <b/>
      <sz val="14"/>
      <color rgb="FF222222"/>
      <name val="Inter Light"/>
      <family val="2"/>
      <charset val="238"/>
    </font>
    <font>
      <sz val="12"/>
      <color rgb="FF808080"/>
      <name val="Inter Light"/>
      <family val="2"/>
      <charset val="238"/>
    </font>
    <font>
      <sz val="10"/>
      <name val="Inter"/>
      <family val="2"/>
    </font>
    <font>
      <b/>
      <sz val="12"/>
      <name val="Inter"/>
      <family val="2"/>
      <charset val="238"/>
    </font>
    <font>
      <b/>
      <sz val="12"/>
      <color rgb="FF00B0F0"/>
      <name val="Inter"/>
      <family val="2"/>
      <charset val="238"/>
    </font>
    <font>
      <sz val="12"/>
      <name val="Inter"/>
      <family val="2"/>
      <charset val="238"/>
    </font>
    <font>
      <sz val="12"/>
      <name val="Inter Black"/>
      <family val="2"/>
      <charset val="238"/>
    </font>
    <font>
      <sz val="10"/>
      <color rgb="FF808080"/>
      <name val="Inter Light"/>
      <family val="2"/>
      <charset val="238"/>
    </font>
    <font>
      <sz val="12"/>
      <color rgb="FF00B0F0"/>
      <name val="Inter Black"/>
      <family val="2"/>
      <charset val="238"/>
    </font>
    <font>
      <sz val="12"/>
      <color rgb="FF00B0F0"/>
      <name val="Inter ExtraBold"/>
      <family val="2"/>
      <charset val="238"/>
    </font>
    <font>
      <sz val="14"/>
      <color rgb="FF00B0F0"/>
      <name val="Inter Black"/>
      <family val="2"/>
      <charset val="238"/>
    </font>
    <font>
      <sz val="14"/>
      <color rgb="FF00B0F0"/>
      <name val="Inter Light"/>
      <family val="2"/>
      <charset val="238"/>
    </font>
    <font>
      <sz val="10"/>
      <name val="Inter"/>
      <family val="2"/>
      <charset val="238"/>
    </font>
    <font>
      <sz val="10"/>
      <color rgb="FF000000"/>
      <name val="Inter Light"/>
      <family val="2"/>
      <charset val="238"/>
    </font>
    <font>
      <sz val="10"/>
      <color theme="1"/>
      <name val="Inter Light"/>
      <family val="2"/>
      <charset val="238"/>
    </font>
    <font>
      <sz val="12"/>
      <color rgb="FF000000"/>
      <name val="Inter Light"/>
      <family val="2"/>
      <charset val="238"/>
    </font>
    <font>
      <sz val="12"/>
      <color theme="1"/>
      <name val="Inter Light"/>
      <family val="2"/>
      <charset val="238"/>
    </font>
    <font>
      <sz val="11"/>
      <color rgb="FF231F20"/>
      <name val="Barlow Semi Condensed"/>
    </font>
    <font>
      <b/>
      <sz val="10"/>
      <name val="Inter"/>
      <family val="2"/>
      <charset val="238"/>
    </font>
    <font>
      <sz val="10"/>
      <color theme="0"/>
      <name val="Inter Light"/>
      <family val="2"/>
      <charset val="238"/>
    </font>
    <font>
      <b/>
      <sz val="10"/>
      <color theme="1"/>
      <name val="Inter"/>
      <family val="2"/>
      <charset val="238"/>
    </font>
    <font>
      <sz val="10"/>
      <color rgb="FF222222"/>
      <name val="Inter Light"/>
      <family val="2"/>
      <charset val="238"/>
    </font>
    <font>
      <b/>
      <sz val="10"/>
      <color theme="1"/>
      <name val="Inter Light"/>
      <family val="2"/>
      <charset val="238"/>
    </font>
    <font>
      <sz val="10"/>
      <color theme="1"/>
      <name val="Inter ExtraLight"/>
      <family val="2"/>
      <charset val="238"/>
      <scheme val="minor"/>
    </font>
    <font>
      <b/>
      <sz val="12"/>
      <color theme="1"/>
      <name val="Inter Light"/>
      <family val="2"/>
      <charset val="238"/>
    </font>
    <font>
      <i/>
      <sz val="10"/>
      <color rgb="FFFF0000"/>
      <name val="Inter"/>
      <family val="2"/>
      <charset val="238"/>
    </font>
    <font>
      <sz val="10"/>
      <color theme="1"/>
      <name val="Inter"/>
      <family val="2"/>
      <charset val="238"/>
    </font>
    <font>
      <i/>
      <sz val="10"/>
      <name val="Inter"/>
      <family val="2"/>
      <charset val="238"/>
    </font>
    <font>
      <i/>
      <sz val="10"/>
      <name val="Inter Light"/>
      <family val="2"/>
      <charset val="238"/>
    </font>
    <font>
      <b/>
      <sz val="12"/>
      <color theme="1"/>
      <name val="Inter"/>
      <family val="2"/>
      <charset val="238"/>
    </font>
    <font>
      <b/>
      <sz val="10"/>
      <color rgb="FF00B0F0"/>
      <name val="Inter"/>
      <family val="2"/>
      <charset val="238"/>
    </font>
    <font>
      <b/>
      <sz val="12"/>
      <color rgb="FF000000"/>
      <name val="Inter"/>
      <family val="2"/>
      <charset val="238"/>
    </font>
    <font>
      <sz val="12"/>
      <name val="Inter Medium"/>
      <family val="2"/>
      <charset val="238"/>
    </font>
    <font>
      <vertAlign val="superscript"/>
      <sz val="10"/>
      <name val="Inter Light"/>
      <family val="2"/>
      <charset val="238"/>
    </font>
    <font>
      <sz val="12"/>
      <color rgb="FF00B0F0"/>
      <name val="Inter Light"/>
      <family val="2"/>
      <charset val="238"/>
    </font>
    <font>
      <b/>
      <sz val="14"/>
      <name val="Inter"/>
      <family val="2"/>
      <charset val="238"/>
    </font>
    <font>
      <sz val="12"/>
      <name val="Barlow Semi Condensed"/>
    </font>
    <font>
      <sz val="10"/>
      <name val="Inter SemiBold"/>
      <family val="2"/>
      <charset val="238"/>
    </font>
    <font>
      <b/>
      <sz val="10"/>
      <name val="Inter"/>
      <family val="2"/>
    </font>
    <font>
      <sz val="10"/>
      <name val="Inter Light"/>
      <family val="2"/>
    </font>
    <font>
      <sz val="12"/>
      <color rgb="FF00B0F0"/>
      <name val="Inter"/>
      <family val="2"/>
      <charset val="238"/>
    </font>
    <font>
      <sz val="9"/>
      <color indexed="81"/>
      <name val="Tahoma"/>
      <family val="2"/>
    </font>
    <font>
      <sz val="20"/>
      <color rgb="FF00B0F0"/>
      <name val="Vectrex"/>
    </font>
    <font>
      <sz val="10"/>
      <name val="Arial"/>
      <family val="2"/>
    </font>
    <font>
      <sz val="10"/>
      <color rgb="FF221F1F"/>
      <name val="Inter"/>
      <family val="2"/>
    </font>
    <font>
      <sz val="8"/>
      <name val="Arial"/>
      <family val="2"/>
    </font>
    <font>
      <sz val="11"/>
      <name val="Calibri"/>
      <family val="2"/>
    </font>
    <font>
      <sz val="10"/>
      <name val="Barlow Semi Condensed"/>
    </font>
    <font>
      <sz val="7"/>
      <name val="Arial"/>
      <family val="2"/>
    </font>
    <font>
      <b/>
      <sz val="7"/>
      <name val="Arial"/>
      <family val="2"/>
    </font>
    <font>
      <i/>
      <sz val="7"/>
      <name val="Arial"/>
      <family val="2"/>
    </font>
    <font>
      <b/>
      <sz val="9"/>
      <color indexed="81"/>
      <name val="Tahoma"/>
      <family val="2"/>
    </font>
    <font>
      <sz val="10"/>
      <color rgb="FF00B0F0"/>
      <name val="Inter ExtraBold"/>
      <family val="2"/>
      <charset val="238"/>
    </font>
    <font>
      <vertAlign val="superscript"/>
      <sz val="10"/>
      <color rgb="FF000000"/>
      <name val="Inter"/>
      <family val="2"/>
    </font>
    <font>
      <sz val="10"/>
      <name val="Inter Medium"/>
      <family val="2"/>
    </font>
    <font>
      <sz val="8"/>
      <color rgb="FF000000"/>
      <name val="Segoe UI"/>
      <family val="2"/>
    </font>
    <font>
      <i/>
      <sz val="10"/>
      <name val="Inter Light"/>
      <family val="2"/>
    </font>
    <font>
      <sz val="10"/>
      <color rgb="FFFF0000"/>
      <name val="Inter"/>
      <family val="2"/>
    </font>
    <font>
      <b/>
      <sz val="12"/>
      <name val="Inter"/>
      <family val="2"/>
    </font>
    <font>
      <sz val="7.5"/>
      <color theme="1"/>
      <name val="Inter"/>
      <family val="2"/>
    </font>
    <font>
      <b/>
      <sz val="10"/>
      <color rgb="FF221F1F"/>
      <name val="Inter"/>
      <family val="2"/>
    </font>
    <font>
      <sz val="12"/>
      <color rgb="FF00B0F0"/>
      <name val="Inter Medium"/>
      <family val="2"/>
    </font>
    <font>
      <sz val="12"/>
      <name val="Inter Medium"/>
      <family val="2"/>
    </font>
    <font>
      <b/>
      <sz val="10"/>
      <color rgb="FF00B0F0"/>
      <name val="Inter Medium"/>
      <family val="2"/>
    </font>
    <font>
      <sz val="10"/>
      <color rgb="FF00B0F0"/>
      <name val="Inter"/>
      <family val="2"/>
    </font>
    <font>
      <sz val="10"/>
      <color theme="0"/>
      <name val="Inter"/>
      <family val="2"/>
    </font>
    <font>
      <i/>
      <sz val="10"/>
      <color rgb="FF000000"/>
      <name val="Inter Light"/>
      <family val="2"/>
    </font>
    <font>
      <i/>
      <sz val="10"/>
      <color theme="0"/>
      <name val="Inter Light"/>
      <family val="2"/>
    </font>
    <font>
      <sz val="10"/>
      <color theme="0"/>
      <name val="Inter Light"/>
      <family val="2"/>
    </font>
    <font>
      <i/>
      <sz val="12"/>
      <name val="Inter Light"/>
      <family val="2"/>
      <charset val="238"/>
    </font>
    <font>
      <sz val="10"/>
      <color rgb="FFC00000"/>
      <name val="Inter"/>
      <family val="2"/>
      <charset val="238"/>
    </font>
    <font>
      <sz val="8"/>
      <name val="Inter Light"/>
      <family val="2"/>
      <charset val="238"/>
    </font>
    <font>
      <sz val="9"/>
      <name val="Inter Light"/>
      <family val="2"/>
      <charset val="238"/>
    </font>
    <font>
      <b/>
      <sz val="9"/>
      <color theme="1"/>
      <name val="Inter"/>
      <family val="2"/>
      <charset val="238"/>
    </font>
    <font>
      <b/>
      <sz val="9"/>
      <name val="Inter"/>
      <family val="2"/>
      <charset val="238"/>
    </font>
    <font>
      <sz val="9"/>
      <name val="Inter Medium"/>
      <family val="2"/>
      <charset val="238"/>
    </font>
    <font>
      <sz val="9"/>
      <name val="Inter ExtraBold"/>
      <family val="2"/>
      <charset val="238"/>
    </font>
    <font>
      <sz val="14"/>
      <color theme="1" tint="0.499984740745262"/>
      <name val="Inter Light"/>
      <family val="2"/>
      <charset val="238"/>
    </font>
    <font>
      <sz val="9"/>
      <name val="Inter"/>
      <family val="2"/>
    </font>
    <font>
      <b/>
      <sz val="9"/>
      <name val="Inter"/>
      <family val="2"/>
    </font>
    <font>
      <sz val="9"/>
      <name val="Barlow Semi Condensed"/>
    </font>
    <font>
      <sz val="9"/>
      <name val="Inter"/>
      <family val="2"/>
      <charset val="238"/>
    </font>
    <font>
      <sz val="9"/>
      <color theme="0"/>
      <name val="Inter Medium"/>
      <family val="2"/>
      <charset val="238"/>
    </font>
    <font>
      <b/>
      <sz val="9"/>
      <color theme="0"/>
      <name val="Inter"/>
      <family val="2"/>
      <charset val="238"/>
    </font>
    <font>
      <b/>
      <sz val="9"/>
      <color theme="0"/>
      <name val="Inter Medium"/>
      <family val="2"/>
      <charset val="238"/>
    </font>
    <font>
      <b/>
      <sz val="9"/>
      <name val="Inter Light"/>
      <family val="2"/>
      <charset val="238"/>
    </font>
    <font>
      <sz val="9"/>
      <name val="Inter SemiBold"/>
      <family val="2"/>
      <charset val="238"/>
    </font>
    <font>
      <b/>
      <sz val="9"/>
      <color rgb="FF00B0F0"/>
      <name val="Inter"/>
      <family val="2"/>
      <charset val="238"/>
    </font>
    <font>
      <sz val="9"/>
      <color rgb="FF00B0F0"/>
      <name val="Inter"/>
      <family val="2"/>
      <charset val="238"/>
    </font>
    <font>
      <sz val="9"/>
      <color rgb="FF00B0F0"/>
      <name val="Inter Medium"/>
      <family val="2"/>
      <charset val="238"/>
    </font>
    <font>
      <sz val="9"/>
      <color rgb="FF00B0F0"/>
      <name val="Inter Light"/>
      <family val="2"/>
      <charset val="238"/>
    </font>
    <font>
      <sz val="9"/>
      <color rgb="FF00B0F0"/>
      <name val="Inter Medium"/>
      <family val="2"/>
    </font>
    <font>
      <sz val="9"/>
      <color theme="0"/>
      <name val="Inter"/>
      <family val="2"/>
    </font>
    <font>
      <sz val="9"/>
      <color rgb="FF00B0F0"/>
      <name val="Inter"/>
      <family val="2"/>
    </font>
    <font>
      <i/>
      <sz val="9"/>
      <name val="Inter"/>
      <family val="2"/>
    </font>
    <font>
      <i/>
      <sz val="9"/>
      <color theme="0"/>
      <name val="Inter"/>
      <family val="2"/>
    </font>
    <font>
      <i/>
      <sz val="9"/>
      <color rgb="FF00B0F0"/>
      <name val="Inter"/>
      <family val="2"/>
    </font>
    <font>
      <i/>
      <sz val="10"/>
      <name val="Inter"/>
      <family val="2"/>
    </font>
    <font>
      <sz val="9"/>
      <name val="Inter Medium"/>
      <family val="2"/>
    </font>
    <font>
      <sz val="9"/>
      <color theme="0"/>
      <name val="Inter Medium"/>
      <family val="2"/>
    </font>
    <font>
      <sz val="9"/>
      <name val="Inter SemiBold"/>
      <family val="2"/>
    </font>
    <font>
      <sz val="9"/>
      <color rgb="FF00B0F0"/>
      <name val="Inter SemiBold"/>
      <family val="2"/>
    </font>
    <font>
      <sz val="9"/>
      <color theme="5"/>
      <name val="Inter SemiBold"/>
      <family val="2"/>
      <charset val="238"/>
    </font>
    <font>
      <b/>
      <sz val="9"/>
      <name val="Inter SemiBold"/>
      <family val="2"/>
      <charset val="238"/>
    </font>
  </fonts>
  <fills count="14">
    <fill>
      <patternFill patternType="none"/>
    </fill>
    <fill>
      <patternFill patternType="gray125"/>
    </fill>
    <fill>
      <patternFill patternType="solid">
        <fgColor theme="9" tint="-0.249977111117893"/>
        <bgColor indexed="64"/>
      </patternFill>
    </fill>
    <fill>
      <patternFill patternType="solid">
        <fgColor theme="9"/>
        <bgColor indexed="64"/>
      </patternFill>
    </fill>
    <fill>
      <patternFill patternType="solid">
        <fgColor rgb="FFCC0099"/>
        <bgColor indexed="64"/>
      </patternFill>
    </fill>
    <fill>
      <patternFill patternType="solid">
        <fgColor rgb="FFFFC000"/>
        <bgColor indexed="64"/>
      </patternFill>
    </fill>
    <fill>
      <patternFill patternType="solid">
        <fgColor rgb="FFC00000"/>
        <bgColor indexed="64"/>
      </patternFill>
    </fill>
    <fill>
      <patternFill patternType="solid">
        <fgColor rgb="FF0070C0"/>
        <bgColor indexed="64"/>
      </patternFill>
    </fill>
    <fill>
      <patternFill patternType="solid">
        <fgColor rgb="FF009999"/>
        <bgColor indexed="64"/>
      </patternFill>
    </fill>
    <fill>
      <patternFill patternType="solid">
        <fgColor rgb="FF00CC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CCECFF"/>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medium">
        <color indexed="64"/>
      </bottom>
      <diagonal/>
    </border>
    <border>
      <left/>
      <right/>
      <top style="thin">
        <color indexed="64"/>
      </top>
      <bottom style="dashed">
        <color indexed="64"/>
      </bottom>
      <diagonal/>
    </border>
    <border>
      <left/>
      <right/>
      <top style="hair">
        <color indexed="64"/>
      </top>
      <bottom style="dashed">
        <color indexed="64"/>
      </bottom>
      <diagonal/>
    </border>
    <border>
      <left/>
      <right/>
      <top style="dashed">
        <color indexed="64"/>
      </top>
      <bottom style="dashed">
        <color indexed="64"/>
      </bottom>
      <diagonal/>
    </border>
    <border>
      <left/>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right/>
      <top style="dashed">
        <color indexed="64"/>
      </top>
      <bottom style="hair">
        <color indexed="64"/>
      </bottom>
      <diagonal/>
    </border>
    <border>
      <left/>
      <right/>
      <top/>
      <bottom style="dashed">
        <color indexed="64"/>
      </bottom>
      <diagonal/>
    </border>
    <border>
      <left/>
      <right/>
      <top style="hair">
        <color rgb="FF221F1F"/>
      </top>
      <bottom style="hair">
        <color rgb="FF221F1F"/>
      </bottom>
      <diagonal/>
    </border>
    <border>
      <left/>
      <right/>
      <top/>
      <bottom style="hair">
        <color rgb="FF221F1F"/>
      </bottom>
      <diagonal/>
    </border>
    <border>
      <left/>
      <right/>
      <top style="thin">
        <color rgb="FF221F1F"/>
      </top>
      <bottom style="hair">
        <color rgb="FF221F1F"/>
      </bottom>
      <diagonal/>
    </border>
    <border>
      <left/>
      <right/>
      <top style="dashed">
        <color indexed="64"/>
      </top>
      <bottom/>
      <diagonal/>
    </border>
    <border>
      <left/>
      <right/>
      <top style="hair">
        <color rgb="FF221F1F"/>
      </top>
      <bottom style="hair">
        <color indexed="64"/>
      </bottom>
      <diagonal/>
    </border>
  </borders>
  <cellStyleXfs count="24">
    <xf numFmtId="0" fontId="0" fillId="0" borderId="0"/>
    <xf numFmtId="9" fontId="6" fillId="0" borderId="0" applyFont="0" applyFill="0" applyBorder="0" applyAlignment="0" applyProtection="0"/>
    <xf numFmtId="164" fontId="7" fillId="0" borderId="0" applyFont="0" applyFill="0" applyBorder="0" applyAlignment="0" applyProtection="0"/>
    <xf numFmtId="0" fontId="5" fillId="0" borderId="0"/>
    <xf numFmtId="0" fontId="5" fillId="0" borderId="0"/>
    <xf numFmtId="0" fontId="8" fillId="0" borderId="0"/>
    <xf numFmtId="164" fontId="6" fillId="0" borderId="0" applyFont="0" applyFill="0" applyBorder="0" applyAlignment="0" applyProtection="0"/>
    <xf numFmtId="0" fontId="67" fillId="0" borderId="0" applyNumberFormat="0" applyBorder="0" applyAlignment="0">
      <alignment wrapText="1"/>
    </xf>
    <xf numFmtId="0" fontId="11" fillId="0" borderId="0">
      <alignment wrapText="1"/>
    </xf>
    <xf numFmtId="49" fontId="15" fillId="0" borderId="0" applyNumberFormat="0" applyFill="0" applyBorder="0" applyAlignment="0">
      <alignment vertical="top" wrapText="1"/>
    </xf>
    <xf numFmtId="0" fontId="10" fillId="2" borderId="0" applyBorder="0"/>
    <xf numFmtId="0" fontId="6" fillId="0" borderId="0"/>
    <xf numFmtId="0" fontId="35" fillId="0" borderId="0" applyNumberFormat="0" applyBorder="0" applyAlignment="0">
      <alignment vertical="center"/>
    </xf>
    <xf numFmtId="0" fontId="4" fillId="0" borderId="0"/>
    <xf numFmtId="9" fontId="4" fillId="0" borderId="0" applyFont="0" applyFill="0" applyBorder="0" applyAlignment="0" applyProtection="0"/>
    <xf numFmtId="0" fontId="3" fillId="0" borderId="0"/>
    <xf numFmtId="164" fontId="3" fillId="0" borderId="0" applyFont="0" applyFill="0" applyBorder="0" applyAlignment="0" applyProtection="0"/>
    <xf numFmtId="167" fontId="37" fillId="0" borderId="4">
      <alignment vertical="center"/>
    </xf>
    <xf numFmtId="167" fontId="13" fillId="0" borderId="5" applyNumberFormat="0" applyFill="0" applyBorder="0" applyAlignment="0">
      <alignment horizontal="left" vertical="center"/>
    </xf>
    <xf numFmtId="0" fontId="2" fillId="0" borderId="0"/>
    <xf numFmtId="0" fontId="2" fillId="0" borderId="0"/>
    <xf numFmtId="0" fontId="34" fillId="0" borderId="1" applyNumberFormat="0" applyFill="0" applyAlignment="0"/>
    <xf numFmtId="0" fontId="65" fillId="0" borderId="3" applyNumberFormat="0" applyFill="0" applyBorder="0" applyAlignment="0">
      <alignment vertical="center"/>
    </xf>
    <xf numFmtId="0" fontId="1" fillId="0" borderId="0"/>
  </cellStyleXfs>
  <cellXfs count="1129">
    <xf numFmtId="0" fontId="0" fillId="0" borderId="0" xfId="0"/>
    <xf numFmtId="0" fontId="35" fillId="0" borderId="0" xfId="12" applyAlignment="1">
      <alignment vertical="center"/>
    </xf>
    <xf numFmtId="0" fontId="12" fillId="0" borderId="0" xfId="15" applyFont="1"/>
    <xf numFmtId="0" fontId="67" fillId="0" borderId="0" xfId="7" applyAlignment="1"/>
    <xf numFmtId="0" fontId="9" fillId="0" borderId="0" xfId="13" applyFont="1" applyFill="1" applyBorder="1" applyAlignment="1">
      <alignment horizontal="left" vertical="top" wrapText="1"/>
    </xf>
    <xf numFmtId="0" fontId="0" fillId="0" borderId="0" xfId="0" applyBorder="1"/>
    <xf numFmtId="0" fontId="67" fillId="0" borderId="0" xfId="7" applyAlignment="1">
      <alignment vertical="top"/>
    </xf>
    <xf numFmtId="0" fontId="15" fillId="0" borderId="0" xfId="9" applyNumberFormat="1" applyAlignment="1"/>
    <xf numFmtId="0" fontId="15" fillId="0" borderId="0" xfId="9" applyNumberFormat="1" applyFill="1" applyBorder="1" applyAlignment="1">
      <alignment horizontal="left" vertical="top" wrapText="1"/>
    </xf>
    <xf numFmtId="0" fontId="15" fillId="0" borderId="0" xfId="9" applyNumberFormat="1" applyBorder="1" applyAlignment="1"/>
    <xf numFmtId="0" fontId="15" fillId="0" borderId="0" xfId="9" applyNumberFormat="1" applyFill="1" applyBorder="1" applyAlignment="1">
      <alignment vertical="top"/>
    </xf>
    <xf numFmtId="0" fontId="15" fillId="0" borderId="0" xfId="9" applyNumberFormat="1" applyAlignment="1">
      <alignment horizontal="left" vertical="center" indent="3"/>
    </xf>
    <xf numFmtId="0" fontId="15" fillId="0" borderId="0" xfId="9" quotePrefix="1" applyNumberFormat="1" applyAlignment="1">
      <alignment horizontal="left" vertical="center" indent="3"/>
    </xf>
    <xf numFmtId="0" fontId="14" fillId="0" borderId="0" xfId="11" applyFont="1"/>
    <xf numFmtId="0" fontId="14" fillId="0" borderId="0" xfId="11" applyFont="1" applyAlignment="1">
      <alignment vertical="top"/>
    </xf>
    <xf numFmtId="0" fontId="14" fillId="0" borderId="0" xfId="11" applyFont="1" applyAlignment="1">
      <alignment horizontal="left"/>
    </xf>
    <xf numFmtId="9" fontId="14" fillId="0" borderId="0" xfId="1" applyFont="1"/>
    <xf numFmtId="0" fontId="19" fillId="0" borderId="0" xfId="0" applyFont="1" applyProtection="1"/>
    <xf numFmtId="0" fontId="20" fillId="0" borderId="0" xfId="0" applyFont="1" applyProtection="1"/>
    <xf numFmtId="0" fontId="20" fillId="0" borderId="0" xfId="0" applyFont="1" applyFill="1" applyBorder="1" applyProtection="1"/>
    <xf numFmtId="0" fontId="21" fillId="0" borderId="0" xfId="0" applyFont="1" applyProtection="1"/>
    <xf numFmtId="0" fontId="21" fillId="0" borderId="0" xfId="0" applyFont="1" applyAlignment="1" applyProtection="1">
      <alignment horizontal="right" vertical="top" indent="1"/>
    </xf>
    <xf numFmtId="49" fontId="21" fillId="0" borderId="0" xfId="0" applyNumberFormat="1" applyFont="1" applyAlignment="1" applyProtection="1">
      <alignment horizontal="left" vertical="top"/>
    </xf>
    <xf numFmtId="0" fontId="20" fillId="0" borderId="0" xfId="0" applyFont="1" applyFill="1" applyProtection="1"/>
    <xf numFmtId="3" fontId="19" fillId="0" borderId="0" xfId="0" applyNumberFormat="1" applyFont="1" applyFill="1" applyBorder="1" applyAlignment="1" applyProtection="1">
      <alignment wrapText="1"/>
    </xf>
    <xf numFmtId="2" fontId="21" fillId="0" borderId="0" xfId="0" applyNumberFormat="1" applyFont="1" applyFill="1" applyBorder="1" applyProtection="1"/>
    <xf numFmtId="3" fontId="21" fillId="0" borderId="0" xfId="0" applyNumberFormat="1" applyFont="1" applyProtection="1"/>
    <xf numFmtId="3" fontId="23" fillId="0" borderId="0" xfId="0" applyNumberFormat="1" applyFont="1" applyFill="1" applyBorder="1" applyProtection="1"/>
    <xf numFmtId="2" fontId="23" fillId="0" borderId="0" xfId="0" applyNumberFormat="1" applyFont="1" applyFill="1" applyBorder="1" applyProtection="1"/>
    <xf numFmtId="9" fontId="21" fillId="0" borderId="0" xfId="1" applyFont="1" applyProtection="1"/>
    <xf numFmtId="0" fontId="21" fillId="0" borderId="0" xfId="11" applyFont="1" applyProtection="1"/>
    <xf numFmtId="0" fontId="19" fillId="0" borderId="0" xfId="11" applyFont="1"/>
    <xf numFmtId="0" fontId="19" fillId="0" borderId="0" xfId="11" applyFont="1" applyAlignment="1" applyProtection="1">
      <alignment horizontal="left" vertical="top"/>
    </xf>
    <xf numFmtId="10" fontId="19" fillId="0" borderId="0" xfId="1" applyNumberFormat="1" applyFont="1" applyFill="1" applyBorder="1" applyAlignment="1" applyProtection="1">
      <alignment vertical="top"/>
    </xf>
    <xf numFmtId="0" fontId="25" fillId="0" borderId="0" xfId="11" applyFont="1" applyAlignment="1">
      <alignment horizontal="left" vertical="top"/>
    </xf>
    <xf numFmtId="0" fontId="26" fillId="0" borderId="0" xfId="11" applyFont="1" applyAlignment="1">
      <alignment horizontal="left"/>
    </xf>
    <xf numFmtId="0" fontId="19" fillId="0" borderId="0" xfId="11" applyFont="1" applyAlignment="1">
      <alignment horizontal="left"/>
    </xf>
    <xf numFmtId="9" fontId="19" fillId="0" borderId="0" xfId="1" applyFont="1"/>
    <xf numFmtId="0" fontId="19" fillId="0" borderId="0" xfId="0" applyFont="1" applyAlignment="1" applyProtection="1">
      <alignment vertical="center"/>
    </xf>
    <xf numFmtId="3" fontId="19" fillId="0" borderId="0" xfId="0" applyNumberFormat="1" applyFont="1" applyFill="1" applyBorder="1" applyAlignment="1" applyProtection="1">
      <alignment vertical="center"/>
    </xf>
    <xf numFmtId="0" fontId="22" fillId="0" borderId="0" xfId="0" applyFont="1" applyFill="1" applyBorder="1" applyAlignment="1" applyProtection="1">
      <alignment vertical="center"/>
    </xf>
    <xf numFmtId="3" fontId="22" fillId="0" borderId="0" xfId="0" applyNumberFormat="1" applyFont="1" applyFill="1" applyBorder="1" applyAlignment="1" applyProtection="1">
      <alignment vertical="center"/>
    </xf>
    <xf numFmtId="0" fontId="19" fillId="0" borderId="0" xfId="0" applyFont="1" applyBorder="1" applyAlignment="1" applyProtection="1">
      <alignment vertical="center"/>
    </xf>
    <xf numFmtId="0" fontId="21" fillId="0" borderId="0" xfId="0" applyFont="1" applyFill="1" applyBorder="1" applyProtection="1"/>
    <xf numFmtId="0" fontId="19" fillId="0" borderId="0" xfId="0" applyFont="1" applyAlignment="1" applyProtection="1">
      <alignment horizontal="right" vertical="top" indent="1"/>
    </xf>
    <xf numFmtId="0" fontId="19" fillId="0" borderId="0" xfId="0" applyFont="1" applyFill="1" applyBorder="1" applyProtection="1"/>
    <xf numFmtId="0" fontId="21" fillId="0" borderId="0" xfId="0" applyFont="1" applyFill="1" applyBorder="1" applyAlignment="1" applyProtection="1">
      <alignment horizontal="left" vertical="center"/>
    </xf>
    <xf numFmtId="0" fontId="21" fillId="0" borderId="0" xfId="0" applyFont="1" applyFill="1" applyProtection="1"/>
    <xf numFmtId="0" fontId="19" fillId="0" borderId="0" xfId="0" applyFont="1" applyAlignment="1" applyProtection="1">
      <alignment horizontal="right" vertical="center"/>
    </xf>
    <xf numFmtId="0" fontId="21" fillId="0" borderId="0" xfId="0" applyFont="1" applyAlignment="1" applyProtection="1">
      <alignment vertical="center"/>
    </xf>
    <xf numFmtId="0" fontId="21" fillId="0" borderId="3" xfId="0" applyFont="1" applyFill="1" applyBorder="1" applyAlignment="1" applyProtection="1">
      <alignment vertical="center" wrapText="1"/>
    </xf>
    <xf numFmtId="0" fontId="21" fillId="0" borderId="0" xfId="0" applyFont="1" applyFill="1" applyAlignment="1" applyProtection="1">
      <alignment vertical="center"/>
    </xf>
    <xf numFmtId="0" fontId="21" fillId="0" borderId="0" xfId="0" applyFont="1" applyAlignment="1" applyProtection="1">
      <alignment vertical="center" wrapText="1"/>
    </xf>
    <xf numFmtId="0" fontId="21" fillId="0" borderId="4" xfId="0" applyFont="1" applyBorder="1" applyAlignment="1" applyProtection="1">
      <alignment vertical="center" wrapText="1"/>
    </xf>
    <xf numFmtId="0" fontId="21" fillId="0" borderId="4" xfId="0" applyFont="1" applyFill="1" applyBorder="1" applyAlignment="1" applyProtection="1">
      <alignment vertical="center"/>
    </xf>
    <xf numFmtId="0" fontId="24" fillId="0" borderId="4" xfId="0" applyFont="1" applyFill="1" applyBorder="1" applyAlignment="1" applyProtection="1">
      <alignment vertical="center"/>
    </xf>
    <xf numFmtId="0" fontId="21" fillId="0" borderId="4" xfId="0" applyFont="1" applyBorder="1" applyAlignment="1" applyProtection="1">
      <alignment horizontal="right" vertical="center"/>
    </xf>
    <xf numFmtId="0" fontId="21" fillId="0" borderId="4" xfId="0" applyFont="1" applyBorder="1" applyAlignment="1" applyProtection="1">
      <alignment vertical="center"/>
    </xf>
    <xf numFmtId="3" fontId="21" fillId="0" borderId="0" xfId="0" applyNumberFormat="1" applyFont="1" applyFill="1" applyBorder="1" applyAlignment="1" applyProtection="1">
      <alignment vertical="center"/>
    </xf>
    <xf numFmtId="0" fontId="24" fillId="0" borderId="0" xfId="0" applyFont="1" applyFill="1" applyBorder="1" applyAlignment="1" applyProtection="1">
      <alignment vertical="center"/>
    </xf>
    <xf numFmtId="3" fontId="24" fillId="0" borderId="0" xfId="0" applyNumberFormat="1" applyFont="1" applyFill="1" applyBorder="1" applyAlignment="1" applyProtection="1">
      <alignment vertical="center"/>
    </xf>
    <xf numFmtId="0" fontId="21" fillId="0" borderId="0" xfId="0" applyFont="1" applyBorder="1" applyAlignment="1" applyProtection="1">
      <alignment vertical="center"/>
    </xf>
    <xf numFmtId="0" fontId="19" fillId="0" borderId="0" xfId="0" applyFont="1" applyFill="1" applyBorder="1" applyAlignment="1" applyProtection="1">
      <alignment vertical="center"/>
    </xf>
    <xf numFmtId="9" fontId="19" fillId="0" borderId="0" xfId="1" applyFont="1" applyFill="1" applyBorder="1" applyAlignment="1" applyProtection="1">
      <alignment vertical="center"/>
    </xf>
    <xf numFmtId="0" fontId="19" fillId="0" borderId="0" xfId="0" applyFont="1" applyFill="1" applyAlignment="1" applyProtection="1">
      <alignment vertical="center"/>
    </xf>
    <xf numFmtId="3" fontId="24" fillId="0" borderId="4" xfId="0" applyNumberFormat="1" applyFont="1" applyFill="1" applyBorder="1" applyAlignment="1" applyProtection="1">
      <alignment vertical="center"/>
    </xf>
    <xf numFmtId="0" fontId="19" fillId="0" borderId="3" xfId="0" applyFont="1" applyFill="1" applyBorder="1" applyAlignment="1" applyProtection="1">
      <alignment vertical="center"/>
    </xf>
    <xf numFmtId="0" fontId="19" fillId="0" borderId="4" xfId="0" applyFont="1" applyFill="1" applyBorder="1" applyAlignment="1" applyProtection="1">
      <alignment vertical="center"/>
    </xf>
    <xf numFmtId="0" fontId="19" fillId="0" borderId="1" xfId="0" applyFont="1" applyBorder="1" applyAlignment="1" applyProtection="1">
      <alignment vertical="center"/>
    </xf>
    <xf numFmtId="0" fontId="19" fillId="0" borderId="1" xfId="0" applyFont="1" applyFill="1" applyBorder="1" applyAlignment="1" applyProtection="1">
      <alignment vertical="center"/>
    </xf>
    <xf numFmtId="9" fontId="19" fillId="0" borderId="1" xfId="1" applyFont="1" applyFill="1" applyBorder="1" applyAlignment="1" applyProtection="1">
      <alignment vertical="center"/>
    </xf>
    <xf numFmtId="3" fontId="22" fillId="0" borderId="1" xfId="0" applyNumberFormat="1" applyFont="1" applyFill="1" applyBorder="1" applyAlignment="1" applyProtection="1">
      <alignment vertical="center"/>
    </xf>
    <xf numFmtId="0" fontId="21" fillId="0" borderId="2" xfId="0" applyFont="1" applyFill="1" applyBorder="1" applyAlignment="1" applyProtection="1">
      <alignment vertical="center" wrapText="1"/>
    </xf>
    <xf numFmtId="3" fontId="31" fillId="0" borderId="2" xfId="0" applyNumberFormat="1" applyFont="1" applyFill="1" applyBorder="1" applyAlignment="1" applyProtection="1">
      <alignment vertical="center" wrapText="1"/>
    </xf>
    <xf numFmtId="0" fontId="29"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3" fontId="31" fillId="0" borderId="0" xfId="0" applyNumberFormat="1" applyFont="1" applyFill="1" applyBorder="1" applyAlignment="1" applyProtection="1">
      <alignment vertical="center" wrapText="1"/>
    </xf>
    <xf numFmtId="0" fontId="32" fillId="0" borderId="0" xfId="11" applyFont="1" applyAlignment="1"/>
    <xf numFmtId="14" fontId="21" fillId="0" borderId="4" xfId="0" applyNumberFormat="1" applyFont="1" applyFill="1" applyBorder="1" applyAlignment="1" applyProtection="1">
      <alignment horizontal="left" vertical="center"/>
    </xf>
    <xf numFmtId="0" fontId="33" fillId="0" borderId="0" xfId="0" applyFont="1" applyAlignment="1" applyProtection="1">
      <alignment vertical="center"/>
    </xf>
    <xf numFmtId="0" fontId="34" fillId="0" borderId="0" xfId="10" applyFont="1" applyFill="1" applyBorder="1"/>
    <xf numFmtId="0" fontId="34" fillId="0" borderId="0" xfId="10" applyFont="1" applyFill="1"/>
    <xf numFmtId="0" fontId="34" fillId="0" borderId="2" xfId="10" applyFont="1" applyFill="1" applyBorder="1"/>
    <xf numFmtId="0" fontId="35" fillId="0" borderId="0" xfId="0" applyFont="1" applyAlignment="1" applyProtection="1">
      <alignment vertical="center"/>
    </xf>
    <xf numFmtId="0" fontId="21" fillId="0" borderId="7" xfId="0" applyFont="1" applyFill="1" applyBorder="1" applyAlignment="1" applyProtection="1">
      <alignment vertical="center" wrapText="1"/>
    </xf>
    <xf numFmtId="0" fontId="20" fillId="0" borderId="9" xfId="0" applyFont="1" applyBorder="1" applyProtection="1"/>
    <xf numFmtId="0" fontId="21" fillId="0" borderId="9" xfId="0" applyFont="1" applyBorder="1" applyAlignment="1" applyProtection="1">
      <alignment vertical="center"/>
    </xf>
    <xf numFmtId="0" fontId="21" fillId="0" borderId="9" xfId="0" applyFont="1" applyFill="1" applyBorder="1" applyAlignment="1" applyProtection="1">
      <alignment vertical="center"/>
    </xf>
    <xf numFmtId="9" fontId="21" fillId="0" borderId="9" xfId="1" applyFont="1" applyFill="1" applyBorder="1" applyAlignment="1" applyProtection="1">
      <alignment vertical="center"/>
    </xf>
    <xf numFmtId="3" fontId="24" fillId="0" borderId="9" xfId="0" applyNumberFormat="1" applyFont="1" applyFill="1" applyBorder="1" applyAlignment="1" applyProtection="1">
      <alignment vertical="center"/>
    </xf>
    <xf numFmtId="0" fontId="21" fillId="0" borderId="1" xfId="0" applyFont="1" applyBorder="1" applyAlignment="1" applyProtection="1">
      <alignment vertical="center"/>
    </xf>
    <xf numFmtId="0" fontId="21" fillId="0" borderId="1" xfId="0" applyFont="1" applyFill="1" applyBorder="1" applyAlignment="1" applyProtection="1">
      <alignment vertical="center"/>
    </xf>
    <xf numFmtId="9" fontId="21" fillId="0" borderId="1" xfId="1" applyFont="1" applyFill="1" applyBorder="1" applyAlignment="1" applyProtection="1">
      <alignment vertical="center"/>
    </xf>
    <xf numFmtId="3" fontId="21" fillId="0" borderId="1" xfId="0" applyNumberFormat="1" applyFont="1" applyFill="1" applyBorder="1" applyAlignment="1" applyProtection="1">
      <alignment vertical="center"/>
    </xf>
    <xf numFmtId="3" fontId="24" fillId="0" borderId="1" xfId="0" applyNumberFormat="1" applyFont="1" applyFill="1" applyBorder="1" applyAlignment="1" applyProtection="1">
      <alignment vertical="center"/>
    </xf>
    <xf numFmtId="0" fontId="20" fillId="0" borderId="6" xfId="0" applyFont="1" applyBorder="1" applyProtection="1"/>
    <xf numFmtId="0" fontId="36" fillId="0" borderId="0" xfId="0" applyFont="1" applyAlignment="1" applyProtection="1">
      <alignment vertical="center"/>
    </xf>
    <xf numFmtId="0" fontId="15" fillId="0" borderId="0" xfId="9" applyNumberFormat="1" applyFont="1" applyAlignment="1">
      <alignment horizontal="left" vertical="center" indent="3"/>
    </xf>
    <xf numFmtId="0" fontId="6" fillId="0" borderId="0" xfId="11"/>
    <xf numFmtId="0" fontId="6" fillId="0" borderId="0" xfId="11" applyBorder="1"/>
    <xf numFmtId="0" fontId="21" fillId="0" borderId="0" xfId="0" applyFont="1" applyBorder="1" applyAlignment="1" applyProtection="1">
      <alignment horizontal="left"/>
    </xf>
    <xf numFmtId="0" fontId="37" fillId="0" borderId="0" xfId="0" applyFont="1"/>
    <xf numFmtId="167" fontId="37" fillId="0" borderId="0" xfId="17" applyFont="1" applyBorder="1">
      <alignment vertical="center"/>
    </xf>
    <xf numFmtId="0" fontId="38" fillId="0" borderId="0" xfId="9" applyNumberFormat="1" applyFont="1" applyAlignment="1">
      <alignment horizontal="left" vertical="center" indent="3"/>
    </xf>
    <xf numFmtId="0" fontId="38" fillId="0" borderId="0" xfId="9" applyNumberFormat="1" applyFont="1" applyAlignment="1"/>
    <xf numFmtId="0" fontId="39" fillId="0" borderId="0" xfId="15" applyFont="1"/>
    <xf numFmtId="0" fontId="40" fillId="0" borderId="0" xfId="9" applyNumberFormat="1" applyFont="1" applyAlignment="1"/>
    <xf numFmtId="0" fontId="42" fillId="0" borderId="0" xfId="0" applyFont="1" applyAlignment="1">
      <alignment vertical="center"/>
    </xf>
    <xf numFmtId="167" fontId="43" fillId="0" borderId="0" xfId="17" applyFont="1" applyBorder="1">
      <alignment vertical="center"/>
    </xf>
    <xf numFmtId="167" fontId="37" fillId="0" borderId="4" xfId="17" applyFont="1" applyBorder="1">
      <alignment vertical="center"/>
    </xf>
    <xf numFmtId="167" fontId="19" fillId="0" borderId="4" xfId="17" applyFont="1" applyBorder="1">
      <alignment vertical="center"/>
    </xf>
    <xf numFmtId="0" fontId="38" fillId="0" borderId="0" xfId="9" applyNumberFormat="1" applyFont="1" applyFill="1" applyBorder="1" applyAlignment="1">
      <alignment horizontal="left" vertical="top"/>
    </xf>
    <xf numFmtId="0" fontId="38" fillId="0" borderId="0" xfId="9" applyNumberFormat="1" applyFont="1" applyFill="1" applyBorder="1" applyAlignment="1">
      <alignment horizontal="left" vertical="top" wrapText="1"/>
    </xf>
    <xf numFmtId="0" fontId="38" fillId="0" borderId="0" xfId="9" applyNumberFormat="1" applyFont="1" applyBorder="1" applyAlignment="1"/>
    <xf numFmtId="0" fontId="38" fillId="0" borderId="0" xfId="9" quotePrefix="1" applyNumberFormat="1" applyFont="1" applyAlignment="1">
      <alignment horizontal="left" vertical="center" indent="3"/>
    </xf>
    <xf numFmtId="0" fontId="19" fillId="0" borderId="4" xfId="0" applyNumberFormat="1" applyFont="1" applyBorder="1" applyAlignment="1">
      <alignment horizontal="left" vertical="top" indent="1"/>
    </xf>
    <xf numFmtId="168" fontId="19" fillId="0" borderId="4" xfId="1" applyNumberFormat="1" applyFont="1" applyFill="1" applyBorder="1" applyAlignment="1" applyProtection="1">
      <alignment vertical="top"/>
    </xf>
    <xf numFmtId="3" fontId="19" fillId="0" borderId="4" xfId="0" applyNumberFormat="1" applyFont="1" applyBorder="1" applyProtection="1"/>
    <xf numFmtId="49" fontId="19" fillId="0" borderId="4" xfId="0" applyNumberFormat="1" applyFont="1" applyBorder="1" applyAlignment="1">
      <alignment horizontal="left" vertical="top" indent="1"/>
    </xf>
    <xf numFmtId="49" fontId="19" fillId="0" borderId="4" xfId="11" applyNumberFormat="1" applyFont="1" applyFill="1" applyBorder="1" applyAlignment="1" applyProtection="1">
      <alignment horizontal="left" vertical="top" indent="1"/>
    </xf>
    <xf numFmtId="3" fontId="19" fillId="0" borderId="6" xfId="11" applyNumberFormat="1" applyFont="1" applyFill="1" applyBorder="1" applyAlignment="1" applyProtection="1">
      <alignment vertical="top"/>
    </xf>
    <xf numFmtId="3" fontId="19" fillId="0" borderId="6" xfId="0" applyNumberFormat="1" applyFont="1" applyBorder="1" applyProtection="1"/>
    <xf numFmtId="0" fontId="19" fillId="0" borderId="2" xfId="11" applyFont="1" applyFill="1" applyBorder="1" applyAlignment="1" applyProtection="1">
      <alignment horizontal="left" vertical="top"/>
    </xf>
    <xf numFmtId="0" fontId="19" fillId="0" borderId="2" xfId="11" applyFont="1" applyFill="1" applyBorder="1" applyAlignment="1" applyProtection="1">
      <alignment vertical="top"/>
    </xf>
    <xf numFmtId="168" fontId="19" fillId="0" borderId="2" xfId="1" applyNumberFormat="1" applyFont="1" applyFill="1" applyBorder="1" applyAlignment="1" applyProtection="1">
      <alignment vertical="top"/>
    </xf>
    <xf numFmtId="3" fontId="19" fillId="0" borderId="4" xfId="11" applyNumberFormat="1" applyFont="1" applyFill="1" applyBorder="1" applyAlignment="1" applyProtection="1">
      <alignment vertical="top"/>
    </xf>
    <xf numFmtId="0" fontId="19" fillId="0" borderId="4" xfId="0" applyNumberFormat="1" applyFont="1" applyFill="1" applyBorder="1" applyAlignment="1" applyProtection="1">
      <alignment vertical="top"/>
    </xf>
    <xf numFmtId="0" fontId="19" fillId="0" borderId="4" xfId="0" applyNumberFormat="1" applyFont="1" applyFill="1" applyBorder="1" applyAlignment="1">
      <alignment horizontal="left" vertical="top"/>
    </xf>
    <xf numFmtId="0" fontId="19" fillId="0" borderId="4" xfId="11" applyFont="1" applyFill="1" applyBorder="1" applyAlignment="1">
      <alignment horizontal="left" vertical="top"/>
    </xf>
    <xf numFmtId="168" fontId="19" fillId="0" borderId="4" xfId="1" applyNumberFormat="1" applyFont="1" applyFill="1" applyBorder="1" applyAlignment="1" applyProtection="1">
      <alignment horizontal="right" vertical="top"/>
    </xf>
    <xf numFmtId="49" fontId="19" fillId="0" borderId="4" xfId="11" applyNumberFormat="1" applyFont="1" applyBorder="1" applyAlignment="1">
      <alignment horizontal="left" vertical="top" indent="1"/>
    </xf>
    <xf numFmtId="0" fontId="19" fillId="0" borderId="4" xfId="11" applyFont="1" applyFill="1" applyBorder="1" applyAlignment="1" applyProtection="1">
      <alignment vertical="top"/>
    </xf>
    <xf numFmtId="49" fontId="45" fillId="5" borderId="3" xfId="0" applyNumberFormat="1" applyFont="1" applyFill="1" applyBorder="1" applyAlignment="1">
      <alignment horizontal="left" vertical="top"/>
    </xf>
    <xf numFmtId="0" fontId="45" fillId="0" borderId="3" xfId="0" applyNumberFormat="1" applyFont="1" applyFill="1" applyBorder="1" applyAlignment="1" applyProtection="1">
      <alignment vertical="top"/>
    </xf>
    <xf numFmtId="168" fontId="43" fillId="0" borderId="3" xfId="1" applyNumberFormat="1" applyFont="1" applyFill="1" applyBorder="1" applyAlignment="1" applyProtection="1">
      <alignment horizontal="right" vertical="top"/>
    </xf>
    <xf numFmtId="3" fontId="43" fillId="0" borderId="3" xfId="11" applyNumberFormat="1" applyFont="1" applyFill="1" applyBorder="1" applyAlignment="1" applyProtection="1">
      <alignment horizontal="right" vertical="top"/>
    </xf>
    <xf numFmtId="3" fontId="43" fillId="0" borderId="3" xfId="0" applyNumberFormat="1" applyFont="1" applyFill="1" applyBorder="1" applyProtection="1"/>
    <xf numFmtId="0" fontId="19" fillId="0" borderId="1" xfId="11" applyFont="1" applyBorder="1" applyAlignment="1" applyProtection="1">
      <alignment horizontal="left"/>
    </xf>
    <xf numFmtId="0" fontId="19" fillId="0" borderId="1" xfId="11" applyFont="1" applyBorder="1" applyAlignment="1" applyProtection="1"/>
    <xf numFmtId="9" fontId="19" fillId="0" borderId="1" xfId="1" applyFont="1" applyBorder="1" applyProtection="1"/>
    <xf numFmtId="0" fontId="19" fillId="0" borderId="1" xfId="11" applyFont="1" applyBorder="1" applyProtection="1"/>
    <xf numFmtId="0" fontId="19" fillId="0" borderId="1" xfId="11" applyFont="1" applyBorder="1" applyAlignment="1" applyProtection="1">
      <alignment wrapText="1"/>
    </xf>
    <xf numFmtId="49" fontId="45" fillId="3" borderId="3" xfId="0" applyNumberFormat="1" applyFont="1" applyFill="1" applyBorder="1" applyAlignment="1">
      <alignment horizontal="left" vertical="top"/>
    </xf>
    <xf numFmtId="0" fontId="19" fillId="0" borderId="6" xfId="0" applyNumberFormat="1" applyFont="1" applyBorder="1" applyAlignment="1">
      <alignment horizontal="left" vertical="top" indent="1"/>
    </xf>
    <xf numFmtId="0" fontId="19" fillId="0" borderId="6" xfId="0" applyNumberFormat="1" applyFont="1" applyFill="1" applyBorder="1" applyAlignment="1">
      <alignment horizontal="left" vertical="top"/>
    </xf>
    <xf numFmtId="168" fontId="19" fillId="0" borderId="6" xfId="1" applyNumberFormat="1" applyFont="1" applyFill="1" applyBorder="1" applyAlignment="1" applyProtection="1">
      <alignment vertical="top"/>
    </xf>
    <xf numFmtId="0" fontId="45" fillId="6" borderId="3" xfId="0" applyNumberFormat="1" applyFont="1" applyFill="1" applyBorder="1" applyAlignment="1" applyProtection="1">
      <alignment horizontal="left" vertical="top"/>
    </xf>
    <xf numFmtId="1" fontId="43" fillId="0" borderId="3" xfId="11" applyNumberFormat="1" applyFont="1" applyFill="1" applyBorder="1" applyAlignment="1" applyProtection="1">
      <alignment vertical="top"/>
    </xf>
    <xf numFmtId="49" fontId="19" fillId="0" borderId="6" xfId="0" applyNumberFormat="1" applyFont="1" applyBorder="1" applyAlignment="1">
      <alignment horizontal="left" vertical="top" indent="1"/>
    </xf>
    <xf numFmtId="0" fontId="19" fillId="0" borderId="6" xfId="0" applyNumberFormat="1" applyFont="1" applyFill="1" applyBorder="1" applyAlignment="1" applyProtection="1">
      <alignment vertical="top"/>
    </xf>
    <xf numFmtId="49" fontId="45" fillId="4" borderId="3" xfId="0" applyNumberFormat="1" applyFont="1" applyFill="1" applyBorder="1" applyAlignment="1">
      <alignment horizontal="left" vertical="top"/>
    </xf>
    <xf numFmtId="49" fontId="19" fillId="0" borderId="6" xfId="11" applyNumberFormat="1" applyFont="1" applyBorder="1" applyAlignment="1">
      <alignment horizontal="left" vertical="top" indent="1"/>
    </xf>
    <xf numFmtId="0" fontId="19" fillId="0" borderId="6" xfId="11" applyFont="1" applyFill="1" applyBorder="1" applyAlignment="1" applyProtection="1">
      <alignment vertical="top"/>
    </xf>
    <xf numFmtId="168" fontId="19" fillId="0" borderId="6" xfId="1" applyNumberFormat="1" applyFont="1" applyFill="1" applyBorder="1" applyAlignment="1" applyProtection="1">
      <alignment horizontal="right" vertical="top"/>
    </xf>
    <xf numFmtId="0" fontId="45" fillId="7" borderId="3" xfId="0" applyNumberFormat="1" applyFont="1" applyFill="1" applyBorder="1" applyAlignment="1" applyProtection="1">
      <alignment horizontal="left" vertical="top"/>
    </xf>
    <xf numFmtId="49" fontId="19" fillId="0" borderId="6" xfId="11" applyNumberFormat="1" applyFont="1" applyFill="1" applyBorder="1" applyAlignment="1" applyProtection="1">
      <alignment horizontal="left" vertical="top" indent="1"/>
    </xf>
    <xf numFmtId="0" fontId="45" fillId="8" borderId="3" xfId="0" applyNumberFormat="1" applyFont="1" applyFill="1" applyBorder="1" applyAlignment="1" applyProtection="1">
      <alignment horizontal="left" vertical="top"/>
    </xf>
    <xf numFmtId="0" fontId="45" fillId="9" borderId="3" xfId="0" applyNumberFormat="1" applyFont="1" applyFill="1" applyBorder="1" applyAlignment="1" applyProtection="1">
      <alignment horizontal="left" vertical="top"/>
    </xf>
    <xf numFmtId="0" fontId="19" fillId="0" borderId="6" xfId="11" applyFont="1" applyFill="1" applyBorder="1" applyAlignment="1">
      <alignment horizontal="left" vertical="top"/>
    </xf>
    <xf numFmtId="3" fontId="19" fillId="0" borderId="2" xfId="11" applyNumberFormat="1" applyFont="1" applyFill="1" applyBorder="1" applyAlignment="1" applyProtection="1">
      <alignment vertical="top"/>
    </xf>
    <xf numFmtId="0" fontId="19" fillId="0" borderId="2" xfId="11" applyFont="1" applyBorder="1" applyAlignment="1">
      <alignment vertical="top"/>
    </xf>
    <xf numFmtId="0" fontId="19" fillId="0" borderId="0" xfId="11" applyFont="1" applyBorder="1" applyAlignment="1" applyProtection="1">
      <alignment horizontal="left" vertical="top"/>
    </xf>
    <xf numFmtId="0" fontId="19" fillId="0" borderId="0" xfId="11" applyFont="1" applyBorder="1" applyAlignment="1" applyProtection="1">
      <alignment vertical="top"/>
    </xf>
    <xf numFmtId="0" fontId="14" fillId="0" borderId="0" xfId="11" applyFont="1" applyBorder="1" applyAlignment="1">
      <alignment vertical="top"/>
    </xf>
    <xf numFmtId="10" fontId="19" fillId="0" borderId="0" xfId="1" applyNumberFormat="1" applyFont="1" applyBorder="1" applyProtection="1"/>
    <xf numFmtId="0" fontId="37" fillId="0" borderId="2" xfId="11" applyFont="1" applyFill="1" applyBorder="1" applyAlignment="1" applyProtection="1">
      <alignment horizontal="left" vertical="top"/>
    </xf>
    <xf numFmtId="0" fontId="37" fillId="0" borderId="2" xfId="11" applyFont="1" applyFill="1" applyBorder="1" applyAlignment="1" applyProtection="1">
      <alignment vertical="top"/>
    </xf>
    <xf numFmtId="168" fontId="37" fillId="0" borderId="2" xfId="1" applyNumberFormat="1" applyFont="1" applyFill="1" applyBorder="1" applyAlignment="1" applyProtection="1">
      <alignment vertical="top"/>
    </xf>
    <xf numFmtId="170" fontId="43" fillId="0" borderId="2" xfId="2" applyNumberFormat="1" applyFont="1" applyFill="1" applyBorder="1" applyAlignment="1" applyProtection="1">
      <alignment horizontal="right" vertical="top"/>
    </xf>
    <xf numFmtId="0" fontId="19" fillId="0" borderId="0" xfId="11" applyFont="1" applyFill="1" applyAlignment="1">
      <alignment vertical="top"/>
    </xf>
    <xf numFmtId="0" fontId="19" fillId="0" borderId="0" xfId="11" applyFont="1" applyFill="1" applyAlignment="1" applyProtection="1">
      <alignment vertical="top"/>
    </xf>
    <xf numFmtId="0" fontId="14" fillId="0" borderId="0" xfId="11" applyFont="1" applyFill="1" applyAlignment="1">
      <alignment vertical="top"/>
    </xf>
    <xf numFmtId="9" fontId="19" fillId="0" borderId="0" xfId="1" applyFont="1" applyFill="1" applyAlignment="1" applyProtection="1">
      <alignment horizontal="right" vertical="top"/>
    </xf>
    <xf numFmtId="3" fontId="19" fillId="0" borderId="1" xfId="11" applyNumberFormat="1" applyFont="1" applyFill="1" applyBorder="1" applyAlignment="1" applyProtection="1">
      <alignment vertical="top"/>
    </xf>
    <xf numFmtId="171" fontId="43" fillId="0" borderId="2" xfId="1" applyNumberFormat="1" applyFont="1" applyFill="1" applyBorder="1" applyAlignment="1" applyProtection="1">
      <alignment vertical="top"/>
    </xf>
    <xf numFmtId="10" fontId="19" fillId="0" borderId="0" xfId="1" applyNumberFormat="1" applyFont="1" applyFill="1" applyAlignment="1">
      <alignment vertical="top"/>
    </xf>
    <xf numFmtId="0" fontId="39" fillId="0" borderId="0" xfId="3" applyFont="1" applyProtection="1">
      <protection locked="0"/>
    </xf>
    <xf numFmtId="0" fontId="39" fillId="0" borderId="0" xfId="3" applyFont="1" applyBorder="1" applyProtection="1">
      <protection locked="0"/>
    </xf>
    <xf numFmtId="0" fontId="39" fillId="0" borderId="0" xfId="3" applyFont="1" applyFill="1" applyBorder="1" applyProtection="1">
      <protection locked="0"/>
    </xf>
    <xf numFmtId="0" fontId="39" fillId="0" borderId="0" xfId="3" applyFont="1" applyProtection="1"/>
    <xf numFmtId="0" fontId="47" fillId="0" borderId="0" xfId="3" applyFont="1" applyProtection="1"/>
    <xf numFmtId="165" fontId="47" fillId="0" borderId="0" xfId="3" applyNumberFormat="1" applyFont="1" applyAlignment="1" applyProtection="1">
      <alignment wrapText="1"/>
      <protection locked="0"/>
    </xf>
    <xf numFmtId="0" fontId="39" fillId="0" borderId="1" xfId="3" applyFont="1" applyBorder="1" applyProtection="1"/>
    <xf numFmtId="0" fontId="39" fillId="0" borderId="0" xfId="3" applyFont="1" applyBorder="1" applyAlignment="1" applyProtection="1">
      <alignment horizontal="right"/>
      <protection locked="0"/>
    </xf>
    <xf numFmtId="0" fontId="39" fillId="0" borderId="2" xfId="3" applyFont="1" applyBorder="1" applyProtection="1"/>
    <xf numFmtId="0" fontId="39" fillId="0" borderId="3" xfId="3" applyFont="1" applyBorder="1" applyProtection="1"/>
    <xf numFmtId="0" fontId="39" fillId="0" borderId="4" xfId="3" applyFont="1" applyBorder="1" applyProtection="1"/>
    <xf numFmtId="0" fontId="39" fillId="0" borderId="4" xfId="3" applyFont="1" applyFill="1" applyBorder="1" applyProtection="1"/>
    <xf numFmtId="0" fontId="39" fillId="0" borderId="0" xfId="3" applyFont="1" applyFill="1" applyBorder="1" applyProtection="1"/>
    <xf numFmtId="0" fontId="41" fillId="0" borderId="0" xfId="3" applyFont="1" applyProtection="1">
      <protection locked="0"/>
    </xf>
    <xf numFmtId="0" fontId="39" fillId="0" borderId="0" xfId="3" applyFont="1" applyBorder="1" applyProtection="1"/>
    <xf numFmtId="166" fontId="47" fillId="0" borderId="0" xfId="3" applyNumberFormat="1" applyFont="1" applyFill="1" applyBorder="1" applyProtection="1"/>
    <xf numFmtId="0" fontId="48" fillId="0" borderId="0" xfId="3" applyFont="1" applyBorder="1" applyProtection="1">
      <protection locked="0"/>
    </xf>
    <xf numFmtId="0" fontId="48" fillId="0" borderId="0" xfId="3" applyFont="1" applyFill="1" applyBorder="1" applyProtection="1">
      <protection locked="0"/>
    </xf>
    <xf numFmtId="0" fontId="48" fillId="0" borderId="0" xfId="3" applyFont="1" applyProtection="1">
      <protection locked="0"/>
    </xf>
    <xf numFmtId="0" fontId="49" fillId="0" borderId="0" xfId="3" applyFont="1" applyProtection="1">
      <protection locked="0"/>
    </xf>
    <xf numFmtId="4" fontId="39" fillId="0" borderId="0" xfId="3" applyNumberFormat="1" applyFont="1" applyFill="1" applyBorder="1" applyProtection="1"/>
    <xf numFmtId="4" fontId="39" fillId="0" borderId="1" xfId="3" applyNumberFormat="1" applyFont="1" applyFill="1" applyBorder="1" applyProtection="1"/>
    <xf numFmtId="0" fontId="39" fillId="0" borderId="6" xfId="3" applyFont="1" applyBorder="1" applyProtection="1"/>
    <xf numFmtId="0" fontId="39" fillId="0" borderId="6" xfId="3" applyFont="1" applyFill="1" applyBorder="1" applyProtection="1"/>
    <xf numFmtId="0" fontId="47" fillId="0" borderId="0" xfId="3" applyFont="1" applyProtection="1">
      <protection locked="0"/>
    </xf>
    <xf numFmtId="165" fontId="39" fillId="0" borderId="0" xfId="3" applyNumberFormat="1" applyFont="1" applyProtection="1">
      <protection locked="0"/>
    </xf>
    <xf numFmtId="0" fontId="39" fillId="0" borderId="1" xfId="3" applyFont="1" applyBorder="1" applyProtection="1">
      <protection locked="0"/>
    </xf>
    <xf numFmtId="3" fontId="39" fillId="0" borderId="1" xfId="3" applyNumberFormat="1" applyFont="1" applyFill="1" applyBorder="1" applyProtection="1"/>
    <xf numFmtId="4" fontId="45" fillId="0" borderId="1" xfId="3" applyNumberFormat="1" applyFont="1" applyFill="1" applyBorder="1" applyProtection="1"/>
    <xf numFmtId="0" fontId="45" fillId="0" borderId="0" xfId="3" applyFont="1" applyProtection="1">
      <protection locked="0"/>
    </xf>
    <xf numFmtId="0" fontId="39" fillId="0" borderId="4" xfId="3" applyFont="1" applyFill="1" applyBorder="1" applyAlignment="1" applyProtection="1">
      <alignment wrapText="1"/>
    </xf>
    <xf numFmtId="0" fontId="45" fillId="0" borderId="2" xfId="3" applyFont="1" applyBorder="1" applyProtection="1"/>
    <xf numFmtId="0" fontId="45" fillId="0" borderId="2" xfId="3" applyFont="1" applyFill="1" applyBorder="1" applyProtection="1"/>
    <xf numFmtId="0" fontId="45" fillId="0" borderId="1" xfId="3" applyFont="1" applyBorder="1" applyAlignment="1" applyProtection="1">
      <alignment horizontal="center" vertical="top" wrapText="1"/>
    </xf>
    <xf numFmtId="0" fontId="45" fillId="0" borderId="1" xfId="3" applyFont="1" applyBorder="1" applyAlignment="1" applyProtection="1">
      <alignment horizontal="left" vertical="top" wrapText="1"/>
    </xf>
    <xf numFmtId="0" fontId="45" fillId="0" borderId="1" xfId="3" applyFont="1" applyFill="1" applyBorder="1" applyAlignment="1" applyProtection="1">
      <alignment horizontal="right" vertical="top" wrapText="1"/>
    </xf>
    <xf numFmtId="0" fontId="19" fillId="0" borderId="0" xfId="3" applyFont="1" applyBorder="1" applyProtection="1">
      <protection locked="0"/>
    </xf>
    <xf numFmtId="0" fontId="19" fillId="0" borderId="0" xfId="3" applyFont="1" applyFill="1" applyBorder="1" applyProtection="1">
      <protection locked="0"/>
    </xf>
    <xf numFmtId="0" fontId="43" fillId="0" borderId="1" xfId="3" applyFont="1" applyFill="1" applyBorder="1" applyAlignment="1" applyProtection="1">
      <alignment horizontal="right" vertical="top" wrapText="1"/>
    </xf>
    <xf numFmtId="165" fontId="19" fillId="0" borderId="0" xfId="3" applyNumberFormat="1" applyFont="1" applyBorder="1" applyProtection="1">
      <protection locked="0"/>
    </xf>
    <xf numFmtId="168" fontId="52" fillId="0" borderId="0" xfId="1" applyNumberFormat="1" applyFont="1" applyBorder="1" applyProtection="1">
      <protection locked="0"/>
    </xf>
    <xf numFmtId="9" fontId="53" fillId="0" borderId="0" xfId="1" applyFont="1" applyBorder="1" applyProtection="1">
      <protection locked="0"/>
    </xf>
    <xf numFmtId="0" fontId="54" fillId="0" borderId="0" xfId="3" applyFont="1" applyProtection="1"/>
    <xf numFmtId="0" fontId="54" fillId="0" borderId="0" xfId="3" applyFont="1" applyProtection="1">
      <protection locked="0"/>
    </xf>
    <xf numFmtId="0" fontId="54" fillId="0" borderId="0" xfId="3" applyFont="1" applyBorder="1" applyProtection="1">
      <protection locked="0"/>
    </xf>
    <xf numFmtId="0" fontId="28" fillId="0" borderId="0" xfId="3" applyFont="1" applyBorder="1" applyProtection="1">
      <protection locked="0"/>
    </xf>
    <xf numFmtId="0" fontId="39" fillId="0" borderId="1" xfId="3" applyFont="1" applyBorder="1" applyAlignment="1" applyProtection="1">
      <alignment horizontal="left"/>
    </xf>
    <xf numFmtId="4" fontId="45" fillId="0" borderId="1" xfId="3" applyNumberFormat="1" applyFont="1" applyFill="1" applyBorder="1" applyAlignment="1" applyProtection="1">
      <alignment horizontal="right"/>
    </xf>
    <xf numFmtId="0" fontId="45" fillId="0" borderId="1" xfId="3" applyFont="1" applyBorder="1" applyProtection="1"/>
    <xf numFmtId="0" fontId="45" fillId="0" borderId="1" xfId="3" applyFont="1" applyFill="1" applyBorder="1" applyProtection="1"/>
    <xf numFmtId="0" fontId="51" fillId="0" borderId="0" xfId="3" applyFont="1" applyAlignment="1" applyProtection="1">
      <alignment horizontal="right"/>
      <protection locked="0"/>
    </xf>
    <xf numFmtId="4" fontId="51" fillId="0" borderId="0" xfId="3" applyNumberFormat="1" applyFont="1" applyFill="1" applyBorder="1" applyProtection="1"/>
    <xf numFmtId="3" fontId="51" fillId="0" borderId="0" xfId="3" applyNumberFormat="1" applyFont="1" applyFill="1" applyBorder="1" applyProtection="1"/>
    <xf numFmtId="0" fontId="39" fillId="0" borderId="7" xfId="3" applyFont="1" applyBorder="1" applyProtection="1"/>
    <xf numFmtId="4" fontId="39" fillId="0" borderId="7" xfId="3" applyNumberFormat="1" applyFont="1" applyFill="1" applyBorder="1" applyProtection="1"/>
    <xf numFmtId="4" fontId="19" fillId="0" borderId="7" xfId="3" applyNumberFormat="1" applyFont="1" applyFill="1" applyBorder="1" applyProtection="1"/>
    <xf numFmtId="0" fontId="39" fillId="0" borderId="4" xfId="3" applyFont="1" applyBorder="1" applyAlignment="1" applyProtection="1">
      <alignment horizontal="left"/>
    </xf>
    <xf numFmtId="4" fontId="39" fillId="0" borderId="4" xfId="3" applyNumberFormat="1" applyFont="1" applyFill="1" applyBorder="1" applyProtection="1"/>
    <xf numFmtId="4" fontId="19" fillId="0" borderId="4" xfId="3" applyNumberFormat="1" applyFont="1" applyFill="1" applyBorder="1" applyProtection="1"/>
    <xf numFmtId="0" fontId="39" fillId="0" borderId="6" xfId="3" applyFont="1" applyBorder="1" applyAlignment="1" applyProtection="1">
      <alignment horizontal="left"/>
    </xf>
    <xf numFmtId="4" fontId="39" fillId="0" borderId="6" xfId="3" applyNumberFormat="1" applyFont="1" applyFill="1" applyBorder="1" applyProtection="1"/>
    <xf numFmtId="0" fontId="19" fillId="0" borderId="6" xfId="3" applyFont="1" applyBorder="1" applyAlignment="1" applyProtection="1">
      <alignment horizontal="right"/>
      <protection locked="0"/>
    </xf>
    <xf numFmtId="0" fontId="39" fillId="0" borderId="7" xfId="3" applyFont="1" applyFill="1" applyBorder="1" applyProtection="1"/>
    <xf numFmtId="165" fontId="19" fillId="0" borderId="1" xfId="3" applyNumberFormat="1" applyFont="1" applyBorder="1" applyProtection="1">
      <protection locked="0"/>
    </xf>
    <xf numFmtId="4" fontId="45" fillId="0" borderId="2" xfId="3" applyNumberFormat="1" applyFont="1" applyFill="1" applyBorder="1" applyProtection="1"/>
    <xf numFmtId="0" fontId="45" fillId="0" borderId="2" xfId="3" applyFont="1" applyBorder="1" applyProtection="1">
      <protection locked="0"/>
    </xf>
    <xf numFmtId="168" fontId="52" fillId="0" borderId="2" xfId="1" applyNumberFormat="1" applyFont="1" applyBorder="1" applyProtection="1">
      <protection locked="0"/>
    </xf>
    <xf numFmtId="0" fontId="19" fillId="0" borderId="2" xfId="0" applyFont="1" applyBorder="1"/>
    <xf numFmtId="4" fontId="39" fillId="0" borderId="2" xfId="3" applyNumberFormat="1" applyFont="1" applyFill="1" applyBorder="1" applyProtection="1"/>
    <xf numFmtId="9" fontId="53" fillId="0" borderId="2" xfId="1" applyFont="1" applyBorder="1" applyProtection="1">
      <protection locked="0"/>
    </xf>
    <xf numFmtId="4" fontId="37" fillId="0" borderId="7" xfId="3" applyNumberFormat="1" applyFont="1" applyFill="1" applyBorder="1" applyProtection="1"/>
    <xf numFmtId="4" fontId="37" fillId="0" borderId="4" xfId="3" applyNumberFormat="1" applyFont="1" applyFill="1" applyBorder="1" applyProtection="1"/>
    <xf numFmtId="0" fontId="37" fillId="0" borderId="6" xfId="3" applyFont="1" applyBorder="1" applyAlignment="1" applyProtection="1">
      <alignment horizontal="right"/>
      <protection locked="0"/>
    </xf>
    <xf numFmtId="4" fontId="51" fillId="0" borderId="7" xfId="3" applyNumberFormat="1" applyFont="1" applyFill="1" applyBorder="1" applyProtection="1"/>
    <xf numFmtId="4" fontId="51" fillId="0" borderId="4" xfId="3" applyNumberFormat="1" applyFont="1" applyFill="1" applyBorder="1" applyProtection="1"/>
    <xf numFmtId="4" fontId="51" fillId="0" borderId="6" xfId="3" applyNumberFormat="1" applyFont="1" applyFill="1" applyBorder="1" applyProtection="1"/>
    <xf numFmtId="9" fontId="50" fillId="0" borderId="0" xfId="1" applyFont="1" applyBorder="1" applyProtection="1">
      <protection locked="0"/>
    </xf>
    <xf numFmtId="9" fontId="50" fillId="0" borderId="1" xfId="1" applyFont="1" applyBorder="1" applyProtection="1">
      <protection locked="0"/>
    </xf>
    <xf numFmtId="9" fontId="50" fillId="0" borderId="2" xfId="1" applyFont="1" applyBorder="1" applyProtection="1">
      <protection locked="0"/>
    </xf>
    <xf numFmtId="165" fontId="37" fillId="0" borderId="0" xfId="3" applyNumberFormat="1" applyFont="1" applyBorder="1" applyProtection="1">
      <protection locked="0"/>
    </xf>
    <xf numFmtId="165" fontId="51" fillId="0" borderId="0" xfId="3" applyNumberFormat="1" applyFont="1" applyBorder="1" applyProtection="1">
      <protection locked="0"/>
    </xf>
    <xf numFmtId="168" fontId="52" fillId="0" borderId="1" xfId="1" applyNumberFormat="1" applyFont="1" applyBorder="1" applyProtection="1">
      <protection locked="0"/>
    </xf>
    <xf numFmtId="0" fontId="39" fillId="0" borderId="2" xfId="3" applyFont="1" applyBorder="1" applyProtection="1">
      <protection locked="0"/>
    </xf>
    <xf numFmtId="0" fontId="39" fillId="0" borderId="14" xfId="3" applyFont="1" applyBorder="1" applyProtection="1">
      <protection locked="0"/>
    </xf>
    <xf numFmtId="4" fontId="39" fillId="0" borderId="14" xfId="3" applyNumberFormat="1" applyFont="1" applyFill="1" applyBorder="1" applyProtection="1"/>
    <xf numFmtId="9" fontId="53" fillId="0" borderId="14" xfId="1" applyFont="1" applyBorder="1" applyProtection="1">
      <protection locked="0"/>
    </xf>
    <xf numFmtId="9" fontId="50" fillId="0" borderId="14" xfId="1" applyFont="1" applyBorder="1" applyProtection="1">
      <protection locked="0"/>
    </xf>
    <xf numFmtId="0" fontId="45" fillId="0" borderId="15" xfId="3" applyFont="1" applyFill="1" applyBorder="1" applyProtection="1"/>
    <xf numFmtId="4" fontId="45" fillId="0" borderId="15" xfId="3" applyNumberFormat="1" applyFont="1" applyFill="1" applyBorder="1" applyProtection="1"/>
    <xf numFmtId="0" fontId="39" fillId="0" borderId="15" xfId="3" applyFont="1" applyBorder="1" applyProtection="1">
      <protection locked="0"/>
    </xf>
    <xf numFmtId="168" fontId="52" fillId="0" borderId="15" xfId="1" applyNumberFormat="1" applyFont="1" applyBorder="1" applyProtection="1">
      <protection locked="0"/>
    </xf>
    <xf numFmtId="0" fontId="45" fillId="0" borderId="15" xfId="3" applyFont="1" applyBorder="1" applyProtection="1"/>
    <xf numFmtId="0" fontId="51" fillId="0" borderId="13" xfId="3" applyFont="1" applyBorder="1" applyProtection="1"/>
    <xf numFmtId="0" fontId="51" fillId="0" borderId="13" xfId="3" applyFont="1" applyFill="1" applyBorder="1" applyProtection="1"/>
    <xf numFmtId="9" fontId="53" fillId="0" borderId="7" xfId="1" applyFont="1" applyBorder="1" applyProtection="1">
      <protection locked="0"/>
    </xf>
    <xf numFmtId="9" fontId="50" fillId="0" borderId="7" xfId="1" applyFont="1" applyBorder="1" applyProtection="1">
      <protection locked="0"/>
    </xf>
    <xf numFmtId="9" fontId="53" fillId="0" borderId="4" xfId="1" applyFont="1" applyBorder="1" applyProtection="1">
      <protection locked="0"/>
    </xf>
    <xf numFmtId="9" fontId="50" fillId="0" borderId="4" xfId="1" applyFont="1" applyBorder="1" applyProtection="1">
      <protection locked="0"/>
    </xf>
    <xf numFmtId="9" fontId="53" fillId="0" borderId="6" xfId="1" applyFont="1" applyBorder="1" applyProtection="1">
      <protection locked="0"/>
    </xf>
    <xf numFmtId="9" fontId="50" fillId="0" borderId="6" xfId="1" applyFont="1" applyBorder="1" applyProtection="1">
      <protection locked="0"/>
    </xf>
    <xf numFmtId="0" fontId="39" fillId="0" borderId="7" xfId="3" applyFont="1" applyBorder="1" applyProtection="1">
      <protection locked="0"/>
    </xf>
    <xf numFmtId="3" fontId="39" fillId="0" borderId="7" xfId="3" applyNumberFormat="1" applyFont="1" applyFill="1" applyBorder="1" applyProtection="1"/>
    <xf numFmtId="165" fontId="37" fillId="0" borderId="7" xfId="3" applyNumberFormat="1" applyFont="1" applyBorder="1" applyProtection="1">
      <protection locked="0"/>
    </xf>
    <xf numFmtId="0" fontId="39" fillId="0" borderId="4" xfId="3" applyFont="1" applyBorder="1" applyProtection="1">
      <protection locked="0"/>
    </xf>
    <xf numFmtId="3" fontId="39" fillId="0" borderId="4" xfId="3" applyNumberFormat="1" applyFont="1" applyFill="1" applyBorder="1" applyProtection="1"/>
    <xf numFmtId="168" fontId="52" fillId="0" borderId="4" xfId="1" applyNumberFormat="1" applyFont="1" applyBorder="1" applyProtection="1">
      <protection locked="0"/>
    </xf>
    <xf numFmtId="0" fontId="39" fillId="0" borderId="6" xfId="3" applyFont="1" applyBorder="1" applyProtection="1">
      <protection locked="0"/>
    </xf>
    <xf numFmtId="3" fontId="39" fillId="0" borderId="6" xfId="3" applyNumberFormat="1" applyFont="1" applyFill="1" applyBorder="1" applyProtection="1"/>
    <xf numFmtId="168" fontId="52" fillId="0" borderId="6" xfId="1" applyNumberFormat="1" applyFont="1" applyBorder="1" applyProtection="1">
      <protection locked="0"/>
    </xf>
    <xf numFmtId="0" fontId="39" fillId="0" borderId="7" xfId="3" applyFont="1" applyBorder="1" applyAlignment="1" applyProtection="1">
      <alignment horizontal="left"/>
      <protection locked="0"/>
    </xf>
    <xf numFmtId="168" fontId="52" fillId="0" borderId="7" xfId="1" applyNumberFormat="1" applyFont="1" applyBorder="1" applyProtection="1">
      <protection locked="0"/>
    </xf>
    <xf numFmtId="0" fontId="39" fillId="0" borderId="4" xfId="3" applyFont="1" applyBorder="1" applyAlignment="1" applyProtection="1">
      <alignment horizontal="left"/>
      <protection locked="0"/>
    </xf>
    <xf numFmtId="0" fontId="39" fillId="0" borderId="6" xfId="3" applyFont="1" applyBorder="1" applyAlignment="1" applyProtection="1">
      <alignment horizontal="left"/>
      <protection locked="0"/>
    </xf>
    <xf numFmtId="165" fontId="19" fillId="0" borderId="2" xfId="3" applyNumberFormat="1" applyFont="1" applyBorder="1" applyProtection="1">
      <protection locked="0"/>
    </xf>
    <xf numFmtId="0" fontId="45" fillId="0" borderId="0" xfId="3" applyFont="1" applyProtection="1"/>
    <xf numFmtId="0" fontId="51" fillId="0" borderId="2" xfId="3" applyFont="1" applyBorder="1" applyProtection="1">
      <protection locked="0"/>
    </xf>
    <xf numFmtId="165" fontId="22" fillId="0" borderId="2" xfId="3" applyNumberFormat="1" applyFont="1" applyBorder="1" applyProtection="1">
      <protection locked="0"/>
    </xf>
    <xf numFmtId="0" fontId="51" fillId="0" borderId="2" xfId="3" applyFont="1" applyBorder="1" applyProtection="1"/>
    <xf numFmtId="0" fontId="22" fillId="0" borderId="2" xfId="3" applyFont="1" applyBorder="1" applyProtection="1">
      <protection locked="0"/>
    </xf>
    <xf numFmtId="0" fontId="45" fillId="0" borderId="13" xfId="3" applyFont="1" applyBorder="1" applyProtection="1"/>
    <xf numFmtId="166" fontId="45" fillId="0" borderId="13" xfId="3" applyNumberFormat="1" applyFont="1" applyFill="1" applyBorder="1" applyProtection="1"/>
    <xf numFmtId="0" fontId="19" fillId="0" borderId="7" xfId="3" applyFont="1" applyBorder="1" applyProtection="1">
      <protection locked="0"/>
    </xf>
    <xf numFmtId="0" fontId="19" fillId="0" borderId="4" xfId="3" applyFont="1" applyBorder="1" applyProtection="1">
      <protection locked="0"/>
    </xf>
    <xf numFmtId="166" fontId="39" fillId="0" borderId="3" xfId="3" applyNumberFormat="1" applyFont="1" applyBorder="1" applyProtection="1"/>
    <xf numFmtId="0" fontId="39" fillId="0" borderId="3" xfId="3" applyFont="1" applyBorder="1" applyProtection="1">
      <protection locked="0"/>
    </xf>
    <xf numFmtId="0" fontId="39" fillId="0" borderId="8" xfId="3" applyFont="1" applyBorder="1" applyProtection="1"/>
    <xf numFmtId="0" fontId="39" fillId="0" borderId="8" xfId="3" applyFont="1" applyBorder="1" applyProtection="1">
      <protection locked="0"/>
    </xf>
    <xf numFmtId="0" fontId="39" fillId="0" borderId="8" xfId="3" applyFont="1" applyBorder="1" applyAlignment="1" applyProtection="1">
      <alignment horizontal="center" vertical="top" wrapText="1"/>
      <protection locked="0"/>
    </xf>
    <xf numFmtId="0" fontId="19" fillId="0" borderId="6" xfId="3" applyFont="1" applyBorder="1" applyProtection="1">
      <protection locked="0"/>
    </xf>
    <xf numFmtId="0" fontId="39" fillId="10" borderId="7" xfId="3" applyFont="1" applyFill="1" applyBorder="1" applyProtection="1"/>
    <xf numFmtId="0" fontId="39" fillId="10" borderId="4" xfId="3" applyFont="1" applyFill="1" applyBorder="1" applyProtection="1"/>
    <xf numFmtId="0" fontId="39" fillId="10" borderId="8" xfId="3" applyFont="1" applyFill="1" applyBorder="1" applyProtection="1"/>
    <xf numFmtId="0" fontId="39" fillId="10" borderId="6" xfId="3" applyFont="1" applyFill="1" applyBorder="1" applyProtection="1"/>
    <xf numFmtId="166" fontId="39" fillId="10" borderId="7" xfId="3" applyNumberFormat="1" applyFont="1" applyFill="1" applyBorder="1" applyProtection="1"/>
    <xf numFmtId="166" fontId="39" fillId="10" borderId="3" xfId="3" applyNumberFormat="1" applyFont="1" applyFill="1" applyBorder="1" applyProtection="1"/>
    <xf numFmtId="3" fontId="39" fillId="0" borderId="8" xfId="3" applyNumberFormat="1" applyFont="1" applyFill="1" applyBorder="1" applyProtection="1"/>
    <xf numFmtId="168" fontId="52" fillId="0" borderId="8" xfId="1" applyNumberFormat="1" applyFont="1" applyBorder="1" applyProtection="1">
      <protection locked="0"/>
    </xf>
    <xf numFmtId="0" fontId="39" fillId="0" borderId="13" xfId="3" applyFont="1" applyBorder="1" applyProtection="1">
      <protection locked="0"/>
    </xf>
    <xf numFmtId="3" fontId="39" fillId="0" borderId="13" xfId="3" applyNumberFormat="1" applyFont="1" applyFill="1" applyBorder="1" applyProtection="1"/>
    <xf numFmtId="168" fontId="52" fillId="0" borderId="13" xfId="1" applyNumberFormat="1" applyFont="1" applyBorder="1" applyProtection="1">
      <protection locked="0"/>
    </xf>
    <xf numFmtId="3" fontId="45" fillId="0" borderId="2" xfId="3" applyNumberFormat="1" applyFont="1" applyFill="1" applyBorder="1" applyProtection="1"/>
    <xf numFmtId="3" fontId="39" fillId="10" borderId="7" xfId="3" applyNumberFormat="1" applyFont="1" applyFill="1" applyBorder="1" applyProtection="1"/>
    <xf numFmtId="3" fontId="39" fillId="10" borderId="4" xfId="3" applyNumberFormat="1" applyFont="1" applyFill="1" applyBorder="1" applyProtection="1"/>
    <xf numFmtId="3" fontId="39" fillId="10" borderId="6" xfId="3" applyNumberFormat="1" applyFont="1" applyFill="1" applyBorder="1" applyProtection="1"/>
    <xf numFmtId="3" fontId="45" fillId="0" borderId="1" xfId="3" applyNumberFormat="1" applyFont="1" applyFill="1" applyBorder="1" applyProtection="1"/>
    <xf numFmtId="3" fontId="39" fillId="0" borderId="2" xfId="3" applyNumberFormat="1" applyFont="1" applyFill="1" applyBorder="1" applyProtection="1"/>
    <xf numFmtId="3" fontId="39" fillId="0" borderId="14" xfId="3" applyNumberFormat="1" applyFont="1" applyFill="1" applyBorder="1" applyProtection="1"/>
    <xf numFmtId="3" fontId="45" fillId="0" borderId="15" xfId="3" applyNumberFormat="1" applyFont="1" applyFill="1" applyBorder="1" applyProtection="1"/>
    <xf numFmtId="4" fontId="55" fillId="0" borderId="2" xfId="3" applyNumberFormat="1" applyFont="1" applyFill="1" applyBorder="1" applyProtection="1"/>
    <xf numFmtId="4" fontId="51" fillId="0" borderId="2" xfId="3" applyNumberFormat="1" applyFont="1" applyFill="1" applyBorder="1" applyProtection="1"/>
    <xf numFmtId="0" fontId="19" fillId="0" borderId="1" xfId="3" applyFont="1" applyBorder="1" applyAlignment="1" applyProtection="1">
      <alignment horizontal="right"/>
      <protection locked="0"/>
    </xf>
    <xf numFmtId="0" fontId="37" fillId="0" borderId="1" xfId="3" applyFont="1" applyBorder="1" applyAlignment="1" applyProtection="1">
      <alignment horizontal="right"/>
      <protection locked="0"/>
    </xf>
    <xf numFmtId="0" fontId="56" fillId="0" borderId="0" xfId="9" applyNumberFormat="1" applyFont="1" applyAlignment="1"/>
    <xf numFmtId="0" fontId="24" fillId="0" borderId="1" xfId="0" applyFont="1" applyFill="1" applyBorder="1" applyAlignment="1" applyProtection="1">
      <alignment vertical="center"/>
    </xf>
    <xf numFmtId="0" fontId="20" fillId="0" borderId="1" xfId="0" applyFont="1" applyBorder="1" applyProtection="1"/>
    <xf numFmtId="3" fontId="19" fillId="0" borderId="4" xfId="0" applyNumberFormat="1" applyFont="1" applyFill="1" applyBorder="1" applyAlignment="1" applyProtection="1">
      <alignment vertical="center"/>
    </xf>
    <xf numFmtId="3" fontId="30" fillId="0" borderId="4" xfId="0" applyNumberFormat="1" applyFont="1" applyFill="1" applyBorder="1" applyAlignment="1" applyProtection="1">
      <alignment vertical="center" wrapText="1"/>
    </xf>
    <xf numFmtId="0" fontId="41" fillId="0" borderId="7" xfId="15" applyFont="1" applyBorder="1"/>
    <xf numFmtId="0" fontId="40" fillId="0" borderId="7" xfId="9" applyNumberFormat="1" applyFont="1" applyBorder="1" applyAlignment="1">
      <alignment horizontal="left" vertical="center"/>
    </xf>
    <xf numFmtId="0" fontId="40" fillId="0" borderId="7" xfId="9" applyNumberFormat="1" applyFont="1" applyBorder="1" applyAlignment="1"/>
    <xf numFmtId="0" fontId="40" fillId="10" borderId="7" xfId="9" applyNumberFormat="1" applyFont="1" applyFill="1" applyBorder="1" applyAlignment="1"/>
    <xf numFmtId="0" fontId="41" fillId="0" borderId="4" xfId="15" applyFont="1" applyBorder="1"/>
    <xf numFmtId="0" fontId="40" fillId="0" borderId="4" xfId="9" applyNumberFormat="1" applyFont="1" applyBorder="1" applyAlignment="1">
      <alignment horizontal="left" vertical="center"/>
    </xf>
    <xf numFmtId="0" fontId="40" fillId="0" borderId="4" xfId="9" applyNumberFormat="1" applyFont="1" applyBorder="1" applyAlignment="1"/>
    <xf numFmtId="0" fontId="40" fillId="10" borderId="4" xfId="9" applyNumberFormat="1" applyFont="1" applyFill="1" applyBorder="1" applyAlignment="1"/>
    <xf numFmtId="0" fontId="41" fillId="0" borderId="6" xfId="15" applyFont="1" applyBorder="1"/>
    <xf numFmtId="0" fontId="40" fillId="0" borderId="6" xfId="9" applyNumberFormat="1" applyFont="1" applyBorder="1" applyAlignment="1">
      <alignment horizontal="left" vertical="center"/>
    </xf>
    <xf numFmtId="0" fontId="40" fillId="0" borderId="6" xfId="9" applyNumberFormat="1" applyFont="1" applyBorder="1" applyAlignment="1"/>
    <xf numFmtId="0" fontId="40" fillId="10" borderId="6" xfId="9" applyNumberFormat="1" applyFont="1" applyFill="1" applyBorder="1" applyAlignment="1"/>
    <xf numFmtId="0" fontId="19" fillId="0" borderId="0" xfId="0" applyFont="1" applyAlignment="1" applyProtection="1"/>
    <xf numFmtId="0" fontId="20" fillId="0" borderId="0" xfId="0" applyFont="1" applyAlignment="1" applyProtection="1"/>
    <xf numFmtId="0" fontId="21" fillId="0" borderId="0" xfId="0" applyFont="1" applyAlignment="1" applyProtection="1"/>
    <xf numFmtId="167" fontId="37" fillId="0" borderId="6" xfId="17" applyFont="1" applyBorder="1">
      <alignment vertical="center"/>
    </xf>
    <xf numFmtId="167" fontId="37" fillId="0" borderId="3" xfId="17" applyFont="1" applyBorder="1">
      <alignment vertical="center"/>
    </xf>
    <xf numFmtId="0" fontId="38" fillId="0" borderId="7" xfId="9" applyNumberFormat="1" applyFont="1" applyBorder="1" applyAlignment="1">
      <alignment horizontal="left" vertical="center"/>
    </xf>
    <xf numFmtId="0" fontId="38" fillId="0" borderId="4" xfId="9" applyNumberFormat="1" applyFont="1" applyBorder="1" applyAlignment="1">
      <alignment horizontal="left" vertical="center"/>
    </xf>
    <xf numFmtId="0" fontId="38" fillId="0" borderId="6" xfId="9" applyNumberFormat="1" applyFont="1" applyBorder="1" applyAlignment="1">
      <alignment horizontal="left" vertical="center"/>
    </xf>
    <xf numFmtId="167" fontId="19" fillId="0" borderId="0" xfId="17" applyFont="1" applyBorder="1">
      <alignment vertical="center"/>
    </xf>
    <xf numFmtId="0" fontId="55" fillId="11" borderId="0" xfId="0" applyFont="1" applyFill="1" applyBorder="1" applyAlignment="1">
      <alignment vertical="center"/>
    </xf>
    <xf numFmtId="0" fontId="37" fillId="0" borderId="7" xfId="0" applyFont="1" applyBorder="1"/>
    <xf numFmtId="0" fontId="37" fillId="0" borderId="7" xfId="0" applyFont="1" applyBorder="1" applyAlignment="1">
      <alignment wrapText="1"/>
    </xf>
    <xf numFmtId="3" fontId="37" fillId="0" borderId="7" xfId="0" applyNumberFormat="1" applyFont="1" applyBorder="1"/>
    <xf numFmtId="0" fontId="37" fillId="0" borderId="4" xfId="0" applyFont="1" applyBorder="1"/>
    <xf numFmtId="0" fontId="37" fillId="0" borderId="4" xfId="0" applyFont="1" applyBorder="1" applyAlignment="1">
      <alignment wrapText="1"/>
    </xf>
    <xf numFmtId="3" fontId="37" fillId="0" borderId="4" xfId="0" applyNumberFormat="1" applyFont="1" applyBorder="1" applyAlignment="1">
      <alignment horizontal="right"/>
    </xf>
    <xf numFmtId="167" fontId="19" fillId="0" borderId="7" xfId="17" applyFont="1" applyBorder="1">
      <alignment vertical="center"/>
    </xf>
    <xf numFmtId="167" fontId="37" fillId="0" borderId="7" xfId="17" applyFont="1" applyBorder="1">
      <alignment vertical="center"/>
    </xf>
    <xf numFmtId="0" fontId="55" fillId="11" borderId="1" xfId="0" applyFont="1" applyFill="1" applyBorder="1" applyAlignment="1">
      <alignment vertical="center"/>
    </xf>
    <xf numFmtId="0" fontId="55" fillId="11" borderId="13" xfId="0" applyFont="1" applyFill="1" applyBorder="1" applyAlignment="1">
      <alignment vertical="center"/>
    </xf>
    <xf numFmtId="0" fontId="55" fillId="0" borderId="0" xfId="0" applyFont="1" applyFill="1" applyBorder="1" applyAlignment="1">
      <alignment vertical="center"/>
    </xf>
    <xf numFmtId="0" fontId="55" fillId="0" borderId="1" xfId="0" applyFont="1" applyFill="1" applyBorder="1" applyAlignment="1">
      <alignment vertical="center"/>
    </xf>
    <xf numFmtId="0" fontId="55" fillId="0" borderId="13" xfId="0" applyFont="1" applyFill="1" applyBorder="1" applyAlignment="1">
      <alignment vertical="center"/>
    </xf>
    <xf numFmtId="0" fontId="46" fillId="0" borderId="1" xfId="11" applyFont="1" applyFill="1" applyBorder="1" applyAlignment="1">
      <alignment vertical="center"/>
    </xf>
    <xf numFmtId="9" fontId="21" fillId="0" borderId="1" xfId="1" applyFont="1" applyFill="1" applyBorder="1" applyAlignment="1" applyProtection="1">
      <alignment vertical="top"/>
    </xf>
    <xf numFmtId="0" fontId="21" fillId="0" borderId="1" xfId="11" applyFont="1" applyFill="1" applyBorder="1" applyAlignment="1" applyProtection="1">
      <alignment vertical="top"/>
    </xf>
    <xf numFmtId="0" fontId="19" fillId="0" borderId="1" xfId="11" applyFont="1" applyFill="1" applyBorder="1" applyAlignment="1">
      <alignment vertical="top"/>
    </xf>
    <xf numFmtId="0" fontId="14" fillId="0" borderId="0" xfId="11" applyFont="1" applyAlignment="1">
      <alignment vertical="center"/>
    </xf>
    <xf numFmtId="0" fontId="37" fillId="0" borderId="0" xfId="11" applyFont="1" applyAlignment="1">
      <alignment vertical="center"/>
    </xf>
    <xf numFmtId="0" fontId="19" fillId="0" borderId="0" xfId="11" applyFont="1" applyAlignment="1">
      <alignment wrapText="1"/>
    </xf>
    <xf numFmtId="0" fontId="32" fillId="0" borderId="13" xfId="11" applyFont="1" applyBorder="1" applyAlignment="1"/>
    <xf numFmtId="9" fontId="21" fillId="0" borderId="13" xfId="1" applyFont="1" applyBorder="1" applyProtection="1"/>
    <xf numFmtId="0" fontId="19" fillId="0" borderId="13" xfId="11" applyFont="1" applyBorder="1"/>
    <xf numFmtId="0" fontId="19" fillId="0" borderId="0" xfId="0" applyFont="1" applyFill="1" applyBorder="1" applyAlignment="1" applyProtection="1">
      <alignment horizontal="left" vertical="center"/>
    </xf>
    <xf numFmtId="0" fontId="21" fillId="0" borderId="0" xfId="11" applyFont="1" applyBorder="1"/>
    <xf numFmtId="3" fontId="19" fillId="0" borderId="4" xfId="0" applyNumberFormat="1" applyFont="1" applyFill="1" applyBorder="1" applyAlignment="1" applyProtection="1">
      <alignment horizontal="right" vertical="center"/>
    </xf>
    <xf numFmtId="0" fontId="43" fillId="0" borderId="0" xfId="0" applyFont="1" applyAlignment="1" applyProtection="1">
      <alignment horizontal="right" vertical="top"/>
    </xf>
    <xf numFmtId="0" fontId="43" fillId="0" borderId="0" xfId="11" applyFont="1" applyAlignment="1">
      <alignment horizontal="right" vertical="top"/>
    </xf>
    <xf numFmtId="0" fontId="59" fillId="0" borderId="0" xfId="0" applyFont="1" applyAlignment="1" applyProtection="1">
      <alignment vertical="center"/>
    </xf>
    <xf numFmtId="2" fontId="60" fillId="10" borderId="2" xfId="0" applyNumberFormat="1" applyFont="1" applyFill="1" applyBorder="1" applyAlignment="1" applyProtection="1">
      <alignment vertical="center"/>
    </xf>
    <xf numFmtId="0" fontId="61" fillId="0" borderId="0" xfId="11" applyFont="1"/>
    <xf numFmtId="0" fontId="19" fillId="0" borderId="0" xfId="0" applyFont="1" applyAlignment="1" applyProtection="1">
      <alignment vertical="center" wrapText="1"/>
    </xf>
    <xf numFmtId="0" fontId="67" fillId="0" borderId="0" xfId="7" applyAlignment="1">
      <alignment vertical="center"/>
    </xf>
    <xf numFmtId="0" fontId="34" fillId="0" borderId="1" xfId="21"/>
    <xf numFmtId="0" fontId="34" fillId="0" borderId="1" xfId="21" applyAlignment="1">
      <alignment vertical="center"/>
    </xf>
    <xf numFmtId="0" fontId="34" fillId="0" borderId="1" xfId="21" applyAlignment="1">
      <alignment vertical="center" wrapText="1"/>
    </xf>
    <xf numFmtId="0" fontId="65" fillId="0" borderId="3" xfId="22" applyFill="1" applyBorder="1" applyAlignment="1">
      <alignment vertical="center"/>
    </xf>
    <xf numFmtId="0" fontId="65" fillId="0" borderId="7" xfId="22" applyFill="1" applyBorder="1" applyAlignment="1">
      <alignment vertical="center"/>
    </xf>
    <xf numFmtId="0" fontId="19" fillId="0" borderId="6" xfId="0" applyFont="1" applyFill="1" applyBorder="1" applyAlignment="1" applyProtection="1">
      <alignment vertical="center"/>
    </xf>
    <xf numFmtId="0" fontId="67" fillId="0" borderId="0" xfId="7" applyBorder="1" applyAlignment="1">
      <alignment horizontal="left" vertical="top" wrapText="1"/>
    </xf>
    <xf numFmtId="0" fontId="67" fillId="0" borderId="0" xfId="7" applyBorder="1" applyAlignment="1"/>
    <xf numFmtId="0" fontId="67" fillId="0" borderId="0" xfId="7" applyAlignment="1">
      <alignment horizontal="left"/>
    </xf>
    <xf numFmtId="0" fontId="27" fillId="0" borderId="0" xfId="0" applyFont="1"/>
    <xf numFmtId="0" fontId="27" fillId="0" borderId="0" xfId="0" applyFont="1" applyBorder="1" applyAlignment="1">
      <alignment vertical="center" wrapText="1"/>
    </xf>
    <xf numFmtId="0" fontId="27" fillId="0" borderId="0" xfId="0" applyFont="1" applyAlignment="1">
      <alignment horizontal="center"/>
    </xf>
    <xf numFmtId="9" fontId="6" fillId="0" borderId="0" xfId="11" applyNumberFormat="1"/>
    <xf numFmtId="49" fontId="6" fillId="0" borderId="0" xfId="11" applyNumberFormat="1"/>
    <xf numFmtId="0" fontId="72" fillId="0" borderId="0" xfId="11" applyFont="1" applyAlignment="1">
      <alignment vertical="top"/>
    </xf>
    <xf numFmtId="0" fontId="69" fillId="0" borderId="7" xfId="0" applyFont="1" applyBorder="1" applyAlignment="1">
      <alignment horizontal="left" vertical="center" wrapText="1"/>
    </xf>
    <xf numFmtId="0" fontId="69" fillId="0" borderId="4" xfId="0" applyFont="1" applyBorder="1" applyAlignment="1">
      <alignment horizontal="left" vertical="center" wrapText="1"/>
    </xf>
    <xf numFmtId="0" fontId="74" fillId="0" borderId="0" xfId="0" applyFont="1" applyAlignment="1">
      <alignment vertical="center"/>
    </xf>
    <xf numFmtId="0" fontId="73" fillId="0" borderId="0" xfId="0" applyFont="1" applyAlignment="1">
      <alignment vertical="center"/>
    </xf>
    <xf numFmtId="0" fontId="75" fillId="0" borderId="0" xfId="0" applyFont="1" applyAlignment="1">
      <alignment vertical="center"/>
    </xf>
    <xf numFmtId="3" fontId="73" fillId="0" borderId="0" xfId="0" applyNumberFormat="1" applyFont="1" applyAlignment="1">
      <alignment vertical="center"/>
    </xf>
    <xf numFmtId="2" fontId="19" fillId="0" borderId="1" xfId="0" applyNumberFormat="1" applyFont="1" applyFill="1" applyBorder="1" applyAlignment="1" applyProtection="1">
      <alignment wrapText="1"/>
    </xf>
    <xf numFmtId="3" fontId="19" fillId="0" borderId="8" xfId="0" applyNumberFormat="1" applyFont="1" applyFill="1" applyBorder="1" applyAlignment="1" applyProtection="1">
      <alignment vertical="center"/>
    </xf>
    <xf numFmtId="3" fontId="30" fillId="0" borderId="0" xfId="0" applyNumberFormat="1" applyFont="1" applyFill="1" applyBorder="1" applyAlignment="1" applyProtection="1">
      <alignment vertical="center" wrapText="1"/>
    </xf>
    <xf numFmtId="0" fontId="24" fillId="0" borderId="6" xfId="0" applyFont="1" applyFill="1" applyBorder="1" applyAlignment="1" applyProtection="1">
      <alignment vertical="center"/>
    </xf>
    <xf numFmtId="3" fontId="21" fillId="0" borderId="6" xfId="0" applyNumberFormat="1" applyFont="1" applyFill="1" applyBorder="1" applyAlignment="1" applyProtection="1">
      <alignment vertical="center"/>
    </xf>
    <xf numFmtId="3" fontId="30" fillId="0" borderId="8" xfId="0" applyNumberFormat="1" applyFont="1" applyFill="1" applyBorder="1" applyAlignment="1" applyProtection="1">
      <alignment vertical="center" wrapText="1"/>
    </xf>
    <xf numFmtId="0" fontId="38" fillId="0" borderId="0" xfId="9" applyNumberFormat="1" applyFont="1" applyAlignment="1">
      <alignment horizontal="right"/>
    </xf>
    <xf numFmtId="3" fontId="64" fillId="0" borderId="4" xfId="0" applyNumberFormat="1" applyFont="1" applyFill="1" applyBorder="1" applyAlignment="1" applyProtection="1">
      <alignment horizontal="right" vertical="center"/>
    </xf>
    <xf numFmtId="0" fontId="38" fillId="0" borderId="7" xfId="9" applyNumberFormat="1" applyFont="1" applyBorder="1" applyAlignment="1">
      <alignment horizontal="right"/>
    </xf>
    <xf numFmtId="0" fontId="38" fillId="0" borderId="4" xfId="9" applyNumberFormat="1" applyFont="1" applyBorder="1" applyAlignment="1">
      <alignment horizontal="right"/>
    </xf>
    <xf numFmtId="0" fontId="38" fillId="0" borderId="6" xfId="9" applyNumberFormat="1" applyFont="1" applyBorder="1" applyAlignment="1">
      <alignment horizontal="right"/>
    </xf>
    <xf numFmtId="0" fontId="77" fillId="0" borderId="0" xfId="10" applyFont="1" applyFill="1" applyBorder="1"/>
    <xf numFmtId="0" fontId="68" fillId="0" borderId="0" xfId="0" applyFont="1"/>
    <xf numFmtId="0" fontId="0" fillId="0" borderId="0" xfId="0" applyAlignment="1">
      <alignment horizontal="center"/>
    </xf>
    <xf numFmtId="0" fontId="34" fillId="0" borderId="1" xfId="21" applyAlignment="1">
      <alignment horizontal="center"/>
    </xf>
    <xf numFmtId="0" fontId="63" fillId="0" borderId="0" xfId="0" applyFont="1" applyBorder="1" applyAlignment="1">
      <alignment horizontal="center" vertical="center" wrapText="1"/>
    </xf>
    <xf numFmtId="0" fontId="27" fillId="0" borderId="4" xfId="0" applyFont="1" applyBorder="1" applyAlignment="1">
      <alignment vertical="center" wrapText="1"/>
    </xf>
    <xf numFmtId="0" fontId="27" fillId="0" borderId="4" xfId="0" applyFont="1" applyBorder="1" applyAlignment="1">
      <alignment horizontal="center" vertical="center" wrapText="1"/>
    </xf>
    <xf numFmtId="0" fontId="65" fillId="0" borderId="4" xfId="22" applyBorder="1" applyAlignment="1">
      <alignment vertical="center" wrapText="1"/>
    </xf>
    <xf numFmtId="0" fontId="65" fillId="0" borderId="4" xfId="22" applyBorder="1" applyAlignment="1">
      <alignment horizontal="center" vertical="center" wrapText="1"/>
    </xf>
    <xf numFmtId="0" fontId="65" fillId="0" borderId="3" xfId="22" applyBorder="1" applyAlignment="1">
      <alignment vertical="center" wrapText="1"/>
    </xf>
    <xf numFmtId="0" fontId="65" fillId="0" borderId="3" xfId="22" applyBorder="1" applyAlignment="1">
      <alignment horizontal="center" vertical="center" wrapText="1"/>
    </xf>
    <xf numFmtId="0" fontId="27" fillId="0" borderId="2" xfId="0" applyFont="1" applyBorder="1" applyAlignment="1">
      <alignment vertical="center" wrapText="1"/>
    </xf>
    <xf numFmtId="0" fontId="34" fillId="0" borderId="1" xfId="21" applyAlignment="1"/>
    <xf numFmtId="0" fontId="27" fillId="0" borderId="3" xfId="0" applyFont="1" applyBorder="1" applyAlignment="1">
      <alignment vertical="center" wrapText="1"/>
    </xf>
    <xf numFmtId="0" fontId="65" fillId="0" borderId="4" xfId="22" applyBorder="1" applyAlignment="1">
      <alignment vertical="center"/>
    </xf>
    <xf numFmtId="0" fontId="27" fillId="0" borderId="3" xfId="0" applyFont="1" applyBorder="1" applyAlignment="1">
      <alignment horizontal="center" vertical="center" wrapText="1"/>
    </xf>
    <xf numFmtId="0" fontId="27" fillId="0" borderId="18" xfId="0" applyFont="1" applyBorder="1" applyAlignment="1">
      <alignment vertical="center" wrapText="1"/>
    </xf>
    <xf numFmtId="0" fontId="69" fillId="0" borderId="18" xfId="0" applyFont="1" applyBorder="1" applyAlignment="1">
      <alignment horizontal="center" vertical="center" wrapText="1"/>
    </xf>
    <xf numFmtId="0" fontId="27" fillId="0" borderId="18" xfId="0" applyFont="1" applyBorder="1" applyAlignment="1">
      <alignment horizontal="center" vertical="center" wrapText="1"/>
    </xf>
    <xf numFmtId="0" fontId="69" fillId="0" borderId="18" xfId="0" applyFont="1" applyBorder="1" applyAlignment="1">
      <alignment vertical="center" wrapText="1"/>
    </xf>
    <xf numFmtId="0" fontId="65" fillId="0" borderId="19" xfId="22" applyBorder="1" applyAlignment="1">
      <alignment vertical="center" wrapText="1"/>
    </xf>
    <xf numFmtId="0" fontId="65" fillId="0" borderId="18" xfId="22" applyBorder="1" applyAlignment="1">
      <alignment vertical="center" wrapText="1"/>
    </xf>
    <xf numFmtId="0" fontId="65" fillId="0" borderId="18" xfId="22" applyBorder="1" applyAlignment="1"/>
    <xf numFmtId="0" fontId="18" fillId="0" borderId="4" xfId="0" applyFont="1" applyFill="1" applyBorder="1" applyAlignment="1">
      <alignment vertical="center" wrapText="1"/>
    </xf>
    <xf numFmtId="0" fontId="69" fillId="0" borderId="4" xfId="0" applyFont="1" applyFill="1" applyBorder="1" applyAlignment="1">
      <alignment horizontal="center" vertical="center" wrapText="1"/>
    </xf>
    <xf numFmtId="0" fontId="27" fillId="0" borderId="4" xfId="0" applyFont="1" applyFill="1" applyBorder="1" applyAlignment="1">
      <alignment vertical="center" wrapText="1"/>
    </xf>
    <xf numFmtId="0" fontId="65" fillId="0" borderId="4" xfId="22" applyFill="1" applyBorder="1" applyAlignment="1">
      <alignment vertical="center" wrapText="1"/>
    </xf>
    <xf numFmtId="0" fontId="69" fillId="0" borderId="20" xfId="0" applyFont="1" applyBorder="1" applyAlignment="1">
      <alignment horizontal="left" vertical="center" wrapText="1"/>
    </xf>
    <xf numFmtId="0" fontId="69" fillId="0" borderId="18" xfId="0" applyFont="1" applyBorder="1" applyAlignment="1">
      <alignment horizontal="left" vertical="center" wrapText="1"/>
    </xf>
    <xf numFmtId="0" fontId="65" fillId="0" borderId="19" xfId="22" applyBorder="1" applyAlignment="1">
      <alignment horizontal="center" vertical="center" wrapText="1"/>
    </xf>
    <xf numFmtId="0" fontId="65" fillId="0" borderId="18" xfId="22" applyBorder="1" applyAlignment="1">
      <alignment horizontal="center" vertical="center" wrapText="1"/>
    </xf>
    <xf numFmtId="0" fontId="65" fillId="0" borderId="18" xfId="22" applyBorder="1" applyAlignment="1">
      <alignment horizontal="center"/>
    </xf>
    <xf numFmtId="0" fontId="71" fillId="0" borderId="4" xfId="0" applyFont="1" applyFill="1" applyBorder="1" applyAlignment="1">
      <alignment horizontal="center" vertical="center" wrapText="1"/>
    </xf>
    <xf numFmtId="0" fontId="71" fillId="0" borderId="4" xfId="0" applyFont="1" applyFill="1" applyBorder="1" applyAlignment="1">
      <alignment horizontal="center" vertical="center"/>
    </xf>
    <xf numFmtId="0" fontId="65" fillId="0" borderId="4" xfId="22" applyFill="1" applyBorder="1" applyAlignment="1">
      <alignment horizontal="center" vertical="center" wrapText="1"/>
    </xf>
    <xf numFmtId="0" fontId="69" fillId="0" borderId="7"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20" xfId="0" applyFont="1" applyBorder="1" applyAlignment="1">
      <alignment horizontal="center" vertical="center" wrapText="1"/>
    </xf>
    <xf numFmtId="0" fontId="37" fillId="0" borderId="0" xfId="0" applyFont="1" applyFill="1"/>
    <xf numFmtId="0" fontId="38" fillId="0" borderId="7" xfId="9" applyNumberFormat="1" applyFont="1" applyFill="1" applyBorder="1" applyAlignment="1">
      <alignment horizontal="left" vertical="center"/>
    </xf>
    <xf numFmtId="0" fontId="38" fillId="0" borderId="4" xfId="9" applyNumberFormat="1" applyFont="1" applyFill="1" applyBorder="1" applyAlignment="1">
      <alignment horizontal="left" vertical="center"/>
    </xf>
    <xf numFmtId="0" fontId="15" fillId="0" borderId="0" xfId="9" applyNumberFormat="1" applyFill="1" applyAlignment="1">
      <alignment horizontal="left" vertical="center" indent="3"/>
    </xf>
    <xf numFmtId="0" fontId="15" fillId="0" borderId="0" xfId="9" applyNumberFormat="1" applyFill="1" applyAlignment="1"/>
    <xf numFmtId="0" fontId="15" fillId="0" borderId="0" xfId="9" quotePrefix="1" applyNumberFormat="1" applyFill="1" applyAlignment="1">
      <alignment horizontal="left" vertical="center" indent="3"/>
    </xf>
    <xf numFmtId="0" fontId="37" fillId="0" borderId="7" xfId="0" applyFont="1" applyFill="1" applyBorder="1"/>
    <xf numFmtId="0" fontId="37" fillId="0" borderId="7" xfId="0" applyFont="1" applyFill="1" applyBorder="1" applyAlignment="1">
      <alignment wrapText="1"/>
    </xf>
    <xf numFmtId="3" fontId="37" fillId="0" borderId="7" xfId="0" applyNumberFormat="1" applyFont="1" applyFill="1" applyBorder="1"/>
    <xf numFmtId="0" fontId="37" fillId="0" borderId="4" xfId="0" applyFont="1" applyFill="1" applyBorder="1"/>
    <xf numFmtId="0" fontId="37" fillId="0" borderId="4" xfId="0" applyFont="1" applyFill="1" applyBorder="1" applyAlignment="1">
      <alignment wrapText="1"/>
    </xf>
    <xf numFmtId="3" fontId="37" fillId="0" borderId="4" xfId="0" applyNumberFormat="1" applyFont="1" applyFill="1" applyBorder="1" applyAlignment="1">
      <alignment horizontal="right"/>
    </xf>
    <xf numFmtId="167" fontId="19" fillId="0" borderId="4" xfId="17" applyFont="1" applyFill="1" applyBorder="1">
      <alignment vertical="center"/>
    </xf>
    <xf numFmtId="167" fontId="37" fillId="0" borderId="4" xfId="17" applyFont="1" applyFill="1" applyBorder="1">
      <alignment vertical="center"/>
    </xf>
    <xf numFmtId="167" fontId="19" fillId="0" borderId="6" xfId="17" applyFont="1" applyFill="1" applyBorder="1">
      <alignment vertical="center"/>
    </xf>
    <xf numFmtId="0" fontId="37" fillId="0" borderId="6" xfId="0" applyFont="1" applyFill="1" applyBorder="1"/>
    <xf numFmtId="167" fontId="37" fillId="0" borderId="6" xfId="17" applyFont="1" applyFill="1" applyBorder="1">
      <alignment vertical="center"/>
    </xf>
    <xf numFmtId="167" fontId="19" fillId="0" borderId="0" xfId="17" applyFont="1" applyFill="1" applyBorder="1">
      <alignment vertical="center"/>
    </xf>
    <xf numFmtId="167" fontId="37" fillId="0" borderId="0" xfId="17" applyFont="1" applyFill="1" applyBorder="1">
      <alignment vertical="center"/>
    </xf>
    <xf numFmtId="167" fontId="43" fillId="0" borderId="0" xfId="17" applyFont="1" applyFill="1" applyBorder="1">
      <alignment vertical="center"/>
    </xf>
    <xf numFmtId="0" fontId="6" fillId="0" borderId="0" xfId="11" applyFill="1"/>
    <xf numFmtId="167" fontId="19" fillId="0" borderId="7" xfId="17" applyFont="1" applyFill="1" applyBorder="1">
      <alignment vertical="center"/>
    </xf>
    <xf numFmtId="167" fontId="37" fillId="0" borderId="7" xfId="17" applyFont="1" applyFill="1" applyBorder="1">
      <alignment vertical="center"/>
    </xf>
    <xf numFmtId="0" fontId="19" fillId="0" borderId="4" xfId="0" applyFont="1" applyFill="1" applyBorder="1" applyAlignment="1" applyProtection="1">
      <alignment horizontal="left" vertical="center"/>
    </xf>
    <xf numFmtId="49" fontId="19" fillId="0" borderId="1" xfId="11" applyNumberFormat="1" applyFont="1" applyFill="1" applyBorder="1" applyAlignment="1" applyProtection="1">
      <alignment horizontal="left" vertical="top" indent="1"/>
    </xf>
    <xf numFmtId="0" fontId="19" fillId="0" borderId="1" xfId="11" applyFont="1" applyFill="1" applyBorder="1" applyAlignment="1">
      <alignment horizontal="left" vertical="top"/>
    </xf>
    <xf numFmtId="168" fontId="19" fillId="0" borderId="1" xfId="1" applyNumberFormat="1" applyFont="1" applyFill="1" applyBorder="1" applyAlignment="1" applyProtection="1">
      <alignment vertical="top"/>
    </xf>
    <xf numFmtId="3" fontId="19" fillId="0" borderId="1" xfId="0" applyNumberFormat="1" applyFont="1" applyBorder="1" applyProtection="1"/>
    <xf numFmtId="0" fontId="19" fillId="0" borderId="0" xfId="0" applyFont="1" applyAlignment="1" applyProtection="1">
      <alignment vertical="center" wrapText="1"/>
    </xf>
    <xf numFmtId="3" fontId="81" fillId="0" borderId="4" xfId="0" applyNumberFormat="1" applyFont="1" applyBorder="1" applyProtection="1"/>
    <xf numFmtId="3" fontId="81" fillId="0" borderId="6" xfId="0" applyNumberFormat="1" applyFont="1" applyBorder="1" applyProtection="1"/>
    <xf numFmtId="3" fontId="81" fillId="0" borderId="0" xfId="0" applyNumberFormat="1" applyFont="1" applyBorder="1" applyProtection="1"/>
    <xf numFmtId="3" fontId="81" fillId="0" borderId="8" xfId="0" applyNumberFormat="1" applyFont="1" applyBorder="1" applyProtection="1"/>
    <xf numFmtId="3" fontId="81" fillId="10" borderId="4" xfId="11" applyNumberFormat="1" applyFont="1" applyFill="1" applyBorder="1" applyAlignment="1" applyProtection="1">
      <alignment vertical="top"/>
    </xf>
    <xf numFmtId="3" fontId="81" fillId="10" borderId="6" xfId="11" applyNumberFormat="1" applyFont="1" applyFill="1" applyBorder="1" applyAlignment="1" applyProtection="1">
      <alignment vertical="top"/>
    </xf>
    <xf numFmtId="3" fontId="63" fillId="0" borderId="13" xfId="0" applyNumberFormat="1" applyFont="1" applyBorder="1" applyProtection="1"/>
    <xf numFmtId="172" fontId="19" fillId="0" borderId="4" xfId="11" applyNumberFormat="1" applyFont="1" applyFill="1" applyBorder="1" applyAlignment="1" applyProtection="1">
      <alignment vertical="top"/>
    </xf>
    <xf numFmtId="172" fontId="19" fillId="0" borderId="6" xfId="11" applyNumberFormat="1" applyFont="1" applyFill="1" applyBorder="1" applyAlignment="1" applyProtection="1">
      <alignment vertical="top"/>
    </xf>
    <xf numFmtId="172" fontId="43" fillId="0" borderId="3" xfId="11" applyNumberFormat="1" applyFont="1" applyFill="1" applyBorder="1" applyAlignment="1" applyProtection="1">
      <alignment horizontal="right" vertical="top"/>
    </xf>
    <xf numFmtId="172" fontId="43" fillId="0" borderId="3" xfId="11" applyNumberFormat="1" applyFont="1" applyFill="1" applyBorder="1" applyAlignment="1" applyProtection="1">
      <alignment vertical="top"/>
    </xf>
    <xf numFmtId="10" fontId="19" fillId="0" borderId="0" xfId="1" applyNumberFormat="1" applyFont="1" applyProtection="1"/>
    <xf numFmtId="0" fontId="69" fillId="0" borderId="18" xfId="0" applyFont="1" applyBorder="1" applyAlignment="1">
      <alignment horizontal="left" vertical="center" wrapText="1" indent="2"/>
    </xf>
    <xf numFmtId="0" fontId="34" fillId="0" borderId="1" xfId="21" applyAlignment="1">
      <alignment horizontal="center" vertical="center" wrapText="1"/>
    </xf>
    <xf numFmtId="0" fontId="34" fillId="0" borderId="2" xfId="21" applyBorder="1" applyAlignment="1">
      <alignment horizontal="center" vertical="center" wrapText="1"/>
    </xf>
    <xf numFmtId="167" fontId="19" fillId="0" borderId="8" xfId="17" applyFont="1" applyBorder="1">
      <alignment vertical="center"/>
    </xf>
    <xf numFmtId="0" fontId="37" fillId="0" borderId="8" xfId="0" applyFont="1" applyBorder="1"/>
    <xf numFmtId="167" fontId="37" fillId="0" borderId="8" xfId="17" applyFont="1" applyBorder="1">
      <alignment vertical="center"/>
    </xf>
    <xf numFmtId="167" fontId="19" fillId="0" borderId="8" xfId="17" applyFont="1" applyFill="1" applyBorder="1">
      <alignment vertical="center"/>
    </xf>
    <xf numFmtId="0" fontId="37" fillId="0" borderId="8" xfId="0" applyFont="1" applyFill="1" applyBorder="1"/>
    <xf numFmtId="167" fontId="37" fillId="0" borderId="8" xfId="17" applyFont="1" applyFill="1" applyBorder="1">
      <alignment vertical="center"/>
    </xf>
    <xf numFmtId="9" fontId="37" fillId="0" borderId="4" xfId="1" applyFont="1" applyBorder="1" applyAlignment="1">
      <alignment vertical="center"/>
    </xf>
    <xf numFmtId="9" fontId="19" fillId="0" borderId="1" xfId="1" applyFont="1" applyBorder="1" applyAlignment="1" applyProtection="1">
      <alignment wrapText="1"/>
    </xf>
    <xf numFmtId="10" fontId="19" fillId="0" borderId="4" xfId="1" applyNumberFormat="1" applyFont="1" applyFill="1" applyBorder="1" applyAlignment="1" applyProtection="1">
      <alignment vertical="top"/>
    </xf>
    <xf numFmtId="3" fontId="14" fillId="0" borderId="0" xfId="11" applyNumberFormat="1" applyFont="1"/>
    <xf numFmtId="10" fontId="43" fillId="0" borderId="3" xfId="1" applyNumberFormat="1" applyFont="1" applyFill="1" applyBorder="1" applyAlignment="1" applyProtection="1">
      <alignment horizontal="right" vertical="top"/>
    </xf>
    <xf numFmtId="10" fontId="19" fillId="0" borderId="8" xfId="1" applyNumberFormat="1" applyFont="1" applyFill="1" applyBorder="1" applyAlignment="1" applyProtection="1">
      <alignment vertical="top"/>
    </xf>
    <xf numFmtId="10" fontId="43" fillId="0" borderId="7" xfId="1" applyNumberFormat="1" applyFont="1" applyFill="1" applyBorder="1" applyAlignment="1" applyProtection="1">
      <alignment horizontal="right" vertical="top"/>
    </xf>
    <xf numFmtId="168" fontId="43" fillId="0" borderId="7" xfId="1" applyNumberFormat="1" applyFont="1" applyFill="1" applyBorder="1" applyAlignment="1" applyProtection="1">
      <alignment horizontal="right" vertical="top"/>
    </xf>
    <xf numFmtId="167" fontId="19" fillId="0" borderId="13" xfId="17" applyFont="1" applyBorder="1">
      <alignment vertical="center"/>
    </xf>
    <xf numFmtId="0" fontId="37" fillId="0" borderId="13" xfId="0" applyFont="1" applyBorder="1"/>
    <xf numFmtId="167" fontId="37" fillId="0" borderId="13" xfId="17" applyFont="1" applyBorder="1">
      <alignment vertical="center"/>
    </xf>
    <xf numFmtId="167" fontId="43" fillId="0" borderId="13" xfId="17" applyFont="1" applyBorder="1">
      <alignment vertical="center"/>
    </xf>
    <xf numFmtId="9" fontId="37" fillId="0" borderId="4" xfId="1" applyFont="1" applyFill="1" applyBorder="1" applyAlignment="1">
      <alignment vertical="center"/>
    </xf>
    <xf numFmtId="9" fontId="37" fillId="0" borderId="4" xfId="1" applyNumberFormat="1" applyFont="1" applyFill="1" applyBorder="1" applyAlignment="1">
      <alignment vertical="center"/>
    </xf>
    <xf numFmtId="9" fontId="37" fillId="0" borderId="8" xfId="1" applyFont="1" applyFill="1" applyBorder="1" applyAlignment="1">
      <alignment vertical="center"/>
    </xf>
    <xf numFmtId="167" fontId="27" fillId="0" borderId="8" xfId="17" applyFont="1" applyBorder="1">
      <alignment vertical="center"/>
    </xf>
    <xf numFmtId="167" fontId="19" fillId="0" borderId="13" xfId="17" applyFont="1" applyFill="1" applyBorder="1">
      <alignment vertical="center"/>
    </xf>
    <xf numFmtId="0" fontId="37" fillId="0" borderId="13" xfId="0" applyFont="1" applyFill="1" applyBorder="1"/>
    <xf numFmtId="167" fontId="37" fillId="0" borderId="13" xfId="17" applyFont="1" applyFill="1" applyBorder="1">
      <alignment vertical="center"/>
    </xf>
    <xf numFmtId="167" fontId="43" fillId="0" borderId="13" xfId="17" applyFont="1" applyFill="1" applyBorder="1">
      <alignment vertical="center"/>
    </xf>
    <xf numFmtId="0" fontId="19" fillId="0" borderId="1" xfId="11" applyFont="1" applyFill="1" applyBorder="1" applyAlignment="1" applyProtection="1">
      <alignment horizontal="left"/>
    </xf>
    <xf numFmtId="0" fontId="19" fillId="0" borderId="1" xfId="11" applyFont="1" applyFill="1" applyBorder="1" applyAlignment="1" applyProtection="1"/>
    <xf numFmtId="9" fontId="19" fillId="0" borderId="1" xfId="1" applyFont="1" applyFill="1" applyBorder="1" applyProtection="1"/>
    <xf numFmtId="9" fontId="19" fillId="0" borderId="1" xfId="1" applyFont="1" applyFill="1" applyBorder="1" applyAlignment="1" applyProtection="1">
      <alignment wrapText="1"/>
    </xf>
    <xf numFmtId="0" fontId="19" fillId="0" borderId="1" xfId="11" applyFont="1" applyFill="1" applyBorder="1" applyProtection="1"/>
    <xf numFmtId="0" fontId="19" fillId="0" borderId="1" xfId="11" applyFont="1" applyFill="1" applyBorder="1" applyAlignment="1" applyProtection="1">
      <alignment wrapText="1"/>
    </xf>
    <xf numFmtId="167" fontId="19" fillId="0" borderId="4" xfId="17" applyFont="1" applyFill="1" applyBorder="1" applyAlignment="1">
      <alignment vertical="center" wrapText="1"/>
    </xf>
    <xf numFmtId="0" fontId="37" fillId="0" borderId="0" xfId="0" applyFont="1" applyBorder="1"/>
    <xf numFmtId="0" fontId="34" fillId="0" borderId="1" xfId="21" applyFill="1" applyAlignment="1">
      <alignment vertical="center"/>
    </xf>
    <xf numFmtId="0" fontId="16" fillId="0" borderId="7" xfId="9" applyNumberFormat="1" applyFont="1" applyBorder="1" applyAlignment="1">
      <alignment horizontal="left" vertical="center"/>
    </xf>
    <xf numFmtId="9" fontId="0" fillId="0" borderId="7" xfId="1" applyFont="1" applyBorder="1"/>
    <xf numFmtId="0" fontId="16" fillId="0" borderId="4" xfId="9" applyNumberFormat="1" applyFont="1" applyBorder="1" applyAlignment="1">
      <alignment horizontal="left" vertical="center"/>
    </xf>
    <xf numFmtId="9" fontId="0" fillId="0" borderId="4" xfId="1" applyFont="1" applyBorder="1"/>
    <xf numFmtId="0" fontId="65" fillId="0" borderId="4" xfId="22" applyFill="1" applyBorder="1" applyAlignment="1">
      <alignment vertical="center" wrapText="1"/>
    </xf>
    <xf numFmtId="0" fontId="32" fillId="0" borderId="0" xfId="11" applyFont="1" applyFill="1" applyAlignment="1">
      <alignment vertical="center"/>
    </xf>
    <xf numFmtId="9" fontId="21" fillId="0" borderId="0" xfId="1" applyFont="1" applyFill="1" applyProtection="1"/>
    <xf numFmtId="0" fontId="21" fillId="0" borderId="0" xfId="11" applyFont="1" applyFill="1" applyProtection="1"/>
    <xf numFmtId="0" fontId="19" fillId="0" borderId="0" xfId="11" applyFont="1" applyFill="1"/>
    <xf numFmtId="49" fontId="19" fillId="0" borderId="0" xfId="0" applyNumberFormat="1" applyFont="1" applyAlignment="1" applyProtection="1">
      <alignment horizontal="left" vertical="center"/>
    </xf>
    <xf numFmtId="0" fontId="19" fillId="0" borderId="0" xfId="0" applyFont="1" applyAlignment="1" applyProtection="1">
      <alignment horizontal="right"/>
    </xf>
    <xf numFmtId="0" fontId="21" fillId="10" borderId="4" xfId="0" applyFont="1" applyFill="1" applyBorder="1" applyAlignment="1" applyProtection="1">
      <protection locked="0"/>
    </xf>
    <xf numFmtId="49" fontId="21" fillId="10" borderId="4" xfId="0" applyNumberFormat="1" applyFont="1" applyFill="1" applyBorder="1" applyAlignment="1" applyProtection="1">
      <protection locked="0"/>
    </xf>
    <xf numFmtId="14" fontId="19" fillId="0" borderId="0" xfId="0" applyNumberFormat="1" applyFont="1" applyFill="1" applyAlignment="1" applyProtection="1">
      <alignment horizontal="right"/>
    </xf>
    <xf numFmtId="14" fontId="21" fillId="10" borderId="4" xfId="0" applyNumberFormat="1" applyFont="1" applyFill="1" applyBorder="1" applyAlignment="1" applyProtection="1">
      <alignment horizontal="left"/>
      <protection locked="0"/>
    </xf>
    <xf numFmtId="0" fontId="34" fillId="0" borderId="2" xfId="21" applyBorder="1" applyAlignment="1">
      <alignment vertical="center"/>
    </xf>
    <xf numFmtId="0" fontId="34" fillId="0" borderId="2" xfId="21" applyBorder="1" applyAlignment="1">
      <alignment vertical="center" wrapText="1"/>
    </xf>
    <xf numFmtId="0" fontId="17" fillId="0" borderId="4" xfId="0" applyFont="1" applyFill="1" applyBorder="1" applyAlignment="1">
      <alignment vertical="center" wrapText="1"/>
    </xf>
    <xf numFmtId="0" fontId="17" fillId="0" borderId="3" xfId="0" applyFont="1" applyFill="1" applyBorder="1" applyAlignment="1">
      <alignment vertical="center" wrapText="1"/>
    </xf>
    <xf numFmtId="0" fontId="65" fillId="0" borderId="7" xfId="22" applyNumberFormat="1" applyFill="1" applyBorder="1" applyAlignment="1">
      <alignment vertical="center" wrapText="1"/>
    </xf>
    <xf numFmtId="0" fontId="27" fillId="0" borderId="0" xfId="0" applyFont="1" applyBorder="1" applyAlignment="1">
      <alignment wrapText="1"/>
    </xf>
    <xf numFmtId="0" fontId="85" fillId="0" borderId="0" xfId="0" applyFont="1" applyBorder="1" applyAlignment="1">
      <alignment vertical="center" wrapText="1"/>
    </xf>
    <xf numFmtId="0" fontId="69" fillId="0" borderId="0" xfId="0" applyFont="1" applyBorder="1" applyAlignment="1">
      <alignment vertical="center" wrapText="1"/>
    </xf>
    <xf numFmtId="0" fontId="69" fillId="0" borderId="0" xfId="0" applyFont="1" applyBorder="1" applyAlignment="1">
      <alignment horizontal="justify" vertical="center" wrapText="1"/>
    </xf>
    <xf numFmtId="0" fontId="69" fillId="0" borderId="7" xfId="0" applyFont="1" applyBorder="1" applyAlignment="1">
      <alignment vertical="center" wrapText="1"/>
    </xf>
    <xf numFmtId="0" fontId="27" fillId="0" borderId="7" xfId="0" applyFont="1" applyBorder="1"/>
    <xf numFmtId="0" fontId="69" fillId="0" borderId="4" xfId="0" applyFont="1" applyBorder="1" applyAlignment="1">
      <alignment vertical="center" wrapText="1"/>
    </xf>
    <xf numFmtId="0" fontId="27" fillId="0" borderId="4" xfId="0" applyFont="1" applyBorder="1"/>
    <xf numFmtId="0" fontId="27" fillId="0" borderId="4" xfId="0" applyFont="1" applyBorder="1" applyAlignment="1">
      <alignment vertical="top" wrapText="1"/>
    </xf>
    <xf numFmtId="0" fontId="85" fillId="0" borderId="4" xfId="0" applyFont="1" applyBorder="1" applyAlignment="1">
      <alignment vertical="center" wrapText="1"/>
    </xf>
    <xf numFmtId="0" fontId="69" fillId="0" borderId="4" xfId="0" applyFont="1" applyBorder="1" applyAlignment="1">
      <alignment horizontal="justify" vertical="center" wrapText="1"/>
    </xf>
    <xf numFmtId="0" fontId="27" fillId="0" borderId="4" xfId="0" applyFont="1" applyBorder="1" applyAlignment="1">
      <alignment wrapText="1"/>
    </xf>
    <xf numFmtId="0" fontId="19" fillId="0" borderId="0" xfId="0" applyFont="1" applyAlignment="1" applyProtection="1">
      <alignment vertical="center" wrapText="1"/>
    </xf>
    <xf numFmtId="0" fontId="21" fillId="10" borderId="4" xfId="0" applyFont="1" applyFill="1" applyBorder="1" applyAlignment="1" applyProtection="1">
      <alignment wrapText="1"/>
      <protection locked="0"/>
    </xf>
    <xf numFmtId="49" fontId="21" fillId="10" borderId="4" xfId="0" applyNumberFormat="1" applyFont="1" applyFill="1" applyBorder="1" applyAlignment="1" applyProtection="1">
      <alignment wrapText="1"/>
      <protection locked="0"/>
    </xf>
    <xf numFmtId="0" fontId="83" fillId="10" borderId="4" xfId="0" applyFont="1" applyFill="1" applyBorder="1" applyAlignment="1" applyProtection="1">
      <alignment wrapText="1"/>
      <protection locked="0"/>
    </xf>
    <xf numFmtId="14" fontId="21" fillId="10" borderId="4" xfId="0" applyNumberFormat="1" applyFont="1" applyFill="1" applyBorder="1" applyAlignment="1" applyProtection="1">
      <alignment horizontal="left" wrapText="1"/>
      <protection locked="0"/>
    </xf>
    <xf numFmtId="0" fontId="20" fillId="0" borderId="0" xfId="0" applyFont="1" applyFill="1" applyBorder="1" applyAlignment="1" applyProtection="1">
      <alignment wrapText="1"/>
    </xf>
    <xf numFmtId="0" fontId="67" fillId="0" borderId="0" xfId="7" applyAlignment="1">
      <alignment vertical="center" wrapText="1"/>
    </xf>
    <xf numFmtId="0" fontId="33" fillId="0" borderId="0" xfId="0" applyFont="1" applyAlignment="1" applyProtection="1">
      <alignment vertical="center" wrapText="1"/>
    </xf>
    <xf numFmtId="0" fontId="20" fillId="0" borderId="9" xfId="0" applyFont="1" applyBorder="1" applyAlignment="1" applyProtection="1">
      <alignment wrapText="1"/>
    </xf>
    <xf numFmtId="0" fontId="34" fillId="0" borderId="1" xfId="21" applyAlignment="1">
      <alignment wrapText="1"/>
    </xf>
    <xf numFmtId="0" fontId="34" fillId="0" borderId="0" xfId="10" applyFont="1" applyFill="1" applyBorder="1" applyAlignment="1">
      <alignment wrapText="1"/>
    </xf>
    <xf numFmtId="0" fontId="28" fillId="10" borderId="7" xfId="0" applyFont="1" applyFill="1" applyBorder="1" applyAlignment="1" applyProtection="1">
      <alignment vertical="center" wrapText="1"/>
    </xf>
    <xf numFmtId="3" fontId="37" fillId="10" borderId="3" xfId="0" applyNumberFormat="1" applyFont="1" applyFill="1" applyBorder="1" applyAlignment="1" applyProtection="1">
      <alignment vertical="center" wrapText="1"/>
      <protection locked="0"/>
    </xf>
    <xf numFmtId="3" fontId="30" fillId="10" borderId="4" xfId="0" applyNumberFormat="1" applyFont="1" applyFill="1" applyBorder="1" applyAlignment="1" applyProtection="1">
      <alignment vertical="center" wrapText="1"/>
      <protection locked="0"/>
    </xf>
    <xf numFmtId="3" fontId="19" fillId="0" borderId="4" xfId="0" applyNumberFormat="1" applyFont="1" applyFill="1" applyBorder="1" applyAlignment="1" applyProtection="1">
      <alignment horizontal="right" vertical="center" wrapText="1"/>
    </xf>
    <xf numFmtId="3" fontId="30" fillId="10" borderId="8" xfId="0" applyNumberFormat="1" applyFont="1" applyFill="1" applyBorder="1" applyAlignment="1" applyProtection="1">
      <alignment vertical="center" wrapText="1"/>
      <protection locked="0"/>
    </xf>
    <xf numFmtId="3" fontId="57" fillId="0" borderId="4" xfId="0" applyNumberFormat="1" applyFont="1" applyFill="1" applyBorder="1" applyAlignment="1" applyProtection="1">
      <alignment vertical="center" wrapText="1"/>
    </xf>
    <xf numFmtId="3" fontId="19" fillId="0" borderId="0" xfId="0" applyNumberFormat="1" applyFont="1" applyFill="1" applyBorder="1" applyAlignment="1" applyProtection="1">
      <alignment vertical="center" wrapText="1"/>
    </xf>
    <xf numFmtId="3" fontId="19" fillId="0" borderId="1" xfId="0" applyNumberFormat="1" applyFont="1" applyFill="1" applyBorder="1" applyAlignment="1" applyProtection="1">
      <alignment vertical="center" wrapText="1"/>
    </xf>
    <xf numFmtId="0" fontId="28" fillId="10" borderId="3" xfId="0" applyFont="1" applyFill="1" applyBorder="1" applyAlignment="1" applyProtection="1">
      <alignment vertical="center" wrapText="1"/>
    </xf>
    <xf numFmtId="3" fontId="30" fillId="10" borderId="0" xfId="0" applyNumberFormat="1" applyFont="1" applyFill="1" applyBorder="1" applyAlignment="1" applyProtection="1">
      <alignment vertical="center" wrapText="1"/>
    </xf>
    <xf numFmtId="3" fontId="21" fillId="0" borderId="9" xfId="0" applyNumberFormat="1" applyFont="1" applyFill="1" applyBorder="1" applyAlignment="1" applyProtection="1">
      <alignment vertical="center" wrapText="1"/>
    </xf>
    <xf numFmtId="0" fontId="34" fillId="0" borderId="2" xfId="10" applyFont="1" applyFill="1" applyBorder="1" applyAlignment="1">
      <alignment wrapText="1"/>
    </xf>
    <xf numFmtId="3" fontId="30" fillId="10" borderId="0" xfId="0" applyNumberFormat="1" applyFont="1" applyFill="1" applyBorder="1" applyAlignment="1" applyProtection="1">
      <alignment vertical="center" wrapText="1"/>
      <protection locked="0"/>
    </xf>
    <xf numFmtId="3" fontId="30" fillId="0" borderId="1" xfId="0" applyNumberFormat="1" applyFont="1" applyFill="1" applyBorder="1" applyAlignment="1" applyProtection="1">
      <alignment vertical="center" wrapText="1"/>
    </xf>
    <xf numFmtId="0" fontId="20" fillId="0" borderId="1" xfId="0" applyFont="1" applyBorder="1" applyAlignment="1" applyProtection="1">
      <alignment wrapText="1"/>
    </xf>
    <xf numFmtId="0" fontId="20" fillId="0" borderId="6" xfId="0" applyFont="1" applyBorder="1" applyAlignment="1" applyProtection="1">
      <alignment wrapText="1"/>
    </xf>
    <xf numFmtId="3" fontId="28" fillId="0" borderId="4" xfId="0" applyNumberFormat="1" applyFont="1" applyFill="1" applyBorder="1" applyAlignment="1" applyProtection="1">
      <alignment vertical="center" wrapText="1"/>
    </xf>
    <xf numFmtId="3" fontId="19" fillId="10" borderId="0" xfId="0" applyNumberFormat="1" applyFont="1" applyFill="1" applyBorder="1" applyAlignment="1" applyProtection="1">
      <alignment vertical="center" wrapText="1"/>
    </xf>
    <xf numFmtId="3" fontId="21" fillId="0" borderId="1" xfId="0" applyNumberFormat="1" applyFont="1" applyFill="1" applyBorder="1" applyAlignment="1" applyProtection="1">
      <alignment vertical="center" wrapText="1"/>
    </xf>
    <xf numFmtId="3" fontId="28" fillId="0" borderId="6" xfId="0" applyNumberFormat="1" applyFont="1" applyFill="1" applyBorder="1" applyAlignment="1" applyProtection="1">
      <alignment vertical="center" wrapText="1"/>
    </xf>
    <xf numFmtId="3" fontId="28" fillId="0" borderId="1" xfId="0" applyNumberFormat="1" applyFont="1" applyFill="1" applyBorder="1" applyAlignment="1" applyProtection="1">
      <alignment vertical="center" wrapText="1"/>
    </xf>
    <xf numFmtId="0" fontId="35" fillId="0" borderId="0" xfId="12" applyAlignment="1">
      <alignment vertical="center" wrapText="1"/>
    </xf>
    <xf numFmtId="0" fontId="21" fillId="0" borderId="0" xfId="11" applyFont="1" applyBorder="1" applyAlignment="1">
      <alignment wrapText="1"/>
    </xf>
    <xf numFmtId="3" fontId="62" fillId="10" borderId="3" xfId="0" applyNumberFormat="1" applyFont="1" applyFill="1" applyBorder="1" applyAlignment="1" applyProtection="1">
      <alignment wrapText="1"/>
    </xf>
    <xf numFmtId="3" fontId="62" fillId="10" borderId="4" xfId="0" applyNumberFormat="1" applyFont="1" applyFill="1" applyBorder="1" applyAlignment="1" applyProtection="1">
      <alignment wrapText="1"/>
    </xf>
    <xf numFmtId="3" fontId="21" fillId="0" borderId="0" xfId="0" applyNumberFormat="1" applyFont="1" applyFill="1" applyBorder="1" applyAlignment="1" applyProtection="1">
      <alignment wrapText="1"/>
    </xf>
    <xf numFmtId="0" fontId="21" fillId="0" borderId="13" xfId="11" applyFont="1" applyBorder="1" applyAlignment="1" applyProtection="1">
      <alignment wrapText="1"/>
    </xf>
    <xf numFmtId="0" fontId="34" fillId="0" borderId="0" xfId="21" applyBorder="1" applyAlignment="1">
      <alignment horizontal="center" vertical="center" wrapText="1"/>
    </xf>
    <xf numFmtId="1" fontId="27" fillId="0" borderId="4" xfId="0" applyNumberFormat="1" applyFont="1" applyBorder="1" applyAlignment="1">
      <alignment vertical="center" wrapText="1"/>
    </xf>
    <xf numFmtId="0" fontId="27" fillId="0" borderId="6" xfId="0" applyFont="1" applyBorder="1" applyAlignment="1">
      <alignment vertical="center" wrapText="1"/>
    </xf>
    <xf numFmtId="0" fontId="27" fillId="0" borderId="6" xfId="0" applyFont="1" applyBorder="1" applyAlignment="1">
      <alignment horizontal="center" vertical="center" wrapText="1"/>
    </xf>
    <xf numFmtId="0" fontId="0" fillId="0" borderId="1" xfId="0" applyBorder="1"/>
    <xf numFmtId="0" fontId="0" fillId="0" borderId="13" xfId="0" applyBorder="1"/>
    <xf numFmtId="0" fontId="18" fillId="0" borderId="6" xfId="0" applyFont="1" applyFill="1" applyBorder="1" applyAlignment="1">
      <alignment vertical="center" wrapText="1"/>
    </xf>
    <xf numFmtId="0" fontId="71" fillId="0" borderId="6" xfId="0" applyFont="1" applyFill="1" applyBorder="1" applyAlignment="1">
      <alignment horizontal="center" vertical="center" wrapText="1"/>
    </xf>
    <xf numFmtId="0" fontId="69" fillId="0" borderId="6" xfId="0" applyFont="1" applyFill="1" applyBorder="1" applyAlignment="1">
      <alignment horizontal="center" vertical="center" wrapText="1"/>
    </xf>
    <xf numFmtId="0" fontId="18" fillId="0" borderId="8" xfId="0" applyFont="1" applyFill="1" applyBorder="1" applyAlignment="1">
      <alignment vertical="center" wrapText="1"/>
    </xf>
    <xf numFmtId="0" fontId="71" fillId="0" borderId="8" xfId="0" applyFont="1" applyFill="1" applyBorder="1" applyAlignment="1">
      <alignment horizontal="center" vertical="center" wrapText="1"/>
    </xf>
    <xf numFmtId="0" fontId="69" fillId="0" borderId="8" xfId="0" applyFont="1" applyFill="1" applyBorder="1" applyAlignment="1">
      <alignment horizontal="center" vertical="center" wrapText="1"/>
    </xf>
    <xf numFmtId="0" fontId="82" fillId="0" borderId="13" xfId="0" applyFont="1" applyBorder="1"/>
    <xf numFmtId="0" fontId="27" fillId="0" borderId="13" xfId="0" applyFont="1" applyBorder="1" applyAlignment="1">
      <alignment horizontal="center"/>
    </xf>
    <xf numFmtId="0" fontId="27" fillId="0" borderId="1" xfId="0" applyFont="1" applyBorder="1" applyAlignment="1">
      <alignment vertical="center" wrapText="1"/>
    </xf>
    <xf numFmtId="0" fontId="34" fillId="0" borderId="1" xfId="21" applyBorder="1" applyAlignment="1">
      <alignment horizontal="center" vertical="center" wrapText="1"/>
    </xf>
    <xf numFmtId="0" fontId="79" fillId="0" borderId="0" xfId="0" applyFont="1"/>
    <xf numFmtId="0" fontId="86" fillId="0" borderId="1" xfId="21" applyFont="1"/>
    <xf numFmtId="0" fontId="87" fillId="0" borderId="0" xfId="0" applyFont="1" applyProtection="1"/>
    <xf numFmtId="0" fontId="88" fillId="0" borderId="0" xfId="0" applyFont="1" applyFill="1" applyBorder="1" applyAlignment="1">
      <alignment vertical="center"/>
    </xf>
    <xf numFmtId="0" fontId="27" fillId="0" borderId="4" xfId="0" applyFont="1" applyBorder="1" applyAlignment="1">
      <alignment horizontal="center" vertical="center"/>
    </xf>
    <xf numFmtId="0" fontId="85" fillId="0" borderId="4" xfId="0" applyFont="1" applyBorder="1" applyAlignment="1">
      <alignment horizontal="center" vertical="center" wrapText="1"/>
    </xf>
    <xf numFmtId="168" fontId="27" fillId="0" borderId="4" xfId="1" applyNumberFormat="1" applyFont="1" applyBorder="1" applyAlignment="1">
      <alignment vertical="center"/>
    </xf>
    <xf numFmtId="168" fontId="27" fillId="0" borderId="4" xfId="0" applyNumberFormat="1" applyFont="1" applyBorder="1" applyAlignment="1">
      <alignment vertical="center"/>
    </xf>
    <xf numFmtId="10" fontId="27" fillId="0" borderId="4" xfId="1" applyNumberFormat="1" applyFont="1" applyBorder="1" applyAlignment="1">
      <alignment vertical="center"/>
    </xf>
    <xf numFmtId="168" fontId="19" fillId="0" borderId="0" xfId="1" applyNumberFormat="1" applyFont="1" applyFill="1" applyBorder="1" applyAlignment="1" applyProtection="1">
      <alignment vertical="center"/>
    </xf>
    <xf numFmtId="1" fontId="89" fillId="0" borderId="4" xfId="0" applyNumberFormat="1" applyFont="1" applyBorder="1" applyAlignment="1">
      <alignment vertical="center" wrapText="1"/>
    </xf>
    <xf numFmtId="168" fontId="89" fillId="0" borderId="4" xfId="1" applyNumberFormat="1" applyFont="1" applyBorder="1" applyAlignment="1">
      <alignment vertical="center" wrapText="1"/>
    </xf>
    <xf numFmtId="168" fontId="89" fillId="0" borderId="4" xfId="0" applyNumberFormat="1" applyFont="1" applyBorder="1" applyAlignment="1">
      <alignment vertical="center"/>
    </xf>
    <xf numFmtId="2" fontId="27" fillId="0" borderId="0" xfId="0" applyNumberFormat="1" applyFont="1"/>
    <xf numFmtId="0" fontId="90" fillId="0" borderId="0" xfId="0" applyFont="1"/>
    <xf numFmtId="168" fontId="19" fillId="10" borderId="0" xfId="1" applyNumberFormat="1" applyFont="1" applyFill="1" applyBorder="1" applyAlignment="1" applyProtection="1">
      <alignment vertical="center"/>
    </xf>
    <xf numFmtId="2" fontId="81" fillId="0" borderId="4" xfId="0" applyNumberFormat="1" applyFont="1" applyFill="1" applyBorder="1" applyProtection="1"/>
    <xf numFmtId="2" fontId="81" fillId="0" borderId="0" xfId="0" applyNumberFormat="1" applyFont="1" applyFill="1" applyBorder="1" applyProtection="1"/>
    <xf numFmtId="2" fontId="81" fillId="0" borderId="8" xfId="0" applyNumberFormat="1" applyFont="1" applyFill="1" applyBorder="1" applyProtection="1"/>
    <xf numFmtId="2" fontId="81" fillId="0" borderId="6" xfId="0" applyNumberFormat="1" applyFont="1" applyFill="1" applyBorder="1" applyProtection="1"/>
    <xf numFmtId="0" fontId="81" fillId="0" borderId="4" xfId="0" applyFont="1" applyFill="1" applyBorder="1" applyAlignment="1" applyProtection="1">
      <alignment horizontal="left" vertical="center" wrapText="1"/>
    </xf>
    <xf numFmtId="0" fontId="81" fillId="0" borderId="4" xfId="0" applyFont="1" applyBorder="1" applyAlignment="1" applyProtection="1">
      <alignment vertical="center"/>
    </xf>
    <xf numFmtId="0" fontId="81" fillId="0" borderId="4" xfId="0" applyFont="1" applyFill="1" applyBorder="1" applyAlignment="1" applyProtection="1">
      <alignment horizontal="left" vertical="center"/>
    </xf>
    <xf numFmtId="0" fontId="92" fillId="0" borderId="4" xfId="0" applyFont="1" applyBorder="1" applyAlignment="1" applyProtection="1">
      <alignment vertical="center" wrapText="1"/>
    </xf>
    <xf numFmtId="9" fontId="92" fillId="0" borderId="8" xfId="1" applyFont="1" applyFill="1" applyBorder="1" applyAlignment="1"/>
    <xf numFmtId="0" fontId="27" fillId="0" borderId="0" xfId="11" applyFont="1"/>
    <xf numFmtId="9" fontId="27" fillId="0" borderId="0" xfId="1" applyFont="1"/>
    <xf numFmtId="0" fontId="27" fillId="0" borderId="0" xfId="11" applyFont="1" applyAlignment="1">
      <alignment wrapText="1"/>
    </xf>
    <xf numFmtId="0" fontId="27" fillId="0" borderId="7" xfId="0" applyFont="1" applyFill="1" applyBorder="1" applyAlignment="1" applyProtection="1">
      <alignment horizontal="left" vertical="center"/>
    </xf>
    <xf numFmtId="0" fontId="27" fillId="0" borderId="7" xfId="0" applyFont="1" applyBorder="1" applyAlignment="1" applyProtection="1">
      <alignment vertical="center"/>
    </xf>
    <xf numFmtId="0" fontId="27" fillId="0" borderId="7" xfId="0" applyFont="1" applyBorder="1" applyAlignment="1" applyProtection="1">
      <alignment vertical="center" wrapText="1"/>
    </xf>
    <xf numFmtId="9" fontId="18" fillId="10" borderId="7" xfId="1" applyFont="1" applyFill="1" applyBorder="1" applyAlignment="1"/>
    <xf numFmtId="0" fontId="27" fillId="0" borderId="3" xfId="0" applyFont="1" applyFill="1" applyBorder="1" applyAlignment="1" applyProtection="1">
      <alignment horizontal="left" vertical="center"/>
    </xf>
    <xf numFmtId="0" fontId="27" fillId="0" borderId="3" xfId="0" applyFont="1" applyBorder="1" applyAlignment="1" applyProtection="1">
      <alignment vertical="center"/>
    </xf>
    <xf numFmtId="0" fontId="27" fillId="0" borderId="4" xfId="11" applyFont="1" applyBorder="1" applyAlignment="1">
      <alignment wrapText="1"/>
    </xf>
    <xf numFmtId="9" fontId="18" fillId="10" borderId="3" xfId="1" applyFont="1" applyFill="1" applyBorder="1" applyAlignment="1"/>
    <xf numFmtId="0" fontId="27" fillId="0" borderId="4" xfId="0" applyFont="1" applyFill="1" applyBorder="1" applyAlignment="1" applyProtection="1">
      <alignment horizontal="left" vertical="center"/>
    </xf>
    <xf numFmtId="0" fontId="27" fillId="0" borderId="4" xfId="0" applyFont="1" applyBorder="1" applyAlignment="1" applyProtection="1">
      <alignment vertical="center"/>
    </xf>
    <xf numFmtId="0" fontId="27" fillId="0" borderId="8" xfId="0" applyFont="1" applyFill="1" applyBorder="1" applyAlignment="1" applyProtection="1">
      <alignment horizontal="left" vertical="center"/>
    </xf>
    <xf numFmtId="0" fontId="27" fillId="0" borderId="8" xfId="0" applyFont="1" applyBorder="1" applyAlignment="1" applyProtection="1">
      <alignment vertical="center"/>
    </xf>
    <xf numFmtId="0" fontId="27" fillId="0" borderId="8" xfId="11" applyFont="1" applyBorder="1" applyAlignment="1">
      <alignment wrapText="1"/>
    </xf>
    <xf numFmtId="9" fontId="18" fillId="10" borderId="8" xfId="1" applyFont="1" applyFill="1" applyBorder="1" applyAlignment="1"/>
    <xf numFmtId="3" fontId="27" fillId="0" borderId="1" xfId="0" applyNumberFormat="1" applyFont="1" applyFill="1" applyBorder="1" applyAlignment="1" applyProtection="1">
      <alignment wrapText="1"/>
    </xf>
    <xf numFmtId="2" fontId="27" fillId="0" borderId="0" xfId="0" applyNumberFormat="1" applyFont="1" applyFill="1" applyBorder="1" applyAlignment="1" applyProtection="1">
      <alignment wrapText="1"/>
    </xf>
    <xf numFmtId="2" fontId="27" fillId="0" borderId="3" xfId="0" applyNumberFormat="1" applyFont="1" applyFill="1" applyBorder="1" applyProtection="1"/>
    <xf numFmtId="3" fontId="27" fillId="0" borderId="7" xfId="0" applyNumberFormat="1" applyFont="1" applyBorder="1" applyProtection="1"/>
    <xf numFmtId="2" fontId="27" fillId="0" borderId="4" xfId="0" applyNumberFormat="1" applyFont="1" applyFill="1" applyBorder="1" applyProtection="1"/>
    <xf numFmtId="3" fontId="27" fillId="0" borderId="4" xfId="0" applyNumberFormat="1" applyFont="1" applyBorder="1" applyProtection="1"/>
    <xf numFmtId="3" fontId="27" fillId="0" borderId="3" xfId="0" applyNumberFormat="1" applyFont="1" applyBorder="1" applyProtection="1"/>
    <xf numFmtId="0" fontId="27" fillId="0" borderId="1" xfId="11" applyFont="1" applyBorder="1" applyAlignment="1" applyProtection="1">
      <alignment wrapText="1"/>
    </xf>
    <xf numFmtId="0" fontId="27" fillId="0" borderId="0" xfId="11" applyFont="1" applyAlignment="1" applyProtection="1">
      <alignment wrapText="1"/>
    </xf>
    <xf numFmtId="3" fontId="90" fillId="0" borderId="7" xfId="11" applyNumberFormat="1" applyFont="1" applyFill="1" applyBorder="1" applyAlignment="1" applyProtection="1">
      <alignment vertical="top"/>
    </xf>
    <xf numFmtId="3" fontId="27" fillId="10" borderId="7" xfId="11" applyNumberFormat="1" applyFont="1" applyFill="1" applyBorder="1" applyAlignment="1" applyProtection="1">
      <alignment vertical="top"/>
    </xf>
    <xf numFmtId="3" fontId="90" fillId="0" borderId="4" xfId="11" applyNumberFormat="1" applyFont="1" applyFill="1" applyBorder="1" applyAlignment="1" applyProtection="1">
      <alignment vertical="top"/>
    </xf>
    <xf numFmtId="3" fontId="27" fillId="10" borderId="4" xfId="11" applyNumberFormat="1" applyFont="1" applyFill="1" applyBorder="1" applyAlignment="1" applyProtection="1">
      <alignment vertical="top"/>
    </xf>
    <xf numFmtId="3" fontId="90" fillId="0" borderId="6" xfId="11" applyNumberFormat="1" applyFont="1" applyFill="1" applyBorder="1" applyAlignment="1" applyProtection="1">
      <alignment vertical="top"/>
    </xf>
    <xf numFmtId="3" fontId="81" fillId="10" borderId="4" xfId="0" applyNumberFormat="1" applyFont="1" applyFill="1" applyBorder="1" applyAlignment="1" applyProtection="1">
      <alignment wrapText="1"/>
    </xf>
    <xf numFmtId="3" fontId="93" fillId="0" borderId="4" xfId="11" applyNumberFormat="1" applyFont="1" applyFill="1" applyBorder="1" applyAlignment="1" applyProtection="1">
      <alignment vertical="top"/>
    </xf>
    <xf numFmtId="3" fontId="81" fillId="0" borderId="4" xfId="0" applyNumberFormat="1" applyFont="1" applyBorder="1" applyAlignment="1" applyProtection="1">
      <alignment wrapText="1"/>
    </xf>
    <xf numFmtId="3" fontId="81" fillId="10" borderId="6" xfId="0" applyNumberFormat="1" applyFont="1" applyFill="1" applyBorder="1" applyAlignment="1" applyProtection="1">
      <alignment wrapText="1"/>
    </xf>
    <xf numFmtId="3" fontId="93" fillId="0" borderId="6" xfId="11" applyNumberFormat="1" applyFont="1" applyFill="1" applyBorder="1" applyAlignment="1" applyProtection="1">
      <alignment vertical="top"/>
    </xf>
    <xf numFmtId="0" fontId="53" fillId="0" borderId="4" xfId="0" applyFont="1" applyFill="1" applyBorder="1" applyAlignment="1" applyProtection="1">
      <alignment vertical="center"/>
    </xf>
    <xf numFmtId="0" fontId="94" fillId="0" borderId="4" xfId="0" applyFont="1" applyFill="1" applyBorder="1" applyAlignment="1" applyProtection="1">
      <alignment vertical="center" wrapText="1"/>
    </xf>
    <xf numFmtId="3" fontId="53" fillId="0" borderId="4" xfId="0" applyNumberFormat="1" applyFont="1" applyFill="1" applyBorder="1" applyAlignment="1" applyProtection="1">
      <alignment vertical="center"/>
    </xf>
    <xf numFmtId="0" fontId="53" fillId="0" borderId="0" xfId="0" applyFont="1" applyFill="1" applyBorder="1" applyAlignment="1" applyProtection="1">
      <alignment vertical="center"/>
    </xf>
    <xf numFmtId="0" fontId="94" fillId="0" borderId="0" xfId="0" applyFont="1" applyFill="1" applyBorder="1" applyAlignment="1" applyProtection="1">
      <alignment vertical="center" wrapText="1"/>
    </xf>
    <xf numFmtId="3" fontId="53" fillId="0" borderId="3" xfId="0" applyNumberFormat="1" applyFont="1" applyFill="1" applyBorder="1" applyAlignment="1" applyProtection="1">
      <alignment vertical="center"/>
    </xf>
    <xf numFmtId="0" fontId="53" fillId="0" borderId="8" xfId="0" applyFont="1" applyFill="1" applyBorder="1" applyAlignment="1" applyProtection="1">
      <alignment vertical="center"/>
    </xf>
    <xf numFmtId="0" fontId="94" fillId="0" borderId="8" xfId="0" applyFont="1" applyFill="1" applyBorder="1" applyAlignment="1" applyProtection="1">
      <alignment vertical="center" wrapText="1"/>
    </xf>
    <xf numFmtId="0" fontId="53" fillId="0" borderId="6" xfId="0" applyFont="1" applyFill="1" applyBorder="1" applyAlignment="1" applyProtection="1">
      <alignment vertical="center"/>
    </xf>
    <xf numFmtId="0" fontId="94" fillId="0" borderId="6" xfId="0" applyFont="1" applyFill="1" applyBorder="1" applyAlignment="1" applyProtection="1">
      <alignment vertical="center" wrapText="1"/>
    </xf>
    <xf numFmtId="3" fontId="53" fillId="0" borderId="6" xfId="0" applyNumberFormat="1" applyFont="1" applyFill="1" applyBorder="1" applyAlignment="1" applyProtection="1">
      <alignment vertical="center"/>
    </xf>
    <xf numFmtId="3" fontId="81" fillId="0" borderId="4" xfId="0" applyNumberFormat="1" applyFont="1" applyFill="1" applyBorder="1" applyAlignment="1" applyProtection="1">
      <alignment vertical="center" wrapText="1"/>
    </xf>
    <xf numFmtId="3" fontId="81" fillId="0" borderId="0" xfId="0" applyNumberFormat="1" applyFont="1" applyFill="1" applyBorder="1" applyAlignment="1" applyProtection="1">
      <alignment vertical="center" wrapText="1"/>
    </xf>
    <xf numFmtId="3" fontId="81" fillId="0" borderId="8" xfId="0" applyNumberFormat="1" applyFont="1" applyFill="1" applyBorder="1" applyAlignment="1" applyProtection="1">
      <alignment vertical="center" wrapText="1"/>
    </xf>
    <xf numFmtId="3" fontId="81" fillId="10" borderId="6" xfId="0" applyNumberFormat="1" applyFont="1" applyFill="1" applyBorder="1" applyAlignment="1" applyProtection="1">
      <alignment vertical="center" wrapText="1"/>
    </xf>
    <xf numFmtId="0" fontId="27" fillId="0" borderId="7" xfId="0" applyFont="1" applyFill="1" applyBorder="1" applyAlignment="1" applyProtection="1">
      <alignment vertical="center"/>
    </xf>
    <xf numFmtId="3" fontId="27" fillId="0" borderId="7" xfId="0" applyNumberFormat="1" applyFont="1" applyFill="1" applyBorder="1" applyAlignment="1" applyProtection="1">
      <alignment vertical="center"/>
    </xf>
    <xf numFmtId="0" fontId="27" fillId="0" borderId="4" xfId="0" applyFont="1" applyFill="1" applyBorder="1" applyAlignment="1" applyProtection="1">
      <alignment vertical="center"/>
    </xf>
    <xf numFmtId="3" fontId="27" fillId="0" borderId="4" xfId="0" applyNumberFormat="1" applyFont="1" applyFill="1" applyBorder="1" applyAlignment="1" applyProtection="1">
      <alignment vertical="center"/>
    </xf>
    <xf numFmtId="0" fontId="27" fillId="0" borderId="7" xfId="0" applyFont="1" applyFill="1" applyBorder="1" applyAlignment="1" applyProtection="1">
      <alignment vertical="center" wrapText="1"/>
    </xf>
    <xf numFmtId="3" fontId="27" fillId="0" borderId="7" xfId="0" applyNumberFormat="1" applyFont="1" applyFill="1" applyBorder="1" applyAlignment="1" applyProtection="1">
      <alignment vertical="center" wrapText="1"/>
    </xf>
    <xf numFmtId="0" fontId="27" fillId="0" borderId="4" xfId="0" applyFont="1" applyFill="1" applyBorder="1" applyAlignment="1" applyProtection="1">
      <alignment vertical="center" wrapText="1"/>
    </xf>
    <xf numFmtId="3" fontId="27" fillId="0" borderId="4" xfId="0" applyNumberFormat="1" applyFont="1" applyFill="1" applyBorder="1" applyAlignment="1" applyProtection="1">
      <alignment vertical="center" wrapText="1"/>
    </xf>
    <xf numFmtId="0" fontId="27" fillId="0" borderId="6" xfId="0" applyFont="1" applyFill="1" applyBorder="1" applyAlignment="1" applyProtection="1">
      <alignment vertical="center"/>
    </xf>
    <xf numFmtId="0" fontId="27" fillId="0" borderId="6" xfId="0" applyFont="1" applyFill="1" applyBorder="1" applyAlignment="1" applyProtection="1">
      <alignment vertical="center" wrapText="1"/>
    </xf>
    <xf numFmtId="3" fontId="27" fillId="0" borderId="6" xfId="0" applyNumberFormat="1" applyFont="1" applyFill="1" applyBorder="1" applyAlignment="1" applyProtection="1">
      <alignment vertical="center" wrapText="1"/>
    </xf>
    <xf numFmtId="3" fontId="27" fillId="0" borderId="6" xfId="0" applyNumberFormat="1" applyFont="1" applyFill="1" applyBorder="1" applyAlignment="1" applyProtection="1">
      <alignment vertical="center"/>
    </xf>
    <xf numFmtId="0" fontId="53" fillId="0" borderId="3" xfId="0" applyFont="1" applyFill="1" applyBorder="1" applyAlignment="1" applyProtection="1">
      <alignment vertical="center"/>
    </xf>
    <xf numFmtId="0" fontId="94" fillId="0" borderId="3" xfId="0" applyFont="1" applyFill="1" applyBorder="1" applyAlignment="1" applyProtection="1">
      <alignment vertical="center" wrapText="1"/>
    </xf>
    <xf numFmtId="3" fontId="81" fillId="0" borderId="3" xfId="0" applyNumberFormat="1" applyFont="1" applyFill="1" applyBorder="1" applyAlignment="1" applyProtection="1">
      <alignment vertical="center" wrapText="1"/>
    </xf>
    <xf numFmtId="0" fontId="27" fillId="0" borderId="2" xfId="0" applyFont="1" applyFill="1" applyBorder="1" applyAlignment="1" applyProtection="1">
      <alignment vertical="center"/>
    </xf>
    <xf numFmtId="0" fontId="27" fillId="0" borderId="2" xfId="0" applyFont="1" applyFill="1" applyBorder="1" applyAlignment="1" applyProtection="1">
      <alignment vertical="center" wrapText="1"/>
    </xf>
    <xf numFmtId="3" fontId="27" fillId="0" borderId="2" xfId="0" applyNumberFormat="1" applyFont="1" applyFill="1" applyBorder="1" applyAlignment="1" applyProtection="1">
      <alignment vertical="center" wrapText="1"/>
    </xf>
    <xf numFmtId="3" fontId="27" fillId="0" borderId="2" xfId="0" applyNumberFormat="1" applyFont="1" applyFill="1" applyBorder="1" applyAlignment="1" applyProtection="1">
      <alignment vertical="center"/>
    </xf>
    <xf numFmtId="2" fontId="27" fillId="0" borderId="6" xfId="0" applyNumberFormat="1" applyFont="1" applyFill="1" applyBorder="1" applyProtection="1"/>
    <xf numFmtId="3" fontId="27" fillId="0" borderId="6" xfId="0" applyNumberFormat="1" applyFont="1" applyBorder="1" applyProtection="1"/>
    <xf numFmtId="3" fontId="62" fillId="10" borderId="6" xfId="0" applyNumberFormat="1" applyFont="1" applyFill="1" applyBorder="1" applyAlignment="1" applyProtection="1">
      <alignment wrapText="1"/>
    </xf>
    <xf numFmtId="3" fontId="27" fillId="10" borderId="6" xfId="11" applyNumberFormat="1" applyFont="1" applyFill="1" applyBorder="1" applyAlignment="1" applyProtection="1">
      <alignment vertical="top"/>
    </xf>
    <xf numFmtId="2" fontId="81" fillId="0" borderId="3" xfId="0" applyNumberFormat="1" applyFont="1" applyFill="1" applyBorder="1" applyProtection="1"/>
    <xf numFmtId="3" fontId="81" fillId="0" borderId="3" xfId="0" applyNumberFormat="1" applyFont="1" applyBorder="1" applyProtection="1"/>
    <xf numFmtId="3" fontId="81" fillId="10" borderId="3" xfId="0" applyNumberFormat="1" applyFont="1" applyFill="1" applyBorder="1" applyAlignment="1" applyProtection="1">
      <alignment wrapText="1"/>
    </xf>
    <xf numFmtId="3" fontId="93" fillId="0" borderId="3" xfId="11" applyNumberFormat="1" applyFont="1" applyFill="1" applyBorder="1" applyAlignment="1" applyProtection="1">
      <alignment vertical="top"/>
    </xf>
    <xf numFmtId="2" fontId="27" fillId="0" borderId="2" xfId="0" applyNumberFormat="1" applyFont="1" applyFill="1" applyBorder="1" applyProtection="1"/>
    <xf numFmtId="3" fontId="27" fillId="0" borderId="2" xfId="0" applyNumberFormat="1" applyFont="1" applyBorder="1" applyProtection="1"/>
    <xf numFmtId="3" fontId="90" fillId="0" borderId="2" xfId="11" applyNumberFormat="1" applyFont="1" applyFill="1" applyBorder="1" applyAlignment="1" applyProtection="1">
      <alignment vertical="top"/>
    </xf>
    <xf numFmtId="0" fontId="19" fillId="0" borderId="3" xfId="0" applyFont="1" applyFill="1" applyBorder="1" applyAlignment="1" applyProtection="1">
      <alignment horizontal="left" vertical="center" wrapText="1"/>
    </xf>
    <xf numFmtId="0" fontId="27" fillId="0" borderId="6" xfId="0" applyFont="1" applyFill="1" applyBorder="1" applyAlignment="1" applyProtection="1">
      <alignment horizontal="left" vertical="center"/>
    </xf>
    <xf numFmtId="0" fontId="27" fillId="0" borderId="6" xfId="0" applyFont="1" applyBorder="1" applyAlignment="1" applyProtection="1">
      <alignment vertical="center"/>
    </xf>
    <xf numFmtId="0" fontId="90" fillId="0" borderId="6" xfId="11" applyFont="1" applyBorder="1" applyAlignment="1">
      <alignment wrapText="1"/>
    </xf>
    <xf numFmtId="9" fontId="90" fillId="0" borderId="6" xfId="1" applyFont="1" applyFill="1" applyBorder="1" applyAlignment="1"/>
    <xf numFmtId="0" fontId="81" fillId="0" borderId="3" xfId="0" applyFont="1" applyFill="1" applyBorder="1" applyAlignment="1" applyProtection="1">
      <alignment horizontal="left" vertical="center" wrapText="1"/>
    </xf>
    <xf numFmtId="0" fontId="81" fillId="0" borderId="3" xfId="0" applyFont="1" applyBorder="1" applyAlignment="1" applyProtection="1">
      <alignment vertical="center"/>
    </xf>
    <xf numFmtId="0" fontId="92" fillId="0" borderId="0" xfId="11" applyFont="1" applyBorder="1" applyAlignment="1">
      <alignment wrapText="1"/>
    </xf>
    <xf numFmtId="9" fontId="92" fillId="0" borderId="0" xfId="1" applyFont="1" applyFill="1" applyBorder="1" applyAlignment="1"/>
    <xf numFmtId="0" fontId="19" fillId="0" borderId="2" xfId="0" applyFont="1" applyFill="1" applyBorder="1" applyAlignment="1" applyProtection="1">
      <alignment horizontal="left" vertical="center"/>
    </xf>
    <xf numFmtId="0" fontId="19" fillId="0" borderId="2" xfId="0" applyFont="1" applyBorder="1" applyAlignment="1" applyProtection="1">
      <alignment vertical="center"/>
    </xf>
    <xf numFmtId="0" fontId="44" fillId="0" borderId="2" xfId="11" applyFont="1" applyBorder="1" applyAlignment="1">
      <alignment wrapText="1"/>
    </xf>
    <xf numFmtId="9" fontId="44" fillId="0" borderId="2" xfId="1" applyFont="1" applyFill="1" applyBorder="1" applyAlignment="1"/>
    <xf numFmtId="0" fontId="19" fillId="0" borderId="2" xfId="0" applyFont="1" applyFill="1" applyBorder="1" applyAlignment="1" applyProtection="1">
      <alignment horizontal="left" vertical="center" wrapText="1"/>
    </xf>
    <xf numFmtId="0" fontId="95" fillId="0" borderId="0" xfId="11" applyFont="1" applyAlignment="1">
      <alignment vertical="center"/>
    </xf>
    <xf numFmtId="0" fontId="96" fillId="0" borderId="0" xfId="0" applyFont="1" applyAlignment="1" applyProtection="1">
      <alignment horizontal="right"/>
    </xf>
    <xf numFmtId="14" fontId="96" fillId="0" borderId="0" xfId="0" applyNumberFormat="1" applyFont="1" applyFill="1" applyAlignment="1" applyProtection="1">
      <alignment horizontal="right"/>
    </xf>
    <xf numFmtId="0" fontId="21" fillId="0" borderId="4" xfId="0" applyFont="1" applyFill="1" applyBorder="1" applyAlignment="1" applyProtection="1"/>
    <xf numFmtId="14" fontId="21" fillId="0" borderId="4" xfId="0" applyNumberFormat="1" applyFont="1" applyFill="1" applyBorder="1" applyAlignment="1" applyProtection="1">
      <alignment horizontal="left"/>
    </xf>
    <xf numFmtId="0" fontId="97" fillId="0" borderId="0" xfId="0" applyFont="1" applyBorder="1" applyAlignment="1" applyProtection="1">
      <alignment horizontal="left"/>
    </xf>
    <xf numFmtId="2" fontId="97" fillId="0" borderId="0" xfId="0" applyNumberFormat="1" applyFont="1" applyFill="1" applyBorder="1" applyProtection="1"/>
    <xf numFmtId="0" fontId="97" fillId="0" borderId="1" xfId="11" applyFont="1" applyBorder="1" applyAlignment="1" applyProtection="1">
      <alignment horizontal="left"/>
    </xf>
    <xf numFmtId="0" fontId="97" fillId="0" borderId="1" xfId="11" applyFont="1" applyBorder="1" applyAlignment="1" applyProtection="1"/>
    <xf numFmtId="0" fontId="97" fillId="0" borderId="1" xfId="11" applyFont="1" applyBorder="1" applyAlignment="1" applyProtection="1">
      <alignment wrapText="1"/>
    </xf>
    <xf numFmtId="49" fontId="98" fillId="5" borderId="10" xfId="0" applyNumberFormat="1" applyFont="1" applyFill="1" applyBorder="1" applyAlignment="1">
      <alignment horizontal="left" vertical="center"/>
    </xf>
    <xf numFmtId="0" fontId="98" fillId="0" borderId="10" xfId="0" applyNumberFormat="1" applyFont="1" applyFill="1" applyBorder="1" applyAlignment="1" applyProtection="1">
      <alignment vertical="center"/>
    </xf>
    <xf numFmtId="3" fontId="99" fillId="0" borderId="10" xfId="11" applyNumberFormat="1" applyFont="1" applyFill="1" applyBorder="1" applyAlignment="1" applyProtection="1">
      <alignment horizontal="right" vertical="center"/>
    </xf>
    <xf numFmtId="3" fontId="100" fillId="0" borderId="12" xfId="11" applyNumberFormat="1" applyFont="1" applyFill="1" applyBorder="1" applyAlignment="1" applyProtection="1">
      <alignment vertical="center"/>
    </xf>
    <xf numFmtId="49" fontId="97" fillId="0" borderId="21" xfId="11" applyNumberFormat="1" applyFont="1" applyFill="1" applyBorder="1" applyAlignment="1" applyProtection="1">
      <alignment horizontal="left" vertical="center"/>
    </xf>
    <xf numFmtId="49" fontId="97" fillId="0" borderId="17" xfId="11" applyNumberFormat="1" applyFont="1" applyFill="1" applyBorder="1" applyAlignment="1" applyProtection="1">
      <alignment horizontal="left" vertical="center"/>
    </xf>
    <xf numFmtId="3" fontId="97" fillId="0" borderId="11" xfId="11" applyNumberFormat="1" applyFont="1" applyFill="1" applyBorder="1" applyAlignment="1" applyProtection="1">
      <alignment vertical="center"/>
    </xf>
    <xf numFmtId="49" fontId="97" fillId="0" borderId="1" xfId="11" applyNumberFormat="1" applyFont="1" applyFill="1" applyBorder="1" applyAlignment="1" applyProtection="1">
      <alignment horizontal="left" vertical="center"/>
    </xf>
    <xf numFmtId="3" fontId="97" fillId="0" borderId="6" xfId="11" applyNumberFormat="1" applyFont="1" applyFill="1" applyBorder="1" applyAlignment="1" applyProtection="1">
      <alignment vertical="center"/>
    </xf>
    <xf numFmtId="49" fontId="98" fillId="3" borderId="10" xfId="0" applyNumberFormat="1" applyFont="1" applyFill="1" applyBorder="1" applyAlignment="1">
      <alignment horizontal="left" vertical="center"/>
    </xf>
    <xf numFmtId="49" fontId="100" fillId="0" borderId="12" xfId="0" applyNumberFormat="1" applyFont="1" applyBorder="1" applyAlignment="1">
      <alignment horizontal="left" vertical="center"/>
    </xf>
    <xf numFmtId="0" fontId="100" fillId="0" borderId="12" xfId="0" applyNumberFormat="1" applyFont="1" applyFill="1" applyBorder="1" applyAlignment="1" applyProtection="1">
      <alignment vertical="center"/>
    </xf>
    <xf numFmtId="0" fontId="98" fillId="6" borderId="10" xfId="0" applyNumberFormat="1" applyFont="1" applyFill="1" applyBorder="1" applyAlignment="1" applyProtection="1">
      <alignment horizontal="left" vertical="center"/>
    </xf>
    <xf numFmtId="3" fontId="99" fillId="0" borderId="10" xfId="11" applyNumberFormat="1" applyFont="1" applyFill="1" applyBorder="1" applyAlignment="1" applyProtection="1">
      <alignment vertical="center"/>
    </xf>
    <xf numFmtId="49" fontId="100" fillId="0" borderId="0" xfId="0" applyNumberFormat="1" applyFont="1" applyBorder="1" applyAlignment="1">
      <alignment horizontal="left" vertical="center"/>
    </xf>
    <xf numFmtId="3" fontId="100" fillId="0" borderId="16" xfId="11" applyNumberFormat="1" applyFont="1" applyFill="1" applyBorder="1" applyAlignment="1" applyProtection="1">
      <alignment vertical="center"/>
    </xf>
    <xf numFmtId="3" fontId="100" fillId="0" borderId="3" xfId="11" applyNumberFormat="1" applyFont="1" applyFill="1" applyBorder="1" applyAlignment="1" applyProtection="1">
      <alignment vertical="center"/>
    </xf>
    <xf numFmtId="49" fontId="97" fillId="0" borderId="0" xfId="11" applyNumberFormat="1" applyFont="1" applyFill="1" applyBorder="1" applyAlignment="1" applyProtection="1">
      <alignment horizontal="left" vertical="center"/>
    </xf>
    <xf numFmtId="49" fontId="100" fillId="0" borderId="12" xfId="11" applyNumberFormat="1" applyFont="1" applyBorder="1" applyAlignment="1">
      <alignment horizontal="left" vertical="center"/>
    </xf>
    <xf numFmtId="0" fontId="100" fillId="0" borderId="12" xfId="11" applyFont="1" applyFill="1" applyBorder="1" applyAlignment="1" applyProtection="1">
      <alignment vertical="center"/>
    </xf>
    <xf numFmtId="49" fontId="98" fillId="4" borderId="10" xfId="0" applyNumberFormat="1" applyFont="1" applyFill="1" applyBorder="1" applyAlignment="1">
      <alignment horizontal="left" vertical="center"/>
    </xf>
    <xf numFmtId="49" fontId="100" fillId="0" borderId="12" xfId="11" applyNumberFormat="1" applyFont="1" applyFill="1" applyBorder="1" applyAlignment="1" applyProtection="1">
      <alignment horizontal="left" vertical="center"/>
    </xf>
    <xf numFmtId="0" fontId="98" fillId="7" borderId="10" xfId="0" applyNumberFormat="1" applyFont="1" applyFill="1" applyBorder="1" applyAlignment="1" applyProtection="1">
      <alignment horizontal="left" vertical="center"/>
    </xf>
    <xf numFmtId="49" fontId="97" fillId="0" borderId="11" xfId="11" applyNumberFormat="1" applyFont="1" applyFill="1" applyBorder="1" applyAlignment="1" applyProtection="1">
      <alignment horizontal="left" vertical="center"/>
    </xf>
    <xf numFmtId="0" fontId="98" fillId="8" borderId="10" xfId="0" applyNumberFormat="1" applyFont="1" applyFill="1" applyBorder="1" applyAlignment="1" applyProtection="1">
      <alignment horizontal="left" vertical="center"/>
    </xf>
    <xf numFmtId="0" fontId="100" fillId="0" borderId="12" xfId="11" applyFont="1" applyFill="1" applyBorder="1" applyAlignment="1">
      <alignment horizontal="left" vertical="center"/>
    </xf>
    <xf numFmtId="0" fontId="98" fillId="9" borderId="10" xfId="0" applyNumberFormat="1" applyFont="1" applyFill="1" applyBorder="1" applyAlignment="1" applyProtection="1">
      <alignment horizontal="left" vertical="center"/>
    </xf>
    <xf numFmtId="0" fontId="97" fillId="0" borderId="0" xfId="11" applyFont="1" applyFill="1" applyBorder="1" applyAlignment="1" applyProtection="1">
      <alignment horizontal="left" vertical="top"/>
    </xf>
    <xf numFmtId="0" fontId="97" fillId="0" borderId="0" xfId="11" applyFont="1" applyFill="1" applyBorder="1" applyAlignment="1" applyProtection="1">
      <alignment vertical="top"/>
    </xf>
    <xf numFmtId="3" fontId="97" fillId="0" borderId="1" xfId="0" applyNumberFormat="1" applyFont="1" applyFill="1" applyBorder="1" applyProtection="1"/>
    <xf numFmtId="0" fontId="97" fillId="0" borderId="2" xfId="11" applyFont="1" applyFill="1" applyBorder="1" applyAlignment="1" applyProtection="1">
      <alignment horizontal="left" vertical="top"/>
    </xf>
    <xf numFmtId="0" fontId="97" fillId="0" borderId="2" xfId="11" applyFont="1" applyFill="1" applyBorder="1" applyAlignment="1" applyProtection="1">
      <alignment vertical="top"/>
    </xf>
    <xf numFmtId="170" fontId="99" fillId="0" borderId="2" xfId="2" applyNumberFormat="1" applyFont="1" applyFill="1" applyBorder="1" applyAlignment="1" applyProtection="1">
      <alignment horizontal="right" vertical="top"/>
    </xf>
    <xf numFmtId="0" fontId="97" fillId="0" borderId="0" xfId="11" applyFont="1" applyAlignment="1" applyProtection="1">
      <alignment horizontal="left" vertical="top"/>
    </xf>
    <xf numFmtId="0" fontId="97" fillId="0" borderId="0" xfId="11" applyFont="1" applyFill="1" applyAlignment="1" applyProtection="1">
      <alignment vertical="top"/>
    </xf>
    <xf numFmtId="10" fontId="97" fillId="0" borderId="0" xfId="1" applyNumberFormat="1" applyFont="1" applyFill="1" applyAlignment="1">
      <alignment vertical="top"/>
    </xf>
    <xf numFmtId="0" fontId="19" fillId="0" borderId="0" xfId="0" applyFont="1" applyAlignment="1" applyProtection="1">
      <alignment wrapText="1"/>
    </xf>
    <xf numFmtId="0" fontId="20" fillId="0" borderId="0" xfId="0" applyFont="1" applyAlignment="1" applyProtection="1">
      <alignment wrapText="1"/>
    </xf>
    <xf numFmtId="0" fontId="67" fillId="0" borderId="0" xfId="7" applyAlignment="1">
      <alignment horizontal="left" wrapText="1"/>
    </xf>
    <xf numFmtId="49" fontId="19" fillId="0" borderId="0" xfId="0" applyNumberFormat="1" applyFont="1" applyAlignment="1" applyProtection="1">
      <alignment horizontal="left" vertical="top" wrapText="1"/>
    </xf>
    <xf numFmtId="0" fontId="21" fillId="0" borderId="4" xfId="0" applyFont="1" applyFill="1" applyBorder="1" applyAlignment="1" applyProtection="1">
      <alignment wrapText="1"/>
    </xf>
    <xf numFmtId="14" fontId="21" fillId="0" borderId="4" xfId="0" applyNumberFormat="1" applyFont="1" applyFill="1" applyBorder="1" applyAlignment="1" applyProtection="1">
      <alignment horizontal="left" wrapText="1"/>
    </xf>
    <xf numFmtId="0" fontId="98" fillId="0" borderId="10" xfId="0" applyNumberFormat="1" applyFont="1" applyFill="1" applyBorder="1" applyAlignment="1" applyProtection="1">
      <alignment vertical="center" wrapText="1"/>
    </xf>
    <xf numFmtId="0" fontId="97" fillId="0" borderId="11" xfId="11" applyFont="1" applyFill="1" applyBorder="1" applyAlignment="1" applyProtection="1">
      <alignment horizontal="left" vertical="center" wrapText="1"/>
    </xf>
    <xf numFmtId="0" fontId="100" fillId="0" borderId="3" xfId="11" applyFont="1" applyFill="1" applyBorder="1" applyAlignment="1" applyProtection="1">
      <alignment horizontal="left" vertical="center" wrapText="1"/>
    </xf>
    <xf numFmtId="0" fontId="101" fillId="0" borderId="3" xfId="0" applyNumberFormat="1" applyFont="1" applyFill="1" applyBorder="1" applyAlignment="1" applyProtection="1">
      <alignment horizontal="left" vertical="center" wrapText="1"/>
    </xf>
    <xf numFmtId="0" fontId="97" fillId="0" borderId="0" xfId="11" applyFont="1" applyFill="1" applyBorder="1" applyAlignment="1" applyProtection="1">
      <alignment horizontal="left" vertical="center" wrapText="1"/>
    </xf>
    <xf numFmtId="0" fontId="97" fillId="0" borderId="0" xfId="11" applyFont="1" applyFill="1" applyBorder="1" applyAlignment="1" applyProtection="1">
      <alignment vertical="top" wrapText="1"/>
    </xf>
    <xf numFmtId="0" fontId="97" fillId="0" borderId="2" xfId="11" applyFont="1" applyFill="1" applyBorder="1" applyAlignment="1" applyProtection="1">
      <alignment vertical="top" wrapText="1"/>
    </xf>
    <xf numFmtId="0" fontId="97" fillId="0" borderId="0" xfId="11" applyFont="1" applyFill="1" applyAlignment="1" applyProtection="1">
      <alignment vertical="top" wrapText="1"/>
    </xf>
    <xf numFmtId="0" fontId="19" fillId="0" borderId="0" xfId="11" applyFont="1" applyFill="1" applyAlignment="1" applyProtection="1">
      <alignment vertical="top" wrapText="1"/>
    </xf>
    <xf numFmtId="0" fontId="14" fillId="0" borderId="0" xfId="11" applyFont="1" applyAlignment="1">
      <alignment wrapText="1"/>
    </xf>
    <xf numFmtId="0" fontId="20" fillId="0" borderId="0" xfId="0" applyFont="1" applyBorder="1" applyAlignment="1" applyProtection="1">
      <alignment horizontal="left"/>
    </xf>
    <xf numFmtId="2" fontId="20" fillId="0" borderId="0" xfId="0" applyNumberFormat="1" applyFont="1" applyFill="1" applyBorder="1" applyAlignment="1" applyProtection="1">
      <alignment wrapText="1"/>
    </xf>
    <xf numFmtId="2" fontId="102" fillId="0" borderId="0" xfId="0" applyNumberFormat="1" applyFont="1" applyFill="1" applyBorder="1" applyProtection="1"/>
    <xf numFmtId="170" fontId="103" fillId="0" borderId="2" xfId="2" applyNumberFormat="1" applyFont="1" applyFill="1" applyBorder="1" applyAlignment="1" applyProtection="1">
      <alignment horizontal="right" vertical="top"/>
    </xf>
    <xf numFmtId="170" fontId="104" fillId="0" borderId="2" xfId="2" applyNumberFormat="1" applyFont="1" applyFill="1" applyBorder="1" applyAlignment="1" applyProtection="1">
      <alignment horizontal="right" vertical="top"/>
    </xf>
    <xf numFmtId="0" fontId="105" fillId="0" borderId="1" xfId="11" applyFont="1" applyBorder="1"/>
    <xf numFmtId="0" fontId="98" fillId="0" borderId="3" xfId="0" applyNumberFormat="1" applyFont="1" applyFill="1" applyBorder="1" applyAlignment="1" applyProtection="1">
      <alignment vertical="center"/>
    </xf>
    <xf numFmtId="168" fontId="99" fillId="0" borderId="3" xfId="1" applyNumberFormat="1" applyFont="1" applyFill="1" applyBorder="1" applyAlignment="1" applyProtection="1">
      <alignment horizontal="right" vertical="center"/>
    </xf>
    <xf numFmtId="3" fontId="99" fillId="0" borderId="3" xfId="0" applyNumberFormat="1" applyFont="1" applyFill="1" applyBorder="1" applyAlignment="1" applyProtection="1">
      <alignment vertical="center"/>
    </xf>
    <xf numFmtId="3" fontId="99" fillId="0" borderId="3" xfId="11" applyNumberFormat="1" applyFont="1" applyFill="1" applyBorder="1" applyAlignment="1" applyProtection="1">
      <alignment horizontal="right" vertical="center"/>
    </xf>
    <xf numFmtId="49" fontId="98" fillId="3" borderId="3" xfId="0" applyNumberFormat="1" applyFont="1" applyFill="1" applyBorder="1" applyAlignment="1">
      <alignment horizontal="left" vertical="center"/>
    </xf>
    <xf numFmtId="168" fontId="99" fillId="0" borderId="10" xfId="1" applyNumberFormat="1" applyFont="1" applyFill="1" applyBorder="1" applyAlignment="1" applyProtection="1">
      <alignment horizontal="right" vertical="center"/>
    </xf>
    <xf numFmtId="1" fontId="99" fillId="0" borderId="10" xfId="11" applyNumberFormat="1" applyFont="1" applyFill="1" applyBorder="1" applyAlignment="1" applyProtection="1">
      <alignment vertical="center"/>
    </xf>
    <xf numFmtId="168" fontId="100" fillId="0" borderId="12" xfId="1" applyNumberFormat="1" applyFont="1" applyFill="1" applyBorder="1" applyAlignment="1" applyProtection="1">
      <alignment horizontal="right" vertical="center"/>
    </xf>
    <xf numFmtId="1" fontId="100" fillId="0" borderId="12" xfId="1" applyNumberFormat="1" applyFont="1" applyFill="1" applyBorder="1" applyAlignment="1" applyProtection="1">
      <alignment horizontal="right" vertical="center"/>
    </xf>
    <xf numFmtId="1" fontId="107" fillId="0" borderId="12" xfId="1" applyNumberFormat="1" applyFont="1" applyFill="1" applyBorder="1" applyAlignment="1" applyProtection="1">
      <alignment horizontal="right" vertical="center"/>
    </xf>
    <xf numFmtId="3" fontId="99" fillId="0" borderId="10" xfId="0" applyNumberFormat="1" applyFont="1" applyFill="1" applyBorder="1" applyAlignment="1" applyProtection="1">
      <alignment vertical="center"/>
    </xf>
    <xf numFmtId="3" fontId="108" fillId="0" borderId="10" xfId="11" applyNumberFormat="1" applyFont="1" applyFill="1" applyBorder="1" applyAlignment="1" applyProtection="1">
      <alignment horizontal="right" vertical="center"/>
    </xf>
    <xf numFmtId="168" fontId="100" fillId="0" borderId="12" xfId="1" applyNumberFormat="1" applyFont="1" applyFill="1" applyBorder="1" applyAlignment="1" applyProtection="1">
      <alignment vertical="center"/>
    </xf>
    <xf numFmtId="3" fontId="100" fillId="0" borderId="12" xfId="0" applyNumberFormat="1" applyFont="1" applyFill="1" applyBorder="1" applyAlignment="1" applyProtection="1">
      <alignment vertical="center"/>
    </xf>
    <xf numFmtId="3" fontId="107" fillId="0" borderId="12" xfId="11" applyNumberFormat="1" applyFont="1" applyFill="1" applyBorder="1" applyAlignment="1" applyProtection="1">
      <alignment vertical="center"/>
    </xf>
    <xf numFmtId="49" fontId="100" fillId="0" borderId="1" xfId="11" applyNumberFormat="1" applyFont="1" applyFill="1" applyBorder="1" applyAlignment="1" applyProtection="1">
      <alignment horizontal="left" vertical="center"/>
    </xf>
    <xf numFmtId="3" fontId="100" fillId="0" borderId="1" xfId="11" applyNumberFormat="1" applyFont="1" applyFill="1" applyBorder="1" applyAlignment="1" applyProtection="1">
      <alignment vertical="center"/>
    </xf>
    <xf numFmtId="168" fontId="100" fillId="0" borderId="1" xfId="1" applyNumberFormat="1" applyFont="1" applyFill="1" applyBorder="1" applyAlignment="1" applyProtection="1">
      <alignment vertical="center"/>
    </xf>
    <xf numFmtId="3" fontId="100" fillId="0" borderId="1" xfId="0" applyNumberFormat="1" applyFont="1" applyFill="1" applyBorder="1" applyAlignment="1" applyProtection="1">
      <alignment vertical="center"/>
    </xf>
    <xf numFmtId="3" fontId="107" fillId="0" borderId="1" xfId="11" applyNumberFormat="1" applyFont="1" applyFill="1" applyBorder="1" applyAlignment="1" applyProtection="1">
      <alignment vertical="center"/>
    </xf>
    <xf numFmtId="0" fontId="98" fillId="8" borderId="17" xfId="0" applyNumberFormat="1" applyFont="1" applyFill="1" applyBorder="1" applyAlignment="1" applyProtection="1">
      <alignment horizontal="left" vertical="center"/>
    </xf>
    <xf numFmtId="0" fontId="98" fillId="0" borderId="17" xfId="0" applyNumberFormat="1" applyFont="1" applyFill="1" applyBorder="1" applyAlignment="1" applyProtection="1">
      <alignment vertical="center"/>
    </xf>
    <xf numFmtId="168" fontId="99" fillId="0" borderId="17" xfId="1" applyNumberFormat="1" applyFont="1" applyFill="1" applyBorder="1" applyAlignment="1" applyProtection="1">
      <alignment horizontal="right" vertical="center"/>
    </xf>
    <xf numFmtId="3" fontId="99" fillId="0" borderId="17" xfId="0" applyNumberFormat="1" applyFont="1" applyFill="1" applyBorder="1" applyAlignment="1" applyProtection="1">
      <alignment vertical="center"/>
    </xf>
    <xf numFmtId="3" fontId="108" fillId="0" borderId="17" xfId="11" applyNumberFormat="1" applyFont="1" applyFill="1" applyBorder="1" applyAlignment="1" applyProtection="1">
      <alignment horizontal="right" vertical="center"/>
    </xf>
    <xf numFmtId="3" fontId="99" fillId="0" borderId="17" xfId="11" applyNumberFormat="1" applyFont="1" applyFill="1" applyBorder="1" applyAlignment="1" applyProtection="1">
      <alignment horizontal="right" vertical="center"/>
    </xf>
    <xf numFmtId="3" fontId="109" fillId="0" borderId="12" xfId="11" applyNumberFormat="1" applyFont="1" applyFill="1" applyBorder="1" applyAlignment="1" applyProtection="1">
      <alignment horizontal="right" vertical="center"/>
    </xf>
    <xf numFmtId="0" fontId="100" fillId="0" borderId="1" xfId="11" applyFont="1" applyFill="1" applyBorder="1" applyAlignment="1">
      <alignment horizontal="left" vertical="center"/>
    </xf>
    <xf numFmtId="168" fontId="110" fillId="0" borderId="0" xfId="1" applyNumberFormat="1" applyFont="1" applyFill="1" applyBorder="1" applyAlignment="1" applyProtection="1">
      <alignment vertical="top"/>
    </xf>
    <xf numFmtId="3" fontId="97" fillId="0" borderId="1" xfId="11" applyNumberFormat="1" applyFont="1" applyFill="1" applyBorder="1" applyAlignment="1" applyProtection="1">
      <alignment vertical="top"/>
    </xf>
    <xf numFmtId="168" fontId="97" fillId="0" borderId="2" xfId="1" applyNumberFormat="1" applyFont="1" applyFill="1" applyBorder="1" applyAlignment="1" applyProtection="1">
      <alignment vertical="top"/>
    </xf>
    <xf numFmtId="1" fontId="97" fillId="0" borderId="2" xfId="1" applyNumberFormat="1" applyFont="1" applyFill="1" applyBorder="1" applyAlignment="1" applyProtection="1">
      <alignment vertical="top"/>
    </xf>
    <xf numFmtId="169" fontId="97" fillId="0" borderId="2" xfId="1" applyNumberFormat="1" applyFont="1" applyFill="1" applyBorder="1" applyAlignment="1" applyProtection="1">
      <alignment vertical="top"/>
    </xf>
    <xf numFmtId="0" fontId="105" fillId="0" borderId="0" xfId="11" applyFont="1" applyFill="1" applyAlignment="1">
      <alignment vertical="top"/>
    </xf>
    <xf numFmtId="9" fontId="97" fillId="0" borderId="0" xfId="1" applyFont="1" applyFill="1" applyAlignment="1" applyProtection="1">
      <alignment horizontal="right" vertical="top"/>
    </xf>
    <xf numFmtId="10" fontId="97" fillId="0" borderId="0" xfId="1" applyNumberFormat="1" applyFont="1" applyFill="1" applyBorder="1" applyAlignment="1" applyProtection="1">
      <alignment vertical="top"/>
    </xf>
    <xf numFmtId="0" fontId="99" fillId="0" borderId="2" xfId="0" applyFont="1" applyBorder="1" applyAlignment="1" applyProtection="1">
      <alignment vertical="center"/>
    </xf>
    <xf numFmtId="0" fontId="97" fillId="0" borderId="2" xfId="0" applyFont="1" applyBorder="1" applyAlignment="1" applyProtection="1">
      <alignment vertical="center"/>
    </xf>
    <xf numFmtId="49" fontId="106" fillId="0" borderId="16" xfId="0" applyNumberFormat="1" applyFont="1" applyBorder="1" applyAlignment="1">
      <alignment horizontal="left" vertical="center"/>
    </xf>
    <xf numFmtId="0" fontId="106" fillId="0" borderId="16" xfId="0" applyNumberFormat="1" applyFont="1" applyFill="1" applyBorder="1" applyAlignment="1" applyProtection="1">
      <alignment vertical="center"/>
    </xf>
    <xf numFmtId="10" fontId="97" fillId="0" borderId="0" xfId="1" applyNumberFormat="1" applyFont="1" applyProtection="1"/>
    <xf numFmtId="49" fontId="106" fillId="0" borderId="16" xfId="11" applyNumberFormat="1" applyFont="1" applyBorder="1" applyAlignment="1">
      <alignment horizontal="left" vertical="center"/>
    </xf>
    <xf numFmtId="0" fontId="106" fillId="0" borderId="16" xfId="11" applyFont="1" applyFill="1" applyBorder="1" applyAlignment="1" applyProtection="1">
      <alignment vertical="center"/>
    </xf>
    <xf numFmtId="49" fontId="106" fillId="0" borderId="12" xfId="11" applyNumberFormat="1" applyFont="1" applyBorder="1" applyAlignment="1">
      <alignment horizontal="left" vertical="center"/>
    </xf>
    <xf numFmtId="0" fontId="106" fillId="0" borderId="12" xfId="11" applyFont="1" applyFill="1" applyBorder="1" applyAlignment="1" applyProtection="1">
      <alignment vertical="center"/>
    </xf>
    <xf numFmtId="49" fontId="106" fillId="0" borderId="16" xfId="11" applyNumberFormat="1" applyFont="1" applyFill="1" applyBorder="1" applyAlignment="1" applyProtection="1">
      <alignment horizontal="left" vertical="center"/>
    </xf>
    <xf numFmtId="3" fontId="106" fillId="0" borderId="16" xfId="11" applyNumberFormat="1" applyFont="1" applyFill="1" applyBorder="1" applyAlignment="1" applyProtection="1">
      <alignment vertical="center"/>
    </xf>
    <xf numFmtId="49" fontId="106" fillId="0" borderId="17" xfId="11" applyNumberFormat="1" applyFont="1" applyBorder="1" applyAlignment="1">
      <alignment horizontal="left" vertical="center"/>
    </xf>
    <xf numFmtId="0" fontId="106" fillId="0" borderId="0" xfId="11" applyFont="1" applyAlignment="1">
      <alignment vertical="center"/>
    </xf>
    <xf numFmtId="49" fontId="106" fillId="0" borderId="0" xfId="11" applyNumberFormat="1" applyFont="1" applyBorder="1" applyAlignment="1">
      <alignment horizontal="left" vertical="center"/>
    </xf>
    <xf numFmtId="0" fontId="99" fillId="0" borderId="0" xfId="11" applyFont="1" applyFill="1" applyBorder="1" applyAlignment="1" applyProtection="1">
      <alignment horizontal="right" vertical="center"/>
    </xf>
    <xf numFmtId="3" fontId="111" fillId="0" borderId="0" xfId="11" applyNumberFormat="1" applyFont="1" applyFill="1" applyBorder="1" applyAlignment="1" applyProtection="1">
      <alignment vertical="center"/>
    </xf>
    <xf numFmtId="0" fontId="97" fillId="0" borderId="0" xfId="0" applyFont="1" applyProtection="1"/>
    <xf numFmtId="10" fontId="97" fillId="0" borderId="0" xfId="1" applyNumberFormat="1" applyFont="1" applyAlignment="1" applyProtection="1">
      <alignment horizontal="right" vertical="center"/>
    </xf>
    <xf numFmtId="3" fontId="112" fillId="0" borderId="3" xfId="11" applyNumberFormat="1" applyFont="1" applyFill="1" applyBorder="1" applyAlignment="1" applyProtection="1">
      <alignment horizontal="right" vertical="center"/>
    </xf>
    <xf numFmtId="1" fontId="112" fillId="0" borderId="10" xfId="11" applyNumberFormat="1" applyFont="1" applyFill="1" applyBorder="1" applyAlignment="1" applyProtection="1">
      <alignment vertical="center"/>
    </xf>
    <xf numFmtId="1" fontId="114" fillId="0" borderId="12" xfId="1" applyNumberFormat="1" applyFont="1" applyFill="1" applyBorder="1" applyAlignment="1" applyProtection="1">
      <alignment horizontal="right" vertical="center"/>
    </xf>
    <xf numFmtId="3" fontId="112" fillId="0" borderId="10" xfId="11" applyNumberFormat="1" applyFont="1" applyFill="1" applyBorder="1" applyAlignment="1" applyProtection="1">
      <alignment horizontal="right" vertical="center"/>
    </xf>
    <xf numFmtId="3" fontId="114" fillId="0" borderId="12" xfId="11" applyNumberFormat="1" applyFont="1" applyFill="1" applyBorder="1" applyAlignment="1" applyProtection="1">
      <alignment vertical="center"/>
    </xf>
    <xf numFmtId="3" fontId="114" fillId="0" borderId="1" xfId="11" applyNumberFormat="1" applyFont="1" applyFill="1" applyBorder="1" applyAlignment="1" applyProtection="1">
      <alignment vertical="center"/>
    </xf>
    <xf numFmtId="3" fontId="112" fillId="0" borderId="17" xfId="11" applyNumberFormat="1" applyFont="1" applyFill="1" applyBorder="1" applyAlignment="1" applyProtection="1">
      <alignment horizontal="right" vertical="center"/>
    </xf>
    <xf numFmtId="3" fontId="115" fillId="0" borderId="1" xfId="11" applyNumberFormat="1" applyFont="1" applyFill="1" applyBorder="1" applyAlignment="1" applyProtection="1">
      <alignment vertical="top"/>
    </xf>
    <xf numFmtId="171" fontId="112" fillId="0" borderId="2" xfId="1" applyNumberFormat="1" applyFont="1" applyFill="1" applyBorder="1" applyAlignment="1" applyProtection="1">
      <alignment vertical="top"/>
    </xf>
    <xf numFmtId="3" fontId="113" fillId="12" borderId="12" xfId="11" applyNumberFormat="1" applyFont="1" applyFill="1" applyBorder="1" applyAlignment="1" applyProtection="1">
      <alignment vertical="center"/>
    </xf>
    <xf numFmtId="3" fontId="113" fillId="0" borderId="12" xfId="11" applyNumberFormat="1" applyFont="1" applyFill="1" applyBorder="1" applyAlignment="1" applyProtection="1">
      <alignment vertical="center"/>
    </xf>
    <xf numFmtId="3" fontId="116" fillId="0" borderId="12" xfId="11" applyNumberFormat="1" applyFont="1" applyFill="1" applyBorder="1" applyAlignment="1" applyProtection="1">
      <alignment vertical="center"/>
    </xf>
    <xf numFmtId="3" fontId="27" fillId="0" borderId="7" xfId="11" applyNumberFormat="1" applyFont="1" applyFill="1" applyBorder="1" applyAlignment="1" applyProtection="1">
      <alignment vertical="top"/>
    </xf>
    <xf numFmtId="3" fontId="27" fillId="0" borderId="4" xfId="11" applyNumberFormat="1" applyFont="1" applyFill="1" applyBorder="1" applyAlignment="1" applyProtection="1">
      <alignment vertical="top"/>
    </xf>
    <xf numFmtId="3" fontId="27" fillId="0" borderId="6" xfId="11" applyNumberFormat="1" applyFont="1" applyFill="1" applyBorder="1" applyAlignment="1" applyProtection="1">
      <alignment vertical="top"/>
    </xf>
    <xf numFmtId="3" fontId="81" fillId="10" borderId="7" xfId="11" applyNumberFormat="1" applyFont="1" applyFill="1" applyBorder="1" applyAlignment="1" applyProtection="1">
      <alignment vertical="top"/>
    </xf>
    <xf numFmtId="3" fontId="81" fillId="0" borderId="7" xfId="11" applyNumberFormat="1" applyFont="1" applyFill="1" applyBorder="1" applyAlignment="1" applyProtection="1">
      <alignment vertical="top"/>
    </xf>
    <xf numFmtId="3" fontId="81" fillId="0" borderId="7" xfId="0" applyNumberFormat="1" applyFont="1" applyBorder="1" applyProtection="1"/>
    <xf numFmtId="3" fontId="81" fillId="0" borderId="4" xfId="11" applyNumberFormat="1" applyFont="1" applyFill="1" applyBorder="1" applyAlignment="1" applyProtection="1">
      <alignment vertical="top"/>
    </xf>
    <xf numFmtId="3" fontId="81" fillId="0" borderId="6" xfId="11" applyNumberFormat="1" applyFont="1" applyFill="1" applyBorder="1" applyAlignment="1" applyProtection="1">
      <alignment vertical="top"/>
    </xf>
    <xf numFmtId="0" fontId="65" fillId="0" borderId="4" xfId="22" applyFill="1" applyBorder="1" applyAlignment="1">
      <alignment vertical="center" wrapText="1"/>
    </xf>
    <xf numFmtId="0" fontId="27" fillId="0" borderId="18" xfId="0" applyFont="1" applyBorder="1" applyAlignment="1">
      <alignment horizontal="right" vertical="center" wrapText="1"/>
    </xf>
    <xf numFmtId="0" fontId="27" fillId="0" borderId="8" xfId="0" applyFont="1" applyBorder="1" applyAlignment="1">
      <alignment horizontal="center" vertical="center" wrapText="1"/>
    </xf>
    <xf numFmtId="0" fontId="19" fillId="0" borderId="0" xfId="0" applyFont="1" applyAlignment="1" applyProtection="1">
      <alignment vertical="center" wrapText="1"/>
    </xf>
    <xf numFmtId="167" fontId="64" fillId="0" borderId="3" xfId="17" applyFont="1" applyBorder="1">
      <alignment vertical="center"/>
    </xf>
    <xf numFmtId="0" fontId="27" fillId="0" borderId="0" xfId="0" applyFont="1" applyBorder="1" applyAlignment="1">
      <alignment horizontal="right" vertical="center" wrapText="1"/>
    </xf>
    <xf numFmtId="0" fontId="27" fillId="0" borderId="22" xfId="0" applyFont="1" applyBorder="1" applyAlignment="1">
      <alignment vertical="center" wrapText="1"/>
    </xf>
    <xf numFmtId="0" fontId="27" fillId="0" borderId="22" xfId="0" applyFont="1" applyBorder="1" applyAlignment="1">
      <alignment horizontal="center" vertical="center" wrapText="1"/>
    </xf>
    <xf numFmtId="0" fontId="69" fillId="0" borderId="22" xfId="0" applyFont="1" applyBorder="1" applyAlignment="1">
      <alignment horizontal="center" vertical="center" wrapText="1"/>
    </xf>
    <xf numFmtId="49" fontId="103" fillId="0" borderId="0" xfId="11" applyNumberFormat="1" applyFont="1" applyFill="1" applyBorder="1" applyAlignment="1" applyProtection="1">
      <alignment horizontal="left" vertical="center"/>
    </xf>
    <xf numFmtId="2" fontId="103" fillId="0" borderId="3" xfId="11" applyNumberFormat="1" applyFont="1" applyFill="1" applyBorder="1" applyAlignment="1" applyProtection="1">
      <alignment horizontal="left" vertical="center"/>
    </xf>
    <xf numFmtId="0" fontId="103" fillId="0" borderId="3" xfId="11" applyFont="1" applyFill="1" applyBorder="1" applyAlignment="1" applyProtection="1">
      <alignment horizontal="left" vertical="center"/>
    </xf>
    <xf numFmtId="168" fontId="103" fillId="0" borderId="3" xfId="1" applyNumberFormat="1" applyFont="1" applyFill="1" applyBorder="1" applyAlignment="1" applyProtection="1">
      <alignment vertical="center"/>
    </xf>
    <xf numFmtId="3" fontId="103" fillId="0" borderId="3" xfId="0" applyNumberFormat="1" applyFont="1" applyFill="1" applyBorder="1" applyAlignment="1" applyProtection="1">
      <alignment vertical="center"/>
    </xf>
    <xf numFmtId="3" fontId="117" fillId="0" borderId="3" xfId="11" applyNumberFormat="1" applyFont="1" applyFill="1" applyBorder="1" applyAlignment="1" applyProtection="1">
      <alignment vertical="center"/>
    </xf>
    <xf numFmtId="3" fontId="118" fillId="0" borderId="3" xfId="11" applyNumberFormat="1" applyFont="1" applyFill="1" applyBorder="1" applyAlignment="1" applyProtection="1">
      <alignment vertical="center"/>
    </xf>
    <xf numFmtId="3" fontId="103" fillId="0" borderId="3" xfId="11" applyNumberFormat="1" applyFont="1" applyFill="1" applyBorder="1" applyAlignment="1" applyProtection="1">
      <alignment vertical="center"/>
    </xf>
    <xf numFmtId="0" fontId="27" fillId="0" borderId="0" xfId="11" applyFont="1" applyAlignment="1">
      <alignment vertical="center"/>
    </xf>
    <xf numFmtId="0" fontId="103" fillId="0" borderId="4" xfId="11" applyFont="1" applyFill="1" applyBorder="1" applyAlignment="1" applyProtection="1">
      <alignment horizontal="left" vertical="center"/>
    </xf>
    <xf numFmtId="168" fontId="103" fillId="0" borderId="4" xfId="1" applyNumberFormat="1" applyFont="1" applyFill="1" applyBorder="1" applyAlignment="1" applyProtection="1">
      <alignment vertical="center"/>
    </xf>
    <xf numFmtId="3" fontId="103" fillId="0" borderId="4" xfId="0" applyNumberFormat="1" applyFont="1" applyFill="1" applyBorder="1" applyAlignment="1" applyProtection="1">
      <alignment vertical="center"/>
    </xf>
    <xf numFmtId="3" fontId="117" fillId="0" borderId="4" xfId="11" applyNumberFormat="1" applyFont="1" applyFill="1" applyBorder="1" applyAlignment="1" applyProtection="1">
      <alignment vertical="center"/>
    </xf>
    <xf numFmtId="3" fontId="118" fillId="0" borderId="4" xfId="11" applyNumberFormat="1" applyFont="1" applyFill="1" applyBorder="1" applyAlignment="1" applyProtection="1">
      <alignment vertical="center"/>
    </xf>
    <xf numFmtId="3" fontId="103" fillId="0" borderId="4" xfId="11" applyNumberFormat="1" applyFont="1" applyFill="1" applyBorder="1" applyAlignment="1" applyProtection="1">
      <alignment vertical="center"/>
    </xf>
    <xf numFmtId="0" fontId="103" fillId="0" borderId="1" xfId="11" applyFont="1" applyBorder="1" applyAlignment="1" applyProtection="1">
      <alignment wrapText="1"/>
    </xf>
    <xf numFmtId="0" fontId="118" fillId="0" borderId="1" xfId="11" applyFont="1" applyBorder="1" applyProtection="1"/>
    <xf numFmtId="0" fontId="27" fillId="0" borderId="0" xfId="0" applyFont="1" applyAlignment="1" applyProtection="1">
      <alignment horizontal="right" vertical="center"/>
    </xf>
    <xf numFmtId="49" fontId="119" fillId="0" borderId="0" xfId="11" applyNumberFormat="1" applyFont="1" applyFill="1" applyBorder="1" applyAlignment="1" applyProtection="1">
      <alignment horizontal="left" vertical="center"/>
    </xf>
    <xf numFmtId="2" fontId="119" fillId="0" borderId="3" xfId="11" applyNumberFormat="1" applyFont="1" applyFill="1" applyBorder="1" applyAlignment="1" applyProtection="1">
      <alignment horizontal="left" vertical="center"/>
    </xf>
    <xf numFmtId="0" fontId="119" fillId="0" borderId="4" xfId="11" applyFont="1" applyFill="1" applyBorder="1" applyAlignment="1" applyProtection="1">
      <alignment horizontal="left" vertical="center"/>
    </xf>
    <xf numFmtId="168" fontId="119" fillId="0" borderId="4" xfId="1" applyNumberFormat="1" applyFont="1" applyFill="1" applyBorder="1" applyAlignment="1" applyProtection="1">
      <alignment vertical="center"/>
    </xf>
    <xf numFmtId="3" fontId="119" fillId="0" borderId="4" xfId="0" applyNumberFormat="1" applyFont="1" applyFill="1" applyBorder="1" applyAlignment="1" applyProtection="1">
      <alignment vertical="center"/>
    </xf>
    <xf numFmtId="3" fontId="120" fillId="0" borderId="4" xfId="11" applyNumberFormat="1" applyFont="1" applyFill="1" applyBorder="1" applyAlignment="1" applyProtection="1">
      <alignment vertical="center"/>
    </xf>
    <xf numFmtId="3" fontId="121" fillId="0" borderId="4" xfId="11" applyNumberFormat="1" applyFont="1" applyFill="1" applyBorder="1" applyAlignment="1" applyProtection="1">
      <alignment vertical="center"/>
    </xf>
    <xf numFmtId="3" fontId="119" fillId="0" borderId="4" xfId="11" applyNumberFormat="1" applyFont="1" applyFill="1" applyBorder="1" applyAlignment="1" applyProtection="1">
      <alignment vertical="center"/>
    </xf>
    <xf numFmtId="0" fontId="122" fillId="0" borderId="0" xfId="11" applyFont="1" applyAlignment="1">
      <alignment vertical="center"/>
    </xf>
    <xf numFmtId="3" fontId="119" fillId="0" borderId="4" xfId="11" applyNumberFormat="1" applyFont="1" applyFill="1" applyBorder="1" applyAlignment="1" applyProtection="1">
      <alignment horizontal="left" vertical="center"/>
    </xf>
    <xf numFmtId="49" fontId="119" fillId="0" borderId="17" xfId="11" applyNumberFormat="1" applyFont="1" applyFill="1" applyBorder="1" applyAlignment="1" applyProtection="1">
      <alignment horizontal="left" vertical="center"/>
    </xf>
    <xf numFmtId="3" fontId="119" fillId="0" borderId="17" xfId="11" applyNumberFormat="1" applyFont="1" applyFill="1" applyBorder="1" applyAlignment="1" applyProtection="1">
      <alignment horizontal="left" vertical="center"/>
    </xf>
    <xf numFmtId="168" fontId="119" fillId="0" borderId="17" xfId="1" applyNumberFormat="1" applyFont="1" applyFill="1" applyBorder="1" applyAlignment="1" applyProtection="1">
      <alignment vertical="center"/>
    </xf>
    <xf numFmtId="3" fontId="119" fillId="0" borderId="17" xfId="0" applyNumberFormat="1" applyFont="1" applyFill="1" applyBorder="1" applyAlignment="1" applyProtection="1">
      <alignment vertical="center"/>
    </xf>
    <xf numFmtId="3" fontId="121" fillId="0" borderId="17" xfId="11" applyNumberFormat="1" applyFont="1" applyFill="1" applyBorder="1" applyAlignment="1" applyProtection="1">
      <alignment vertical="center"/>
    </xf>
    <xf numFmtId="3" fontId="120" fillId="0" borderId="17" xfId="11" applyNumberFormat="1" applyFont="1" applyFill="1" applyBorder="1" applyAlignment="1" applyProtection="1">
      <alignment vertical="center"/>
    </xf>
    <xf numFmtId="49" fontId="103" fillId="0" borderId="21" xfId="11" applyNumberFormat="1" applyFont="1" applyFill="1" applyBorder="1" applyAlignment="1" applyProtection="1">
      <alignment horizontal="left" vertical="center"/>
    </xf>
    <xf numFmtId="49" fontId="103" fillId="0" borderId="3" xfId="11" applyNumberFormat="1" applyFont="1" applyFill="1" applyBorder="1" applyAlignment="1" applyProtection="1">
      <alignment horizontal="left" vertical="center"/>
    </xf>
    <xf numFmtId="49" fontId="119" fillId="0" borderId="1" xfId="11" applyNumberFormat="1" applyFont="1" applyFill="1" applyBorder="1" applyAlignment="1" applyProtection="1">
      <alignment horizontal="left" vertical="center"/>
    </xf>
    <xf numFmtId="2" fontId="119" fillId="0" borderId="6" xfId="11" applyNumberFormat="1" applyFont="1" applyFill="1" applyBorder="1" applyAlignment="1" applyProtection="1">
      <alignment horizontal="left" vertical="center"/>
    </xf>
    <xf numFmtId="0" fontId="119" fillId="0" borderId="6" xfId="11" applyFont="1" applyFill="1" applyBorder="1" applyAlignment="1" applyProtection="1">
      <alignment horizontal="left" vertical="center"/>
    </xf>
    <xf numFmtId="168" fontId="119" fillId="0" borderId="6" xfId="1" applyNumberFormat="1" applyFont="1" applyFill="1" applyBorder="1" applyAlignment="1" applyProtection="1">
      <alignment vertical="center"/>
    </xf>
    <xf numFmtId="3" fontId="119" fillId="0" borderId="6" xfId="0" applyNumberFormat="1" applyFont="1" applyFill="1" applyBorder="1" applyAlignment="1" applyProtection="1">
      <alignment vertical="center"/>
    </xf>
    <xf numFmtId="3" fontId="120" fillId="0" borderId="6" xfId="11" applyNumberFormat="1" applyFont="1" applyFill="1" applyBorder="1" applyAlignment="1" applyProtection="1">
      <alignment vertical="center"/>
    </xf>
    <xf numFmtId="3" fontId="121" fillId="0" borderId="6" xfId="11" applyNumberFormat="1" applyFont="1" applyFill="1" applyBorder="1" applyAlignment="1" applyProtection="1">
      <alignment vertical="center"/>
    </xf>
    <xf numFmtId="3" fontId="119" fillId="0" borderId="6" xfId="11" applyNumberFormat="1" applyFont="1" applyFill="1" applyBorder="1" applyAlignment="1" applyProtection="1">
      <alignment vertical="center"/>
    </xf>
    <xf numFmtId="3" fontId="121" fillId="0" borderId="3" xfId="11" applyNumberFormat="1" applyFont="1" applyFill="1" applyBorder="1" applyAlignment="1" applyProtection="1">
      <alignment vertical="center"/>
    </xf>
    <xf numFmtId="2" fontId="119" fillId="0" borderId="11" xfId="11" applyNumberFormat="1" applyFont="1" applyFill="1" applyBorder="1" applyAlignment="1" applyProtection="1">
      <alignment horizontal="left" vertical="center"/>
    </xf>
    <xf numFmtId="0" fontId="119" fillId="0" borderId="11" xfId="11" applyFont="1" applyFill="1" applyBorder="1" applyAlignment="1" applyProtection="1">
      <alignment horizontal="left" vertical="center"/>
    </xf>
    <xf numFmtId="168" fontId="119" fillId="0" borderId="11" xfId="1" applyNumberFormat="1" applyFont="1" applyFill="1" applyBorder="1" applyAlignment="1" applyProtection="1">
      <alignment vertical="center"/>
    </xf>
    <xf numFmtId="3" fontId="119" fillId="0" borderId="11" xfId="0" applyNumberFormat="1" applyFont="1" applyFill="1" applyBorder="1" applyAlignment="1" applyProtection="1">
      <alignment vertical="center"/>
    </xf>
    <xf numFmtId="3" fontId="120" fillId="0" borderId="11" xfId="11" applyNumberFormat="1" applyFont="1" applyFill="1" applyBorder="1" applyAlignment="1" applyProtection="1">
      <alignment vertical="center"/>
    </xf>
    <xf numFmtId="3" fontId="121" fillId="0" borderId="11" xfId="11" applyNumberFormat="1" applyFont="1" applyFill="1" applyBorder="1" applyAlignment="1" applyProtection="1">
      <alignment vertical="center"/>
    </xf>
    <xf numFmtId="3" fontId="119" fillId="0" borderId="11" xfId="11" applyNumberFormat="1" applyFont="1" applyFill="1" applyBorder="1" applyAlignment="1" applyProtection="1">
      <alignment vertical="center"/>
    </xf>
    <xf numFmtId="0" fontId="119" fillId="0" borderId="3" xfId="11" applyFont="1" applyFill="1" applyBorder="1" applyAlignment="1" applyProtection="1">
      <alignment horizontal="left" vertical="center"/>
    </xf>
    <xf numFmtId="168" fontId="119" fillId="0" borderId="3" xfId="1" applyNumberFormat="1" applyFont="1" applyFill="1" applyBorder="1" applyAlignment="1" applyProtection="1">
      <alignment vertical="center"/>
    </xf>
    <xf numFmtId="3" fontId="119" fillId="0" borderId="3" xfId="0" applyNumberFormat="1" applyFont="1" applyFill="1" applyBorder="1" applyAlignment="1" applyProtection="1">
      <alignment vertical="center"/>
    </xf>
    <xf numFmtId="3" fontId="120" fillId="0" borderId="3" xfId="11" applyNumberFormat="1" applyFont="1" applyFill="1" applyBorder="1" applyAlignment="1" applyProtection="1">
      <alignment vertical="center"/>
    </xf>
    <xf numFmtId="3" fontId="119" fillId="0" borderId="3" xfId="11" applyNumberFormat="1" applyFont="1" applyFill="1" applyBorder="1" applyAlignment="1" applyProtection="1">
      <alignment vertical="center"/>
    </xf>
    <xf numFmtId="3" fontId="119" fillId="0" borderId="1" xfId="11" applyNumberFormat="1" applyFont="1" applyFill="1" applyBorder="1" applyAlignment="1" applyProtection="1">
      <alignment horizontal="left" vertical="center"/>
    </xf>
    <xf numFmtId="168" fontId="119" fillId="0" borderId="1" xfId="1" applyNumberFormat="1" applyFont="1" applyFill="1" applyBorder="1" applyAlignment="1" applyProtection="1">
      <alignment vertical="center"/>
    </xf>
    <xf numFmtId="3" fontId="119" fillId="0" borderId="1" xfId="0" applyNumberFormat="1" applyFont="1" applyFill="1" applyBorder="1" applyAlignment="1" applyProtection="1">
      <alignment vertical="center"/>
    </xf>
    <xf numFmtId="3" fontId="120" fillId="0" borderId="1" xfId="11" applyNumberFormat="1" applyFont="1" applyFill="1" applyBorder="1" applyAlignment="1" applyProtection="1">
      <alignment vertical="center"/>
    </xf>
    <xf numFmtId="3" fontId="121" fillId="0" borderId="1" xfId="11" applyNumberFormat="1" applyFont="1" applyFill="1" applyBorder="1" applyAlignment="1" applyProtection="1">
      <alignment vertical="center"/>
    </xf>
    <xf numFmtId="0" fontId="103" fillId="0" borderId="1" xfId="11" applyFont="1" applyBorder="1" applyAlignment="1" applyProtection="1">
      <alignment horizontal="left"/>
    </xf>
    <xf numFmtId="0" fontId="103" fillId="0" borderId="1" xfId="11" applyFont="1" applyBorder="1" applyAlignment="1" applyProtection="1"/>
    <xf numFmtId="2" fontId="103" fillId="0" borderId="1" xfId="11" applyNumberFormat="1" applyFont="1" applyBorder="1" applyAlignment="1" applyProtection="1">
      <alignment horizontal="right" textRotation="90" wrapText="1"/>
    </xf>
    <xf numFmtId="0" fontId="103" fillId="0" borderId="1" xfId="11" applyFont="1" applyBorder="1" applyAlignment="1" applyProtection="1">
      <alignment horizontal="right" textRotation="90" wrapText="1"/>
    </xf>
    <xf numFmtId="3" fontId="103" fillId="0" borderId="1" xfId="11" applyNumberFormat="1" applyFont="1" applyBorder="1" applyAlignment="1" applyProtection="1">
      <alignment horizontal="right" textRotation="90" wrapText="1"/>
    </xf>
    <xf numFmtId="0" fontId="103" fillId="0" borderId="0" xfId="11" applyFont="1"/>
    <xf numFmtId="3" fontId="123" fillId="0" borderId="12" xfId="11" applyNumberFormat="1" applyFont="1" applyFill="1" applyBorder="1" applyAlignment="1" applyProtection="1">
      <alignment vertical="center"/>
    </xf>
    <xf numFmtId="0" fontId="104" fillId="0" borderId="16" xfId="0" applyNumberFormat="1" applyFont="1" applyFill="1" applyBorder="1" applyAlignment="1" applyProtection="1">
      <alignment vertical="center"/>
    </xf>
    <xf numFmtId="0" fontId="100" fillId="0" borderId="16" xfId="0" applyNumberFormat="1" applyFont="1" applyFill="1" applyBorder="1" applyAlignment="1" applyProtection="1">
      <alignment vertical="center"/>
    </xf>
    <xf numFmtId="168" fontId="100" fillId="0" borderId="16" xfId="1" applyNumberFormat="1" applyFont="1" applyFill="1" applyBorder="1" applyAlignment="1" applyProtection="1">
      <alignment horizontal="right" vertical="center"/>
    </xf>
    <xf numFmtId="1" fontId="100" fillId="0" borderId="16" xfId="1" applyNumberFormat="1" applyFont="1" applyFill="1" applyBorder="1" applyAlignment="1" applyProtection="1">
      <alignment horizontal="right" vertical="center"/>
    </xf>
    <xf numFmtId="1" fontId="114" fillId="0" borderId="16" xfId="1" applyNumberFormat="1" applyFont="1" applyFill="1" applyBorder="1" applyAlignment="1" applyProtection="1">
      <alignment horizontal="right" vertical="center"/>
    </xf>
    <xf numFmtId="168" fontId="123" fillId="0" borderId="4" xfId="1" applyNumberFormat="1" applyFont="1" applyFill="1" applyBorder="1" applyAlignment="1" applyProtection="1">
      <alignment vertical="center"/>
    </xf>
    <xf numFmtId="3" fontId="123" fillId="0" borderId="4" xfId="0" applyNumberFormat="1" applyFont="1" applyFill="1" applyBorder="1" applyAlignment="1" applyProtection="1">
      <alignment vertical="center"/>
    </xf>
    <xf numFmtId="3" fontId="124" fillId="0" borderId="4" xfId="11" applyNumberFormat="1" applyFont="1" applyFill="1" applyBorder="1" applyAlignment="1" applyProtection="1">
      <alignment vertical="center"/>
    </xf>
    <xf numFmtId="3" fontId="123" fillId="0" borderId="4" xfId="11" applyNumberFormat="1" applyFont="1" applyFill="1" applyBorder="1" applyAlignment="1" applyProtection="1">
      <alignment vertical="center"/>
    </xf>
    <xf numFmtId="0" fontId="79" fillId="0" borderId="0" xfId="11" applyFont="1" applyAlignment="1">
      <alignment vertical="center"/>
    </xf>
    <xf numFmtId="168" fontId="123" fillId="0" borderId="6" xfId="1" applyNumberFormat="1" applyFont="1" applyFill="1" applyBorder="1" applyAlignment="1" applyProtection="1">
      <alignment vertical="center"/>
    </xf>
    <xf numFmtId="3" fontId="123" fillId="0" borderId="6" xfId="0" applyNumberFormat="1" applyFont="1" applyFill="1" applyBorder="1" applyAlignment="1" applyProtection="1">
      <alignment vertical="center"/>
    </xf>
    <xf numFmtId="3" fontId="124" fillId="0" borderId="6" xfId="11" applyNumberFormat="1" applyFont="1" applyFill="1" applyBorder="1" applyAlignment="1" applyProtection="1">
      <alignment vertical="center"/>
    </xf>
    <xf numFmtId="3" fontId="123" fillId="0" borderId="6" xfId="11" applyNumberFormat="1" applyFont="1" applyFill="1" applyBorder="1" applyAlignment="1" applyProtection="1">
      <alignment vertical="center"/>
    </xf>
    <xf numFmtId="49" fontId="123" fillId="0" borderId="4" xfId="0" applyNumberFormat="1" applyFont="1" applyBorder="1" applyAlignment="1">
      <alignment horizontal="left" vertical="center"/>
    </xf>
    <xf numFmtId="0" fontId="123" fillId="0" borderId="4" xfId="0" applyNumberFormat="1" applyFont="1" applyFill="1" applyBorder="1" applyAlignment="1" applyProtection="1">
      <alignment vertical="center"/>
    </xf>
    <xf numFmtId="3" fontId="116" fillId="0" borderId="4" xfId="11" applyNumberFormat="1" applyFont="1" applyFill="1" applyBorder="1" applyAlignment="1" applyProtection="1">
      <alignment vertical="center"/>
    </xf>
    <xf numFmtId="49" fontId="123" fillId="0" borderId="6" xfId="0" applyNumberFormat="1" applyFont="1" applyBorder="1" applyAlignment="1">
      <alignment horizontal="left" vertical="center"/>
    </xf>
    <xf numFmtId="0" fontId="123" fillId="0" borderId="6" xfId="0" applyNumberFormat="1" applyFont="1" applyFill="1" applyBorder="1" applyAlignment="1" applyProtection="1">
      <alignment vertical="center"/>
    </xf>
    <xf numFmtId="3" fontId="116" fillId="0" borderId="6" xfId="11" applyNumberFormat="1" applyFont="1" applyFill="1" applyBorder="1" applyAlignment="1" applyProtection="1">
      <alignment vertical="center"/>
    </xf>
    <xf numFmtId="3" fontId="97" fillId="10" borderId="4" xfId="11" applyNumberFormat="1" applyFont="1" applyFill="1" applyBorder="1" applyAlignment="1" applyProtection="1">
      <alignment vertical="center"/>
    </xf>
    <xf numFmtId="3" fontId="97" fillId="10" borderId="11" xfId="11" applyNumberFormat="1" applyFont="1" applyFill="1" applyBorder="1" applyAlignment="1" applyProtection="1">
      <alignment vertical="center"/>
    </xf>
    <xf numFmtId="2" fontId="97" fillId="10" borderId="3" xfId="11" applyNumberFormat="1" applyFont="1" applyFill="1" applyBorder="1" applyAlignment="1" applyProtection="1">
      <alignment horizontal="left" vertical="center" wrapText="1"/>
    </xf>
    <xf numFmtId="0" fontId="97" fillId="10" borderId="11" xfId="11" applyFont="1" applyFill="1" applyBorder="1" applyAlignment="1" applyProtection="1">
      <alignment horizontal="left" vertical="center" wrapText="1"/>
    </xf>
    <xf numFmtId="3" fontId="123" fillId="0" borderId="3" xfId="11" applyNumberFormat="1" applyFont="1" applyFill="1" applyBorder="1" applyAlignment="1" applyProtection="1">
      <alignment vertical="center"/>
    </xf>
    <xf numFmtId="2" fontId="103" fillId="0" borderId="3" xfId="11" applyNumberFormat="1" applyFont="1" applyFill="1" applyBorder="1" applyAlignment="1" applyProtection="1">
      <alignment horizontal="left" vertical="center" wrapText="1"/>
    </xf>
    <xf numFmtId="2" fontId="103" fillId="10" borderId="3" xfId="11" applyNumberFormat="1" applyFont="1" applyFill="1" applyBorder="1" applyAlignment="1" applyProtection="1">
      <alignment horizontal="left" vertical="center" wrapText="1"/>
    </xf>
    <xf numFmtId="3" fontId="103" fillId="10" borderId="3" xfId="11" applyNumberFormat="1" applyFont="1" applyFill="1" applyBorder="1" applyAlignment="1" applyProtection="1">
      <alignment vertical="center"/>
    </xf>
    <xf numFmtId="3" fontId="103" fillId="10" borderId="0" xfId="11" applyNumberFormat="1" applyFont="1" applyFill="1" applyBorder="1" applyAlignment="1" applyProtection="1">
      <alignment vertical="center"/>
    </xf>
    <xf numFmtId="0" fontId="103" fillId="10" borderId="11" xfId="11" applyFont="1" applyFill="1" applyBorder="1" applyAlignment="1" applyProtection="1">
      <alignment horizontal="left" vertical="center" wrapText="1"/>
    </xf>
    <xf numFmtId="3" fontId="103" fillId="10" borderId="11" xfId="11" applyNumberFormat="1" applyFont="1" applyFill="1" applyBorder="1" applyAlignment="1" applyProtection="1">
      <alignment vertical="center"/>
    </xf>
    <xf numFmtId="0" fontId="100" fillId="0" borderId="21" xfId="11" applyFont="1" applyFill="1" applyBorder="1" applyAlignment="1" applyProtection="1">
      <alignment horizontal="left" vertical="center"/>
    </xf>
    <xf numFmtId="0" fontId="100" fillId="0" borderId="0" xfId="11" applyFont="1" applyFill="1" applyBorder="1" applyAlignment="1" applyProtection="1">
      <alignment horizontal="left" vertical="center"/>
    </xf>
    <xf numFmtId="2" fontId="103" fillId="10" borderId="17" xfId="11" applyNumberFormat="1" applyFont="1" applyFill="1" applyBorder="1" applyAlignment="1" applyProtection="1">
      <alignment horizontal="left" vertical="center" wrapText="1"/>
    </xf>
    <xf numFmtId="3" fontId="103" fillId="10" borderId="17" xfId="11" applyNumberFormat="1" applyFont="1" applyFill="1" applyBorder="1" applyAlignment="1" applyProtection="1">
      <alignment vertical="center"/>
    </xf>
    <xf numFmtId="0" fontId="123" fillId="0" borderId="0" xfId="11" applyFont="1" applyFill="1" applyBorder="1" applyAlignment="1" applyProtection="1">
      <alignment horizontal="left" vertical="center"/>
    </xf>
    <xf numFmtId="0" fontId="123" fillId="0" borderId="3" xfId="11" applyFont="1" applyFill="1" applyBorder="1" applyAlignment="1" applyProtection="1">
      <alignment horizontal="left" vertical="center"/>
    </xf>
    <xf numFmtId="0" fontId="103" fillId="10" borderId="4" xfId="11" applyFont="1" applyFill="1" applyBorder="1" applyAlignment="1" applyProtection="1">
      <alignment horizontal="left" vertical="center" wrapText="1"/>
    </xf>
    <xf numFmtId="3" fontId="103" fillId="10" borderId="4" xfId="11" applyNumberFormat="1" applyFont="1" applyFill="1" applyBorder="1" applyAlignment="1" applyProtection="1">
      <alignment vertical="center"/>
    </xf>
    <xf numFmtId="2" fontId="103" fillId="10" borderId="0" xfId="11" applyNumberFormat="1" applyFont="1" applyFill="1" applyBorder="1" applyAlignment="1" applyProtection="1">
      <alignment horizontal="left" vertical="center" wrapText="1"/>
    </xf>
    <xf numFmtId="0" fontId="103" fillId="0" borderId="3" xfId="11" applyFont="1" applyFill="1" applyBorder="1" applyAlignment="1" applyProtection="1">
      <alignment horizontal="left" vertical="center" wrapText="1"/>
    </xf>
    <xf numFmtId="2" fontId="103" fillId="0" borderId="17" xfId="11" applyNumberFormat="1" applyFont="1" applyFill="1" applyBorder="1" applyAlignment="1" applyProtection="1">
      <alignment horizontal="left" vertical="center" wrapText="1"/>
    </xf>
    <xf numFmtId="3" fontId="103" fillId="0" borderId="17" xfId="11" applyNumberFormat="1" applyFont="1" applyFill="1" applyBorder="1" applyAlignment="1" applyProtection="1">
      <alignment vertical="center"/>
    </xf>
    <xf numFmtId="0" fontId="103" fillId="10" borderId="3" xfId="11" applyFont="1" applyFill="1" applyBorder="1" applyAlignment="1" applyProtection="1">
      <alignment horizontal="left" vertical="center" wrapText="1"/>
    </xf>
    <xf numFmtId="3" fontId="97" fillId="0" borderId="0" xfId="11" applyNumberFormat="1" applyFont="1" applyFill="1" applyBorder="1" applyAlignment="1" applyProtection="1">
      <alignment vertical="center"/>
    </xf>
    <xf numFmtId="0" fontId="100" fillId="0" borderId="12" xfId="11" applyFont="1" applyFill="1" applyBorder="1" applyAlignment="1" applyProtection="1">
      <alignment horizontal="left" vertical="center"/>
    </xf>
    <xf numFmtId="0" fontId="100" fillId="0" borderId="12" xfId="11" applyFont="1" applyFill="1" applyBorder="1" applyAlignment="1" applyProtection="1">
      <alignment horizontal="left" vertical="center" wrapText="1"/>
    </xf>
    <xf numFmtId="0" fontId="125" fillId="0" borderId="12" xfId="0" applyNumberFormat="1" applyFont="1" applyBorder="1" applyAlignment="1">
      <alignment horizontal="left" vertical="center"/>
    </xf>
    <xf numFmtId="0" fontId="125" fillId="0" borderId="12" xfId="0" applyNumberFormat="1" applyFont="1" applyFill="1" applyBorder="1" applyAlignment="1">
      <alignment horizontal="left" vertical="center" wrapText="1"/>
    </xf>
    <xf numFmtId="3" fontId="125" fillId="0" borderId="12" xfId="11" applyNumberFormat="1" applyFont="1" applyFill="1" applyBorder="1" applyAlignment="1" applyProtection="1">
      <alignment vertical="center"/>
    </xf>
    <xf numFmtId="49" fontId="125" fillId="0" borderId="12" xfId="0" applyNumberFormat="1" applyFont="1" applyBorder="1" applyAlignment="1">
      <alignment horizontal="left" vertical="center"/>
    </xf>
    <xf numFmtId="0" fontId="125" fillId="0" borderId="12" xfId="0" applyNumberFormat="1" applyFont="1" applyFill="1" applyBorder="1" applyAlignment="1" applyProtection="1">
      <alignment vertical="center" wrapText="1"/>
    </xf>
    <xf numFmtId="49" fontId="125" fillId="0" borderId="12" xfId="11" applyNumberFormat="1" applyFont="1" applyBorder="1" applyAlignment="1">
      <alignment horizontal="left" vertical="center"/>
    </xf>
    <xf numFmtId="0" fontId="125" fillId="0" borderId="12" xfId="11" applyFont="1" applyFill="1" applyBorder="1" applyAlignment="1" applyProtection="1">
      <alignment vertical="center" wrapText="1"/>
    </xf>
    <xf numFmtId="3" fontId="125" fillId="0" borderId="17" xfId="11" applyNumberFormat="1" applyFont="1" applyFill="1" applyBorder="1" applyAlignment="1" applyProtection="1">
      <alignment vertical="center"/>
    </xf>
    <xf numFmtId="49" fontId="125" fillId="0" borderId="12" xfId="11" applyNumberFormat="1" applyFont="1" applyFill="1" applyBorder="1" applyAlignment="1" applyProtection="1">
      <alignment horizontal="left" vertical="center"/>
    </xf>
    <xf numFmtId="3" fontId="125" fillId="0" borderId="12" xfId="11" applyNumberFormat="1" applyFont="1" applyFill="1" applyBorder="1" applyAlignment="1" applyProtection="1">
      <alignment vertical="center" wrapText="1"/>
    </xf>
    <xf numFmtId="0" fontId="125" fillId="0" borderId="12" xfId="11" applyFont="1" applyFill="1" applyBorder="1" applyAlignment="1">
      <alignment horizontal="left" vertical="center" wrapText="1"/>
    </xf>
    <xf numFmtId="0" fontId="19" fillId="0" borderId="0" xfId="0" applyFont="1" applyAlignment="1" applyProtection="1">
      <alignment horizontal="right" vertical="center" wrapText="1"/>
    </xf>
    <xf numFmtId="0" fontId="27" fillId="0" borderId="0" xfId="11" applyFont="1" applyAlignment="1">
      <alignment vertical="top" wrapText="1"/>
    </xf>
    <xf numFmtId="0" fontId="79" fillId="0" borderId="0" xfId="11" applyFont="1" applyAlignment="1">
      <alignment vertical="top" wrapText="1"/>
    </xf>
    <xf numFmtId="0" fontId="63" fillId="0" borderId="0" xfId="11" applyFont="1" applyAlignment="1">
      <alignment wrapText="1"/>
    </xf>
    <xf numFmtId="9" fontId="18" fillId="0" borderId="4" xfId="1" applyFont="1" applyFill="1" applyBorder="1" applyAlignment="1"/>
    <xf numFmtId="0" fontId="27" fillId="13" borderId="4" xfId="11" applyFont="1" applyFill="1" applyBorder="1" applyAlignment="1">
      <alignment wrapText="1"/>
    </xf>
    <xf numFmtId="0" fontId="19" fillId="0" borderId="0" xfId="0" applyFont="1" applyAlignment="1" applyProtection="1">
      <alignment vertical="center" wrapText="1"/>
    </xf>
    <xf numFmtId="0" fontId="0" fillId="10" borderId="0" xfId="0" applyFill="1"/>
    <xf numFmtId="0" fontId="16" fillId="0" borderId="3" xfId="9" applyNumberFormat="1" applyFont="1" applyBorder="1" applyAlignment="1">
      <alignment horizontal="left" vertical="center"/>
    </xf>
    <xf numFmtId="9" fontId="0" fillId="0" borderId="3" xfId="1" applyFont="1" applyBorder="1"/>
    <xf numFmtId="173" fontId="0" fillId="0" borderId="0" xfId="2" applyNumberFormat="1" applyFont="1"/>
    <xf numFmtId="9" fontId="0" fillId="0" borderId="0" xfId="1" applyFont="1"/>
    <xf numFmtId="0" fontId="125" fillId="0" borderId="17" xfId="11" applyFont="1" applyFill="1" applyBorder="1" applyAlignment="1" applyProtection="1">
      <alignment horizontal="right" vertical="center"/>
    </xf>
    <xf numFmtId="3" fontId="126" fillId="0" borderId="17" xfId="11" applyNumberFormat="1" applyFont="1" applyFill="1" applyBorder="1" applyAlignment="1" applyProtection="1">
      <alignment vertical="center"/>
    </xf>
    <xf numFmtId="3" fontId="127" fillId="0" borderId="0" xfId="11" applyNumberFormat="1" applyFont="1" applyFill="1" applyBorder="1" applyAlignment="1" applyProtection="1">
      <alignment vertical="center"/>
    </xf>
    <xf numFmtId="3" fontId="106" fillId="12" borderId="12" xfId="11" applyNumberFormat="1" applyFont="1" applyFill="1" applyBorder="1" applyAlignment="1" applyProtection="1">
      <alignment vertical="center"/>
    </xf>
    <xf numFmtId="3" fontId="106" fillId="0" borderId="12" xfId="11" applyNumberFormat="1" applyFont="1" applyFill="1" applyBorder="1" applyAlignment="1" applyProtection="1">
      <alignment vertical="center"/>
    </xf>
    <xf numFmtId="3" fontId="111" fillId="0" borderId="17" xfId="11" applyNumberFormat="1" applyFont="1" applyFill="1" applyBorder="1" applyAlignment="1" applyProtection="1">
      <alignment vertical="center"/>
    </xf>
    <xf numFmtId="3" fontId="128" fillId="0" borderId="17" xfId="11" applyNumberFormat="1" applyFont="1" applyFill="1" applyBorder="1" applyAlignment="1" applyProtection="1">
      <alignment vertical="center"/>
    </xf>
    <xf numFmtId="0" fontId="125" fillId="0" borderId="0" xfId="11" applyFont="1" applyFill="1" applyBorder="1" applyAlignment="1" applyProtection="1">
      <alignment horizontal="right" vertical="center"/>
    </xf>
    <xf numFmtId="9" fontId="91" fillId="10" borderId="1" xfId="1" applyFont="1" applyFill="1" applyBorder="1" applyAlignment="1"/>
    <xf numFmtId="0" fontId="81" fillId="0" borderId="1" xfId="0" applyFont="1" applyFill="1" applyBorder="1" applyAlignment="1" applyProtection="1">
      <alignment horizontal="left" vertical="center"/>
    </xf>
    <xf numFmtId="0" fontId="81" fillId="0" borderId="1" xfId="0" applyFont="1" applyBorder="1" applyAlignment="1" applyProtection="1">
      <alignment vertical="center"/>
    </xf>
    <xf numFmtId="0" fontId="19" fillId="0" borderId="1" xfId="0" applyFont="1" applyFill="1" applyBorder="1" applyAlignment="1" applyProtection="1">
      <alignment horizontal="left" vertical="center"/>
    </xf>
    <xf numFmtId="0" fontId="81" fillId="0" borderId="4" xfId="11" applyFont="1" applyBorder="1" applyAlignment="1">
      <alignment wrapText="1"/>
    </xf>
    <xf numFmtId="9" fontId="91" fillId="10" borderId="3" xfId="1" applyFont="1" applyFill="1" applyBorder="1" applyAlignment="1"/>
    <xf numFmtId="0" fontId="37" fillId="0" borderId="0" xfId="0" applyFont="1" applyFill="1" applyBorder="1"/>
    <xf numFmtId="9" fontId="37" fillId="0" borderId="0" xfId="1" applyFont="1" applyFill="1" applyBorder="1" applyAlignment="1">
      <alignment vertical="center"/>
    </xf>
    <xf numFmtId="0" fontId="81" fillId="0" borderId="1" xfId="0" applyFont="1" applyFill="1" applyBorder="1" applyAlignment="1" applyProtection="1">
      <alignment horizontal="left" vertical="center" wrapText="1"/>
    </xf>
    <xf numFmtId="173" fontId="68" fillId="0" borderId="0" xfId="2" applyNumberFormat="1" applyFont="1"/>
    <xf numFmtId="0" fontId="19" fillId="0" borderId="0" xfId="0" applyFont="1" applyAlignment="1" applyProtection="1">
      <alignment wrapText="1"/>
    </xf>
    <xf numFmtId="0" fontId="21" fillId="0" borderId="0" xfId="0" applyFont="1" applyAlignment="1" applyProtection="1">
      <alignment wrapText="1"/>
    </xf>
    <xf numFmtId="0" fontId="21" fillId="0" borderId="4" xfId="0" applyFont="1" applyFill="1" applyBorder="1" applyAlignment="1" applyProtection="1">
      <alignment vertical="center" wrapText="1"/>
    </xf>
    <xf numFmtId="14" fontId="21" fillId="0" borderId="4" xfId="0" applyNumberFormat="1" applyFont="1" applyFill="1" applyBorder="1" applyAlignment="1" applyProtection="1">
      <alignment horizontal="left" vertical="center" wrapText="1"/>
    </xf>
    <xf numFmtId="2" fontId="102" fillId="0" borderId="0" xfId="0" applyNumberFormat="1" applyFont="1" applyFill="1" applyBorder="1" applyAlignment="1" applyProtection="1">
      <alignment wrapText="1"/>
    </xf>
    <xf numFmtId="3" fontId="99" fillId="0" borderId="10" xfId="11" applyNumberFormat="1" applyFont="1" applyFill="1" applyBorder="1" applyAlignment="1" applyProtection="1">
      <alignment horizontal="right" vertical="center" wrapText="1"/>
    </xf>
    <xf numFmtId="3" fontId="103" fillId="10" borderId="3" xfId="11" applyNumberFormat="1" applyFont="1" applyFill="1" applyBorder="1" applyAlignment="1" applyProtection="1">
      <alignment vertical="center" wrapText="1"/>
    </xf>
    <xf numFmtId="3" fontId="103" fillId="10" borderId="11" xfId="11" applyNumberFormat="1" applyFont="1" applyFill="1" applyBorder="1" applyAlignment="1" applyProtection="1">
      <alignment vertical="center" wrapText="1"/>
    </xf>
    <xf numFmtId="3" fontId="123" fillId="0" borderId="12" xfId="11" applyNumberFormat="1" applyFont="1" applyFill="1" applyBorder="1" applyAlignment="1" applyProtection="1">
      <alignment vertical="center" wrapText="1"/>
    </xf>
    <xf numFmtId="3" fontId="123" fillId="0" borderId="3" xfId="11" applyNumberFormat="1" applyFont="1" applyFill="1" applyBorder="1" applyAlignment="1" applyProtection="1">
      <alignment vertical="center" wrapText="1"/>
    </xf>
    <xf numFmtId="3" fontId="99" fillId="0" borderId="10" xfId="11" applyNumberFormat="1" applyFont="1" applyFill="1" applyBorder="1" applyAlignment="1" applyProtection="1">
      <alignment vertical="center" wrapText="1"/>
    </xf>
    <xf numFmtId="3" fontId="100" fillId="0" borderId="16" xfId="11" applyNumberFormat="1" applyFont="1" applyFill="1" applyBorder="1" applyAlignment="1" applyProtection="1">
      <alignment vertical="center" wrapText="1"/>
    </xf>
    <xf numFmtId="3" fontId="100" fillId="0" borderId="3" xfId="11" applyNumberFormat="1" applyFont="1" applyFill="1" applyBorder="1" applyAlignment="1" applyProtection="1">
      <alignment vertical="center" wrapText="1"/>
    </xf>
    <xf numFmtId="3" fontId="103" fillId="0" borderId="3" xfId="11" applyNumberFormat="1" applyFont="1" applyFill="1" applyBorder="1" applyAlignment="1" applyProtection="1">
      <alignment vertical="center" wrapText="1"/>
    </xf>
    <xf numFmtId="3" fontId="103" fillId="10" borderId="17" xfId="11" applyNumberFormat="1" applyFont="1" applyFill="1" applyBorder="1" applyAlignment="1" applyProtection="1">
      <alignment vertical="center" wrapText="1"/>
    </xf>
    <xf numFmtId="3" fontId="97" fillId="10" borderId="4" xfId="11" applyNumberFormat="1" applyFont="1" applyFill="1" applyBorder="1" applyAlignment="1" applyProtection="1">
      <alignment vertical="center" wrapText="1"/>
    </xf>
    <xf numFmtId="3" fontId="97" fillId="10" borderId="11" xfId="11" applyNumberFormat="1" applyFont="1" applyFill="1" applyBorder="1" applyAlignment="1" applyProtection="1">
      <alignment vertical="center" wrapText="1"/>
    </xf>
    <xf numFmtId="3" fontId="103" fillId="10" borderId="0" xfId="11" applyNumberFormat="1" applyFont="1" applyFill="1" applyBorder="1" applyAlignment="1" applyProtection="1">
      <alignment vertical="center" wrapText="1"/>
    </xf>
    <xf numFmtId="3" fontId="103" fillId="0" borderId="17" xfId="11" applyNumberFormat="1" applyFont="1" applyFill="1" applyBorder="1" applyAlignment="1" applyProtection="1">
      <alignment vertical="center" wrapText="1"/>
    </xf>
    <xf numFmtId="3" fontId="125" fillId="0" borderId="17" xfId="11" applyNumberFormat="1" applyFont="1" applyFill="1" applyBorder="1" applyAlignment="1" applyProtection="1">
      <alignment vertical="center" wrapText="1"/>
    </xf>
    <xf numFmtId="3" fontId="97" fillId="0" borderId="11" xfId="11" applyNumberFormat="1" applyFont="1" applyFill="1" applyBorder="1" applyAlignment="1" applyProtection="1">
      <alignment vertical="center" wrapText="1"/>
    </xf>
    <xf numFmtId="3" fontId="97" fillId="0" borderId="6" xfId="11" applyNumberFormat="1" applyFont="1" applyFill="1" applyBorder="1" applyAlignment="1" applyProtection="1">
      <alignment vertical="center" wrapText="1"/>
    </xf>
    <xf numFmtId="3" fontId="103" fillId="10" borderId="4" xfId="11" applyNumberFormat="1" applyFont="1" applyFill="1" applyBorder="1" applyAlignment="1" applyProtection="1">
      <alignment vertical="center" wrapText="1"/>
    </xf>
    <xf numFmtId="3" fontId="97" fillId="0" borderId="0" xfId="11" applyNumberFormat="1" applyFont="1" applyFill="1" applyBorder="1" applyAlignment="1" applyProtection="1">
      <alignment vertical="center" wrapText="1"/>
    </xf>
    <xf numFmtId="3" fontId="97" fillId="0" borderId="1" xfId="0" applyNumberFormat="1" applyFont="1" applyFill="1" applyBorder="1" applyAlignment="1" applyProtection="1">
      <alignment wrapText="1"/>
    </xf>
    <xf numFmtId="170" fontId="104" fillId="0" borderId="2" xfId="2" applyNumberFormat="1" applyFont="1" applyFill="1" applyBorder="1" applyAlignment="1" applyProtection="1">
      <alignment horizontal="right" vertical="top" wrapText="1"/>
    </xf>
    <xf numFmtId="170" fontId="103" fillId="0" borderId="2" xfId="2" applyNumberFormat="1" applyFont="1" applyFill="1" applyBorder="1" applyAlignment="1" applyProtection="1">
      <alignment horizontal="right" vertical="top" wrapText="1"/>
    </xf>
    <xf numFmtId="170" fontId="99" fillId="0" borderId="2" xfId="2" applyNumberFormat="1" applyFont="1" applyFill="1" applyBorder="1" applyAlignment="1" applyProtection="1">
      <alignment horizontal="right" vertical="top" wrapText="1"/>
    </xf>
    <xf numFmtId="10" fontId="97" fillId="0" borderId="0" xfId="1" applyNumberFormat="1" applyFont="1" applyFill="1" applyAlignment="1">
      <alignment vertical="top" wrapText="1"/>
    </xf>
    <xf numFmtId="0" fontId="19" fillId="0" borderId="0" xfId="11" applyFont="1" applyFill="1" applyAlignment="1">
      <alignment vertical="top" wrapText="1"/>
    </xf>
    <xf numFmtId="0" fontId="35" fillId="0" borderId="0" xfId="0" applyFont="1" applyAlignment="1">
      <alignment vertical="center"/>
    </xf>
    <xf numFmtId="9" fontId="14" fillId="0" borderId="0" xfId="1" applyFont="1" applyFill="1"/>
    <xf numFmtId="0" fontId="103" fillId="0" borderId="1" xfId="11" applyFont="1" applyBorder="1" applyAlignment="1">
      <alignment horizontal="left"/>
    </xf>
    <xf numFmtId="0" fontId="103" fillId="0" borderId="1" xfId="11" applyFont="1" applyBorder="1"/>
    <xf numFmtId="0" fontId="106" fillId="0" borderId="16" xfId="0" applyFont="1" applyBorder="1" applyAlignment="1">
      <alignment vertical="center"/>
    </xf>
    <xf numFmtId="0" fontId="106" fillId="0" borderId="21" xfId="0" applyFont="1" applyBorder="1" applyAlignment="1">
      <alignment vertical="center"/>
    </xf>
    <xf numFmtId="3" fontId="106" fillId="12" borderId="12" xfId="11" applyNumberFormat="1" applyFont="1" applyFill="1" applyBorder="1" applyAlignment="1">
      <alignment vertical="center"/>
    </xf>
    <xf numFmtId="3" fontId="106" fillId="0" borderId="12" xfId="11" applyNumberFormat="1" applyFont="1" applyBorder="1" applyAlignment="1">
      <alignment vertical="center"/>
    </xf>
    <xf numFmtId="3" fontId="100" fillId="0" borderId="12" xfId="11" applyNumberFormat="1" applyFont="1" applyBorder="1" applyAlignment="1">
      <alignment vertical="center"/>
    </xf>
    <xf numFmtId="0" fontId="106" fillId="0" borderId="16" xfId="11" applyFont="1" applyBorder="1" applyAlignment="1">
      <alignment vertical="center"/>
    </xf>
    <xf numFmtId="0" fontId="106" fillId="0" borderId="21" xfId="11" applyFont="1" applyBorder="1" applyAlignment="1">
      <alignment vertical="center"/>
    </xf>
    <xf numFmtId="0" fontId="106" fillId="0" borderId="12" xfId="11" applyFont="1" applyBorder="1" applyAlignment="1">
      <alignment vertical="center"/>
    </xf>
    <xf numFmtId="3" fontId="106" fillId="0" borderId="16" xfId="11" applyNumberFormat="1" applyFont="1" applyBorder="1" applyAlignment="1">
      <alignment vertical="center"/>
    </xf>
    <xf numFmtId="3" fontId="106" fillId="0" borderId="21" xfId="11" applyNumberFormat="1" applyFont="1" applyBorder="1" applyAlignment="1">
      <alignment vertical="center"/>
    </xf>
    <xf numFmtId="0" fontId="125" fillId="0" borderId="17" xfId="11" applyFont="1" applyBorder="1" applyAlignment="1">
      <alignment horizontal="right" vertical="center"/>
    </xf>
    <xf numFmtId="3" fontId="111" fillId="0" borderId="17" xfId="11" applyNumberFormat="1" applyFont="1" applyBorder="1" applyAlignment="1">
      <alignment vertical="center"/>
    </xf>
    <xf numFmtId="3" fontId="128" fillId="0" borderId="17" xfId="11" applyNumberFormat="1" applyFont="1" applyBorder="1" applyAlignment="1">
      <alignment vertical="center"/>
    </xf>
    <xf numFmtId="49" fontId="106" fillId="0" borderId="0" xfId="11" applyNumberFormat="1" applyFont="1" applyAlignment="1">
      <alignment horizontal="left" vertical="center"/>
    </xf>
    <xf numFmtId="0" fontId="125" fillId="0" borderId="0" xfId="11" applyFont="1" applyAlignment="1">
      <alignment horizontal="right" vertical="center"/>
    </xf>
    <xf numFmtId="0" fontId="99" fillId="0" borderId="0" xfId="11" applyFont="1" applyAlignment="1">
      <alignment horizontal="right" vertical="center"/>
    </xf>
    <xf numFmtId="3" fontId="111" fillId="0" borderId="0" xfId="11" applyNumberFormat="1" applyFont="1" applyAlignment="1">
      <alignment vertical="center"/>
    </xf>
    <xf numFmtId="0" fontId="97" fillId="0" borderId="0" xfId="0" applyFont="1" applyAlignment="1">
      <alignment horizontal="left"/>
    </xf>
    <xf numFmtId="2" fontId="97" fillId="0" borderId="0" xfId="0" applyNumberFormat="1" applyFont="1"/>
    <xf numFmtId="0" fontId="97" fillId="0" borderId="0" xfId="0" applyFont="1"/>
    <xf numFmtId="0" fontId="19" fillId="0" borderId="0" xfId="11" applyFont="1" applyAlignment="1">
      <alignment horizontal="left" vertical="top"/>
    </xf>
    <xf numFmtId="0" fontId="19" fillId="0" borderId="0" xfId="11" applyFont="1" applyAlignment="1">
      <alignment vertical="top" wrapText="1"/>
    </xf>
    <xf numFmtId="0" fontId="19" fillId="0" borderId="0" xfId="11" applyFont="1" applyAlignment="1">
      <alignment vertical="top"/>
    </xf>
    <xf numFmtId="14" fontId="21" fillId="10" borderId="0" xfId="0" applyNumberFormat="1" applyFont="1" applyFill="1" applyBorder="1" applyAlignment="1" applyProtection="1">
      <alignment horizontal="left"/>
      <protection locked="0"/>
    </xf>
    <xf numFmtId="0" fontId="21" fillId="10" borderId="0" xfId="0" applyNumberFormat="1" applyFont="1" applyFill="1" applyBorder="1" applyAlignment="1" applyProtection="1">
      <alignment horizontal="left" wrapText="1"/>
      <protection locked="0"/>
    </xf>
    <xf numFmtId="14" fontId="21" fillId="0" borderId="0" xfId="0" applyNumberFormat="1" applyFont="1" applyFill="1" applyBorder="1" applyAlignment="1" applyProtection="1">
      <alignment horizontal="left" vertical="center"/>
    </xf>
    <xf numFmtId="14" fontId="21"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xf>
    <xf numFmtId="9" fontId="97" fillId="10" borderId="2" xfId="11" applyNumberFormat="1" applyFont="1" applyFill="1" applyBorder="1" applyAlignment="1" applyProtection="1">
      <alignment vertical="top" wrapText="1"/>
    </xf>
    <xf numFmtId="170" fontId="99" fillId="0" borderId="0" xfId="2" applyNumberFormat="1" applyFont="1" applyFill="1" applyBorder="1" applyAlignment="1" applyProtection="1">
      <alignment horizontal="right" vertical="top"/>
    </xf>
    <xf numFmtId="170" fontId="99" fillId="0" borderId="0" xfId="2" applyNumberFormat="1" applyFont="1" applyFill="1" applyBorder="1" applyAlignment="1" applyProtection="1">
      <alignment horizontal="right" vertical="top" wrapText="1"/>
    </xf>
    <xf numFmtId="0" fontId="19" fillId="0" borderId="0" xfId="0" applyFont="1" applyAlignment="1" applyProtection="1">
      <alignment vertical="center" wrapText="1"/>
    </xf>
    <xf numFmtId="0" fontId="27" fillId="0" borderId="6" xfId="0" applyFont="1" applyFill="1" applyBorder="1" applyAlignment="1" applyProtection="1">
      <alignment horizontal="left" vertical="center" wrapText="1"/>
    </xf>
    <xf numFmtId="0" fontId="19" fillId="0" borderId="1" xfId="0" applyFont="1" applyBorder="1" applyAlignment="1" applyProtection="1">
      <alignment vertical="center" wrapText="1"/>
    </xf>
    <xf numFmtId="0" fontId="65" fillId="0" borderId="4" xfId="22" applyFill="1" applyBorder="1" applyAlignment="1">
      <alignment vertical="center" wrapText="1"/>
    </xf>
    <xf numFmtId="0" fontId="19" fillId="0" borderId="1" xfId="0" applyFont="1" applyBorder="1" applyAlignment="1" applyProtection="1">
      <alignment horizontal="left" vertical="center" wrapText="1"/>
    </xf>
    <xf numFmtId="0" fontId="65" fillId="0" borderId="7" xfId="22" applyFill="1" applyBorder="1" applyAlignment="1">
      <alignment vertical="center" wrapText="1"/>
    </xf>
    <xf numFmtId="0" fontId="19" fillId="0" borderId="0" xfId="0" applyFont="1" applyAlignment="1" applyProtection="1">
      <alignment wrapText="1"/>
    </xf>
    <xf numFmtId="167" fontId="37" fillId="0" borderId="8" xfId="17" applyFont="1" applyBorder="1" applyAlignment="1">
      <alignment vertical="center" wrapText="1"/>
    </xf>
    <xf numFmtId="167" fontId="37" fillId="0" borderId="1" xfId="17" applyFont="1" applyBorder="1" applyAlignment="1">
      <alignment vertical="center" wrapText="1"/>
    </xf>
    <xf numFmtId="167" fontId="19" fillId="0" borderId="8" xfId="17" applyFont="1" applyFill="1" applyBorder="1" applyAlignment="1">
      <alignment vertical="center" wrapText="1"/>
    </xf>
    <xf numFmtId="167" fontId="19" fillId="0" borderId="4" xfId="17" applyFont="1" applyFill="1" applyBorder="1" applyAlignment="1">
      <alignment vertical="center" wrapText="1"/>
    </xf>
    <xf numFmtId="167" fontId="37" fillId="0" borderId="8" xfId="17" applyBorder="1" applyAlignment="1">
      <alignment vertical="center" wrapText="1"/>
    </xf>
    <xf numFmtId="167" fontId="37" fillId="0" borderId="1" xfId="17" applyBorder="1" applyAlignment="1">
      <alignment vertical="center" wrapText="1"/>
    </xf>
  </cellXfs>
  <cellStyles count="24">
    <cellStyle name="Besedilo" xfId="9" xr:uid="{00000000-0005-0000-0000-000000000000}"/>
    <cellStyle name="Comma" xfId="2" builtinId="3"/>
    <cellStyle name="Comma 2" xfId="6" xr:uid="{00000000-0005-0000-0000-000002000000}"/>
    <cellStyle name="Comma 3" xfId="16" xr:uid="{00000000-0005-0000-0000-000003000000}"/>
    <cellStyle name="Naslov 1" xfId="7" xr:uid="{00000000-0005-0000-0000-000005000000}"/>
    <cellStyle name="Naslov 2" xfId="12" xr:uid="{323514E2-771F-4E44-B55B-C513A9715F7C}"/>
    <cellStyle name="Naslov 3" xfId="21" xr:uid="{23DC87C9-7C4A-48B9-8E1D-38636142BC22}"/>
    <cellStyle name="Naslov 4" xfId="22" xr:uid="{8622617C-EA93-4014-9041-964CD52312D1}"/>
    <cellStyle name="NASLOV IZRAČUN" xfId="10" xr:uid="{00000000-0005-0000-0000-000008000000}"/>
    <cellStyle name="Navadno 2" xfId="3" xr:uid="{00000000-0005-0000-0000-000009000000}"/>
    <cellStyle name="Navadno 2 2" xfId="4" xr:uid="{00000000-0005-0000-0000-00000A000000}"/>
    <cellStyle name="Navadno 2 3" xfId="5" xr:uid="{00000000-0005-0000-0000-00000B000000}"/>
    <cellStyle name="Normal" xfId="0" builtinId="0"/>
    <cellStyle name="Normal 2" xfId="11" xr:uid="{00000000-0005-0000-0000-00000D000000}"/>
    <cellStyle name="Normal 3" xfId="13" xr:uid="{00000000-0005-0000-0000-00000E000000}"/>
    <cellStyle name="Normal 3 2" xfId="20" xr:uid="{00000000-0005-0000-0000-00000F000000}"/>
    <cellStyle name="Normal 4" xfId="15" xr:uid="{00000000-0005-0000-0000-000010000000}"/>
    <cellStyle name="Normal 4 2" xfId="19" xr:uid="{00000000-0005-0000-0000-000011000000}"/>
    <cellStyle name="Normal 5" xfId="23" xr:uid="{44B7A725-9FF3-4CE3-8B8F-F083A3D6FC8A}"/>
    <cellStyle name="Percent" xfId="1" builtinId="5"/>
    <cellStyle name="Percent 2" xfId="14" xr:uid="{00000000-0005-0000-0000-000013000000}"/>
    <cellStyle name="Podnaslov" xfId="8" xr:uid="{00000000-0005-0000-0000-000014000000}"/>
    <cellStyle name="Style 1" xfId="17" xr:uid="{00000000-0005-0000-0000-000015000000}"/>
    <cellStyle name="Style 2" xfId="18" xr:uid="{00000000-0005-0000-0000-000016000000}"/>
  </cellStyles>
  <dxfs count="0"/>
  <tableStyles count="0" defaultTableStyle="TableStyleMedium9" defaultPivotStyle="PivotStyleLight16"/>
  <colors>
    <mruColors>
      <color rgb="FFCCECFF"/>
      <color rgb="FF009999"/>
      <color rgb="FF00CC00"/>
      <color rgb="FFCC0099"/>
      <color rgb="FFFF9999"/>
      <color rgb="FFCCFFCC"/>
      <color rgb="FF99FFCC"/>
      <color rgb="FFFFCCFF"/>
      <color rgb="FFFFCCCC"/>
      <color rgb="FFF1C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9.8135132273973399E-2"/>
          <c:y val="4.0797397844425536E-2"/>
          <c:w val="0.53447869781228663"/>
          <c:h val="0.76556974135559486"/>
        </c:manualLayout>
      </c:layout>
      <c:scatterChart>
        <c:scatterStyle val="lineMarker"/>
        <c:varyColors val="0"/>
        <c:ser>
          <c:idx val="0"/>
          <c:order val="0"/>
          <c:tx>
            <c:strRef>
              <c:f>'STAVBE IN NOTRANJA OPREMA'!$C$4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OPREMA'!$C$7:$C$30</c:f>
              <c:numCache>
                <c:formatCode>#,##0_ ;\-#,##0\ </c:formatCode>
                <c:ptCount val="24"/>
                <c:pt idx="0">
                  <c:v>39</c:v>
                </c:pt>
                <c:pt idx="1">
                  <c:v>53</c:v>
                </c:pt>
                <c:pt idx="2">
                  <c:v>73</c:v>
                </c:pt>
                <c:pt idx="3">
                  <c:v>104</c:v>
                </c:pt>
                <c:pt idx="4">
                  <c:v>135</c:v>
                </c:pt>
                <c:pt idx="5">
                  <c:v>194</c:v>
                </c:pt>
                <c:pt idx="6">
                  <c:v>250</c:v>
                </c:pt>
                <c:pt idx="7">
                  <c:v>359</c:v>
                </c:pt>
                <c:pt idx="8">
                  <c:v>565</c:v>
                </c:pt>
                <c:pt idx="9">
                  <c:v>808</c:v>
                </c:pt>
                <c:pt idx="10">
                  <c:v>1040</c:v>
                </c:pt>
                <c:pt idx="11">
                  <c:v>1491</c:v>
                </c:pt>
                <c:pt idx="12">
                  <c:v>1925</c:v>
                </c:pt>
                <c:pt idx="13">
                  <c:v>2752</c:v>
                </c:pt>
                <c:pt idx="14">
                  <c:v>4298</c:v>
                </c:pt>
                <c:pt idx="15">
                  <c:v>6174</c:v>
                </c:pt>
                <c:pt idx="16">
                  <c:v>7978</c:v>
                </c:pt>
                <c:pt idx="17">
                  <c:v>11439</c:v>
                </c:pt>
                <c:pt idx="18">
                  <c:v>14755</c:v>
                </c:pt>
                <c:pt idx="19">
                  <c:v>17961</c:v>
                </c:pt>
                <c:pt idx="20">
                  <c:v>29640</c:v>
                </c:pt>
                <c:pt idx="21">
                  <c:v>46800</c:v>
                </c:pt>
                <c:pt idx="22">
                  <c:v>60840</c:v>
                </c:pt>
                <c:pt idx="23">
                  <c:v>68640</c:v>
                </c:pt>
              </c:numCache>
            </c:numRef>
          </c:yVal>
          <c:smooth val="0"/>
          <c:extLst>
            <c:ext xmlns:c16="http://schemas.microsoft.com/office/drawing/2014/chart" uri="{C3380CC4-5D6E-409C-BE32-E72D297353CC}">
              <c16:uniqueId val="{00000000-F1A1-408B-82C6-0A1120F7BF58}"/>
            </c:ext>
          </c:extLst>
        </c:ser>
        <c:ser>
          <c:idx val="2"/>
          <c:order val="2"/>
          <c:tx>
            <c:strRef>
              <c:f>'STAVBE IN NOTRANJA OPREMA'!$E$4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OPREMA'!$E$7:$E$30</c:f>
              <c:numCache>
                <c:formatCode>#,##0_ ;\-#,##0\ </c:formatCode>
                <c:ptCount val="24"/>
                <c:pt idx="0">
                  <c:v>46</c:v>
                </c:pt>
                <c:pt idx="1">
                  <c:v>62</c:v>
                </c:pt>
                <c:pt idx="2">
                  <c:v>85</c:v>
                </c:pt>
                <c:pt idx="3">
                  <c:v>122</c:v>
                </c:pt>
                <c:pt idx="4">
                  <c:v>158</c:v>
                </c:pt>
                <c:pt idx="5">
                  <c:v>227</c:v>
                </c:pt>
                <c:pt idx="6">
                  <c:v>294</c:v>
                </c:pt>
                <c:pt idx="7">
                  <c:v>421</c:v>
                </c:pt>
                <c:pt idx="8">
                  <c:v>663</c:v>
                </c:pt>
                <c:pt idx="9">
                  <c:v>947</c:v>
                </c:pt>
                <c:pt idx="10">
                  <c:v>1218</c:v>
                </c:pt>
                <c:pt idx="11">
                  <c:v>1748</c:v>
                </c:pt>
                <c:pt idx="12">
                  <c:v>2255</c:v>
                </c:pt>
                <c:pt idx="13">
                  <c:v>3225</c:v>
                </c:pt>
                <c:pt idx="14">
                  <c:v>5037</c:v>
                </c:pt>
                <c:pt idx="15">
                  <c:v>7235</c:v>
                </c:pt>
                <c:pt idx="16">
                  <c:v>9350</c:v>
                </c:pt>
                <c:pt idx="17">
                  <c:v>13405</c:v>
                </c:pt>
                <c:pt idx="18">
                  <c:v>17291</c:v>
                </c:pt>
                <c:pt idx="19">
                  <c:v>21048</c:v>
                </c:pt>
                <c:pt idx="20">
                  <c:v>34960</c:v>
                </c:pt>
                <c:pt idx="21">
                  <c:v>55200</c:v>
                </c:pt>
                <c:pt idx="22">
                  <c:v>71760</c:v>
                </c:pt>
                <c:pt idx="23">
                  <c:v>80960</c:v>
                </c:pt>
              </c:numCache>
            </c:numRef>
          </c:yVal>
          <c:smooth val="0"/>
          <c:extLst>
            <c:ext xmlns:c16="http://schemas.microsoft.com/office/drawing/2014/chart" uri="{C3380CC4-5D6E-409C-BE32-E72D297353CC}">
              <c16:uniqueId val="{0000000D-F1A1-408B-82C6-0A1120F7BF58}"/>
            </c:ext>
          </c:extLst>
        </c:ser>
        <c:ser>
          <c:idx val="4"/>
          <c:order val="4"/>
          <c:tx>
            <c:strRef>
              <c:f>'STAVBE IN NOTRANJA OPREMA'!$G$4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OPREMA'!$G$7:$G$30</c:f>
              <c:numCache>
                <c:formatCode>#,##0_ ;\-#,##0\ </c:formatCode>
                <c:ptCount val="24"/>
                <c:pt idx="0">
                  <c:v>54</c:v>
                </c:pt>
                <c:pt idx="1">
                  <c:v>73</c:v>
                </c:pt>
                <c:pt idx="2">
                  <c:v>101</c:v>
                </c:pt>
                <c:pt idx="3">
                  <c:v>145</c:v>
                </c:pt>
                <c:pt idx="4">
                  <c:v>188</c:v>
                </c:pt>
                <c:pt idx="5">
                  <c:v>269</c:v>
                </c:pt>
                <c:pt idx="6">
                  <c:v>348</c:v>
                </c:pt>
                <c:pt idx="7">
                  <c:v>500</c:v>
                </c:pt>
                <c:pt idx="8">
                  <c:v>786</c:v>
                </c:pt>
                <c:pt idx="9">
                  <c:v>1124</c:v>
                </c:pt>
                <c:pt idx="10">
                  <c:v>1446</c:v>
                </c:pt>
                <c:pt idx="11">
                  <c:v>2074</c:v>
                </c:pt>
                <c:pt idx="12">
                  <c:v>2676</c:v>
                </c:pt>
                <c:pt idx="13">
                  <c:v>3827</c:v>
                </c:pt>
                <c:pt idx="14">
                  <c:v>5978</c:v>
                </c:pt>
                <c:pt idx="15">
                  <c:v>8586</c:v>
                </c:pt>
                <c:pt idx="16">
                  <c:v>11095</c:v>
                </c:pt>
                <c:pt idx="17">
                  <c:v>15908</c:v>
                </c:pt>
                <c:pt idx="18">
                  <c:v>20519</c:v>
                </c:pt>
                <c:pt idx="19">
                  <c:v>24977</c:v>
                </c:pt>
                <c:pt idx="20">
                  <c:v>41040</c:v>
                </c:pt>
                <c:pt idx="21">
                  <c:v>64800</c:v>
                </c:pt>
                <c:pt idx="22">
                  <c:v>84240</c:v>
                </c:pt>
                <c:pt idx="23">
                  <c:v>95040</c:v>
                </c:pt>
              </c:numCache>
            </c:numRef>
          </c:yVal>
          <c:smooth val="0"/>
          <c:extLst>
            <c:ext xmlns:c16="http://schemas.microsoft.com/office/drawing/2014/chart" uri="{C3380CC4-5D6E-409C-BE32-E72D297353CC}">
              <c16:uniqueId val="{0000000F-F1A1-408B-82C6-0A1120F7BF58}"/>
            </c:ext>
          </c:extLst>
        </c:ser>
        <c:ser>
          <c:idx val="6"/>
          <c:order val="6"/>
          <c:tx>
            <c:strRef>
              <c:f>'STAVBE IN NOTRANJA OPREMA'!$I$4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OPREMA'!$I$7:$I$30</c:f>
              <c:numCache>
                <c:formatCode>#,##0_ ;\-#,##0\ </c:formatCode>
                <c:ptCount val="24"/>
                <c:pt idx="0">
                  <c:v>68</c:v>
                </c:pt>
                <c:pt idx="1">
                  <c:v>91</c:v>
                </c:pt>
                <c:pt idx="2">
                  <c:v>126</c:v>
                </c:pt>
                <c:pt idx="3">
                  <c:v>181</c:v>
                </c:pt>
                <c:pt idx="4">
                  <c:v>234</c:v>
                </c:pt>
                <c:pt idx="5">
                  <c:v>336</c:v>
                </c:pt>
                <c:pt idx="6">
                  <c:v>434</c:v>
                </c:pt>
                <c:pt idx="7">
                  <c:v>623</c:v>
                </c:pt>
                <c:pt idx="8">
                  <c:v>981</c:v>
                </c:pt>
                <c:pt idx="9">
                  <c:v>1402</c:v>
                </c:pt>
                <c:pt idx="10">
                  <c:v>1803</c:v>
                </c:pt>
                <c:pt idx="11">
                  <c:v>2587</c:v>
                </c:pt>
                <c:pt idx="12">
                  <c:v>3338</c:v>
                </c:pt>
                <c:pt idx="13">
                  <c:v>4773</c:v>
                </c:pt>
                <c:pt idx="14">
                  <c:v>7455</c:v>
                </c:pt>
                <c:pt idx="15">
                  <c:v>10708</c:v>
                </c:pt>
                <c:pt idx="16">
                  <c:v>13838</c:v>
                </c:pt>
                <c:pt idx="17">
                  <c:v>19840</c:v>
                </c:pt>
                <c:pt idx="18">
                  <c:v>25591</c:v>
                </c:pt>
                <c:pt idx="19">
                  <c:v>31151</c:v>
                </c:pt>
                <c:pt idx="20">
                  <c:v>51680</c:v>
                </c:pt>
                <c:pt idx="21">
                  <c:v>81600</c:v>
                </c:pt>
                <c:pt idx="22">
                  <c:v>106080</c:v>
                </c:pt>
                <c:pt idx="23">
                  <c:v>119680</c:v>
                </c:pt>
              </c:numCache>
            </c:numRef>
          </c:yVal>
          <c:smooth val="0"/>
          <c:extLst>
            <c:ext xmlns:c16="http://schemas.microsoft.com/office/drawing/2014/chart" uri="{C3380CC4-5D6E-409C-BE32-E72D297353CC}">
              <c16:uniqueId val="{00000011-F1A1-408B-82C6-0A1120F7BF58}"/>
            </c:ext>
          </c:extLst>
        </c:ser>
        <c:ser>
          <c:idx val="8"/>
          <c:order val="8"/>
          <c:tx>
            <c:strRef>
              <c:f>'STAVBE IN NOTRANJA OPREMA'!$K$4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OPREMA'!$K$7:$K$30</c:f>
              <c:numCache>
                <c:formatCode>#,##0_ ;\-#,##0\ </c:formatCode>
                <c:ptCount val="24"/>
                <c:pt idx="0">
                  <c:v>76</c:v>
                </c:pt>
                <c:pt idx="1">
                  <c:v>103</c:v>
                </c:pt>
                <c:pt idx="2">
                  <c:v>142</c:v>
                </c:pt>
                <c:pt idx="3">
                  <c:v>204</c:v>
                </c:pt>
                <c:pt idx="4">
                  <c:v>263</c:v>
                </c:pt>
                <c:pt idx="5">
                  <c:v>378</c:v>
                </c:pt>
                <c:pt idx="6">
                  <c:v>489</c:v>
                </c:pt>
                <c:pt idx="7">
                  <c:v>702</c:v>
                </c:pt>
                <c:pt idx="8">
                  <c:v>1104</c:v>
                </c:pt>
                <c:pt idx="9">
                  <c:v>1579</c:v>
                </c:pt>
                <c:pt idx="10">
                  <c:v>2031</c:v>
                </c:pt>
                <c:pt idx="11">
                  <c:v>2913</c:v>
                </c:pt>
                <c:pt idx="12">
                  <c:v>3759</c:v>
                </c:pt>
                <c:pt idx="13">
                  <c:v>5375</c:v>
                </c:pt>
                <c:pt idx="14">
                  <c:v>8396</c:v>
                </c:pt>
                <c:pt idx="15">
                  <c:v>12059</c:v>
                </c:pt>
                <c:pt idx="16">
                  <c:v>15583</c:v>
                </c:pt>
                <c:pt idx="17">
                  <c:v>22342</c:v>
                </c:pt>
                <c:pt idx="18">
                  <c:v>28819</c:v>
                </c:pt>
                <c:pt idx="19">
                  <c:v>35080</c:v>
                </c:pt>
                <c:pt idx="20">
                  <c:v>57760</c:v>
                </c:pt>
                <c:pt idx="21">
                  <c:v>91200</c:v>
                </c:pt>
                <c:pt idx="22">
                  <c:v>118560</c:v>
                </c:pt>
                <c:pt idx="23">
                  <c:v>133760</c:v>
                </c:pt>
              </c:numCache>
            </c:numRef>
          </c:yVal>
          <c:smooth val="0"/>
          <c:extLst>
            <c:ext xmlns:c16="http://schemas.microsoft.com/office/drawing/2014/chart" uri="{C3380CC4-5D6E-409C-BE32-E72D297353CC}">
              <c16:uniqueId val="{00000013-F1A1-408B-82C6-0A1120F7BF58}"/>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'STAVBE IN NOTRANJA OPREMA'!$B$7:$B$30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'STAVBE IN NOTRANJA OPREMA'!$L$7:$L$30</c:f>
              <c:numCache>
                <c:formatCode>#,##0_ ;\-#,##0\ </c:formatCode>
                <c:ptCount val="24"/>
                <c:pt idx="0">
                  <c:v>83</c:v>
                </c:pt>
                <c:pt idx="1">
                  <c:v>112</c:v>
                </c:pt>
                <c:pt idx="2">
                  <c:v>154</c:v>
                </c:pt>
                <c:pt idx="3">
                  <c:v>222</c:v>
                </c:pt>
                <c:pt idx="4">
                  <c:v>287</c:v>
                </c:pt>
                <c:pt idx="5">
                  <c:v>412</c:v>
                </c:pt>
                <c:pt idx="6">
                  <c:v>532</c:v>
                </c:pt>
                <c:pt idx="7">
                  <c:v>764</c:v>
                </c:pt>
                <c:pt idx="8">
                  <c:v>1201</c:v>
                </c:pt>
                <c:pt idx="9">
                  <c:v>1718</c:v>
                </c:pt>
                <c:pt idx="10">
                  <c:v>2210</c:v>
                </c:pt>
                <c:pt idx="11">
                  <c:v>3169</c:v>
                </c:pt>
                <c:pt idx="12">
                  <c:v>4090</c:v>
                </c:pt>
                <c:pt idx="13">
                  <c:v>5848</c:v>
                </c:pt>
                <c:pt idx="14">
                  <c:v>9134</c:v>
                </c:pt>
                <c:pt idx="15">
                  <c:v>13120</c:v>
                </c:pt>
                <c:pt idx="16">
                  <c:v>16954</c:v>
                </c:pt>
                <c:pt idx="17">
                  <c:v>24308</c:v>
                </c:pt>
                <c:pt idx="18">
                  <c:v>31355</c:v>
                </c:pt>
                <c:pt idx="19">
                  <c:v>38167</c:v>
                </c:pt>
                <c:pt idx="20">
                  <c:v>63080</c:v>
                </c:pt>
                <c:pt idx="21">
                  <c:v>99600</c:v>
                </c:pt>
                <c:pt idx="22">
                  <c:v>129480</c:v>
                </c:pt>
                <c:pt idx="23">
                  <c:v>146080</c:v>
                </c:pt>
              </c:numCache>
            </c:numRef>
          </c:yVal>
          <c:smooth val="0"/>
          <c:extLst>
            <c:ext xmlns:c16="http://schemas.microsoft.com/office/drawing/2014/chart" uri="{C3380CC4-5D6E-409C-BE32-E72D297353CC}">
              <c16:uniqueId val="{00000014-F1A1-408B-82C6-0A1120F7BF58}"/>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'STAVBE IN NOTRANJA OPREMA'!$D$7:$D$30</c15:sqref>
                        </c15:formulaRef>
                      </c:ext>
                    </c:extLst>
                    <c:numCache>
                      <c:formatCode>#,##0_ ;\-#,##0\ </c:formatCode>
                      <c:ptCount val="24"/>
                      <c:pt idx="0">
                        <c:v>46</c:v>
                      </c:pt>
                      <c:pt idx="1">
                        <c:v>62</c:v>
                      </c:pt>
                      <c:pt idx="2">
                        <c:v>85</c:v>
                      </c:pt>
                      <c:pt idx="3">
                        <c:v>122</c:v>
                      </c:pt>
                      <c:pt idx="4">
                        <c:v>158</c:v>
                      </c:pt>
                      <c:pt idx="5">
                        <c:v>227</c:v>
                      </c:pt>
                      <c:pt idx="6">
                        <c:v>294</c:v>
                      </c:pt>
                      <c:pt idx="7">
                        <c:v>421</c:v>
                      </c:pt>
                      <c:pt idx="8">
                        <c:v>663</c:v>
                      </c:pt>
                      <c:pt idx="9">
                        <c:v>947</c:v>
                      </c:pt>
                      <c:pt idx="10">
                        <c:v>1218</c:v>
                      </c:pt>
                      <c:pt idx="11">
                        <c:v>1748</c:v>
                      </c:pt>
                      <c:pt idx="12">
                        <c:v>2255</c:v>
                      </c:pt>
                      <c:pt idx="13">
                        <c:v>3225</c:v>
                      </c:pt>
                      <c:pt idx="14">
                        <c:v>5037</c:v>
                      </c:pt>
                      <c:pt idx="15">
                        <c:v>7235</c:v>
                      </c:pt>
                      <c:pt idx="16">
                        <c:v>9350</c:v>
                      </c:pt>
                      <c:pt idx="17">
                        <c:v>13405</c:v>
                      </c:pt>
                      <c:pt idx="18">
                        <c:v>17291</c:v>
                      </c:pt>
                      <c:pt idx="19">
                        <c:v>21048</c:v>
                      </c:pt>
                      <c:pt idx="20">
                        <c:v>34960</c:v>
                      </c:pt>
                      <c:pt idx="21">
                        <c:v>55200</c:v>
                      </c:pt>
                      <c:pt idx="22">
                        <c:v>71760</c:v>
                      </c:pt>
                      <c:pt idx="23">
                        <c:v>80960</c:v>
                      </c:pt>
                    </c:numCache>
                  </c:numRef>
                </c:yVal>
                <c:smooth val="0"/>
                <c:extLst>
                  <c:ext xmlns:c16="http://schemas.microsoft.com/office/drawing/2014/chart" uri="{C3380CC4-5D6E-409C-BE32-E72D297353CC}">
                    <c16:uniqueId val="{0000000C-F1A1-408B-82C6-0A1120F7BF58}"/>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OPREMA'!$F$7:$F$30</c15:sqref>
                        </c15:formulaRef>
                      </c:ext>
                    </c:extLst>
                    <c:numCache>
                      <c:formatCode>#,##0_ ;\-#,##0\ </c:formatCode>
                      <c:ptCount val="24"/>
                      <c:pt idx="0">
                        <c:v>54</c:v>
                      </c:pt>
                      <c:pt idx="1">
                        <c:v>73</c:v>
                      </c:pt>
                      <c:pt idx="2">
                        <c:v>101</c:v>
                      </c:pt>
                      <c:pt idx="3">
                        <c:v>145</c:v>
                      </c:pt>
                      <c:pt idx="4">
                        <c:v>188</c:v>
                      </c:pt>
                      <c:pt idx="5">
                        <c:v>269</c:v>
                      </c:pt>
                      <c:pt idx="6">
                        <c:v>348</c:v>
                      </c:pt>
                      <c:pt idx="7">
                        <c:v>500</c:v>
                      </c:pt>
                      <c:pt idx="8">
                        <c:v>786</c:v>
                      </c:pt>
                      <c:pt idx="9">
                        <c:v>1124</c:v>
                      </c:pt>
                      <c:pt idx="10">
                        <c:v>1446</c:v>
                      </c:pt>
                      <c:pt idx="11">
                        <c:v>2074</c:v>
                      </c:pt>
                      <c:pt idx="12">
                        <c:v>2676</c:v>
                      </c:pt>
                      <c:pt idx="13">
                        <c:v>3827</c:v>
                      </c:pt>
                      <c:pt idx="14">
                        <c:v>5978</c:v>
                      </c:pt>
                      <c:pt idx="15">
                        <c:v>8586</c:v>
                      </c:pt>
                      <c:pt idx="16">
                        <c:v>11095</c:v>
                      </c:pt>
                      <c:pt idx="17">
                        <c:v>15908</c:v>
                      </c:pt>
                      <c:pt idx="18">
                        <c:v>20519</c:v>
                      </c:pt>
                      <c:pt idx="19">
                        <c:v>24977</c:v>
                      </c:pt>
                      <c:pt idx="20">
                        <c:v>41040</c:v>
                      </c:pt>
                      <c:pt idx="21">
                        <c:v>64800</c:v>
                      </c:pt>
                      <c:pt idx="22">
                        <c:v>84240</c:v>
                      </c:pt>
                      <c:pt idx="23">
                        <c:v>95040</c:v>
                      </c:pt>
                    </c:numCache>
                  </c:numRef>
                </c:yVal>
                <c:smooth val="0"/>
                <c:extLst xmlns:c15="http://schemas.microsoft.com/office/drawing/2012/chart">
                  <c:ext xmlns:c16="http://schemas.microsoft.com/office/drawing/2014/chart" uri="{C3380CC4-5D6E-409C-BE32-E72D297353CC}">
                    <c16:uniqueId val="{0000000E-F1A1-408B-82C6-0A1120F7BF58}"/>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OPREMA'!$H$7:$H$30</c15:sqref>
                        </c15:formulaRef>
                      </c:ext>
                    </c:extLst>
                    <c:numCache>
                      <c:formatCode>#,##0_ ;\-#,##0\ </c:formatCode>
                      <c:ptCount val="24"/>
                      <c:pt idx="0">
                        <c:v>68</c:v>
                      </c:pt>
                      <c:pt idx="1">
                        <c:v>91</c:v>
                      </c:pt>
                      <c:pt idx="2">
                        <c:v>126</c:v>
                      </c:pt>
                      <c:pt idx="3">
                        <c:v>181</c:v>
                      </c:pt>
                      <c:pt idx="4">
                        <c:v>234</c:v>
                      </c:pt>
                      <c:pt idx="5">
                        <c:v>336</c:v>
                      </c:pt>
                      <c:pt idx="6">
                        <c:v>434</c:v>
                      </c:pt>
                      <c:pt idx="7">
                        <c:v>623</c:v>
                      </c:pt>
                      <c:pt idx="8">
                        <c:v>981</c:v>
                      </c:pt>
                      <c:pt idx="9">
                        <c:v>1402</c:v>
                      </c:pt>
                      <c:pt idx="10">
                        <c:v>1803</c:v>
                      </c:pt>
                      <c:pt idx="11">
                        <c:v>2587</c:v>
                      </c:pt>
                      <c:pt idx="12">
                        <c:v>3338</c:v>
                      </c:pt>
                      <c:pt idx="13">
                        <c:v>4773</c:v>
                      </c:pt>
                      <c:pt idx="14">
                        <c:v>7455</c:v>
                      </c:pt>
                      <c:pt idx="15">
                        <c:v>10708</c:v>
                      </c:pt>
                      <c:pt idx="16">
                        <c:v>13838</c:v>
                      </c:pt>
                      <c:pt idx="17">
                        <c:v>19840</c:v>
                      </c:pt>
                      <c:pt idx="18">
                        <c:v>25591</c:v>
                      </c:pt>
                      <c:pt idx="19">
                        <c:v>31151</c:v>
                      </c:pt>
                      <c:pt idx="20">
                        <c:v>51680</c:v>
                      </c:pt>
                      <c:pt idx="21">
                        <c:v>81600</c:v>
                      </c:pt>
                      <c:pt idx="22">
                        <c:v>106080</c:v>
                      </c:pt>
                      <c:pt idx="23">
                        <c:v>119680</c:v>
                      </c:pt>
                    </c:numCache>
                  </c:numRef>
                </c:yVal>
                <c:smooth val="0"/>
                <c:extLst xmlns:c15="http://schemas.microsoft.com/office/drawing/2012/chart">
                  <c:ext xmlns:c16="http://schemas.microsoft.com/office/drawing/2014/chart" uri="{C3380CC4-5D6E-409C-BE32-E72D297353CC}">
                    <c16:uniqueId val="{00000010-F1A1-408B-82C6-0A1120F7BF58}"/>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'STAVBE IN NOTRANJA OPREMA'!$B$7:$B$30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'STAVBE IN NOTRANJA OPREMA'!$J$7:$J$30</c15:sqref>
                        </c15:formulaRef>
                      </c:ext>
                    </c:extLst>
                    <c:numCache>
                      <c:formatCode>#,##0_ ;\-#,##0\ </c:formatCode>
                      <c:ptCount val="24"/>
                      <c:pt idx="0">
                        <c:v>76</c:v>
                      </c:pt>
                      <c:pt idx="1">
                        <c:v>103</c:v>
                      </c:pt>
                      <c:pt idx="2">
                        <c:v>142</c:v>
                      </c:pt>
                      <c:pt idx="3">
                        <c:v>204</c:v>
                      </c:pt>
                      <c:pt idx="4">
                        <c:v>263</c:v>
                      </c:pt>
                      <c:pt idx="5">
                        <c:v>378</c:v>
                      </c:pt>
                      <c:pt idx="6">
                        <c:v>489</c:v>
                      </c:pt>
                      <c:pt idx="7">
                        <c:v>702</c:v>
                      </c:pt>
                      <c:pt idx="8">
                        <c:v>1104</c:v>
                      </c:pt>
                      <c:pt idx="9">
                        <c:v>1579</c:v>
                      </c:pt>
                      <c:pt idx="10">
                        <c:v>2031</c:v>
                      </c:pt>
                      <c:pt idx="11">
                        <c:v>2913</c:v>
                      </c:pt>
                      <c:pt idx="12">
                        <c:v>3759</c:v>
                      </c:pt>
                      <c:pt idx="13">
                        <c:v>5375</c:v>
                      </c:pt>
                      <c:pt idx="14">
                        <c:v>8396</c:v>
                      </c:pt>
                      <c:pt idx="15">
                        <c:v>12059</c:v>
                      </c:pt>
                      <c:pt idx="16">
                        <c:v>15583</c:v>
                      </c:pt>
                      <c:pt idx="17">
                        <c:v>22342</c:v>
                      </c:pt>
                      <c:pt idx="18">
                        <c:v>28819</c:v>
                      </c:pt>
                      <c:pt idx="19">
                        <c:v>35080</c:v>
                      </c:pt>
                      <c:pt idx="20">
                        <c:v>57760</c:v>
                      </c:pt>
                      <c:pt idx="21">
                        <c:v>91200</c:v>
                      </c:pt>
                      <c:pt idx="22">
                        <c:v>118560</c:v>
                      </c:pt>
                      <c:pt idx="23">
                        <c:v>133760</c:v>
                      </c:pt>
                    </c:numCache>
                  </c:numRef>
                </c:yVal>
                <c:smooth val="0"/>
                <c:extLst xmlns:c15="http://schemas.microsoft.com/office/drawing/2012/chart">
                  <c:ext xmlns:c16="http://schemas.microsoft.com/office/drawing/2014/chart" uri="{C3380CC4-5D6E-409C-BE32-E72D297353CC}">
                    <c16:uniqueId val="{00000012-F1A1-408B-82C6-0A1120F7BF58}"/>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8.6922819654318528E-2"/>
          <c:y val="5.8886657999724347E-2"/>
          <c:w val="0.71189729181323402"/>
          <c:h val="0.77704646566845226"/>
        </c:manualLayout>
      </c:layout>
      <c:scatterChart>
        <c:scatterStyle val="lineMarker"/>
        <c:varyColors val="0"/>
        <c:ser>
          <c:idx val="0"/>
          <c:order val="0"/>
          <c:tx>
            <c:strRef>
              <c:f>'GRADBENA FIZIKA'!$C$70</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FIZIKA'!$C$73:$C$96</c:f>
              <c:numCache>
                <c:formatCode>#,##0_ ;\-#,##0\ </c:formatCode>
                <c:ptCount val="24"/>
                <c:pt idx="0">
                  <c:v>21</c:v>
                </c:pt>
                <c:pt idx="1">
                  <c:v>23</c:v>
                </c:pt>
                <c:pt idx="2">
                  <c:v>24</c:v>
                </c:pt>
                <c:pt idx="3">
                  <c:v>26</c:v>
                </c:pt>
                <c:pt idx="4">
                  <c:v>28</c:v>
                </c:pt>
                <c:pt idx="5">
                  <c:v>30</c:v>
                </c:pt>
                <c:pt idx="6">
                  <c:v>32</c:v>
                </c:pt>
                <c:pt idx="7">
                  <c:v>36</c:v>
                </c:pt>
                <c:pt idx="8">
                  <c:v>39</c:v>
                </c:pt>
                <c:pt idx="9">
                  <c:v>48</c:v>
                </c:pt>
                <c:pt idx="10">
                  <c:v>57</c:v>
                </c:pt>
                <c:pt idx="11">
                  <c:v>74</c:v>
                </c:pt>
                <c:pt idx="12">
                  <c:v>90</c:v>
                </c:pt>
                <c:pt idx="13">
                  <c:v>106</c:v>
                </c:pt>
                <c:pt idx="14">
                  <c:v>121</c:v>
                </c:pt>
                <c:pt idx="15">
                  <c:v>151</c:v>
                </c:pt>
                <c:pt idx="16">
                  <c:v>181</c:v>
                </c:pt>
                <c:pt idx="17">
                  <c:v>210</c:v>
                </c:pt>
                <c:pt idx="18">
                  <c:v>238</c:v>
                </c:pt>
                <c:pt idx="19">
                  <c:v>252</c:v>
                </c:pt>
                <c:pt idx="20">
                  <c:v>294</c:v>
                </c:pt>
                <c:pt idx="21">
                  <c:v>378</c:v>
                </c:pt>
                <c:pt idx="22">
                  <c:v>420</c:v>
                </c:pt>
                <c:pt idx="23">
                  <c:v>446.25000000000006</c:v>
                </c:pt>
              </c:numCache>
            </c:numRef>
          </c:yVal>
          <c:smooth val="0"/>
          <c:extLst>
            <c:ext xmlns:c16="http://schemas.microsoft.com/office/drawing/2014/chart" uri="{C3380CC4-5D6E-409C-BE32-E72D297353CC}">
              <c16:uniqueId val="{00000000-0C28-4197-8C1B-0F2CEEE79E6D}"/>
            </c:ext>
          </c:extLst>
        </c:ser>
        <c:ser>
          <c:idx val="2"/>
          <c:order val="2"/>
          <c:tx>
            <c:strRef>
              <c:f>'GRADBENA FIZIKA'!$E$70</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FIZIKA'!$E$73:$E$96</c:f>
              <c:numCache>
                <c:formatCode>#,##0_ ;\-#,##0\ </c:formatCode>
                <c:ptCount val="24"/>
                <c:pt idx="0">
                  <c:v>28</c:v>
                </c:pt>
                <c:pt idx="1">
                  <c:v>29</c:v>
                </c:pt>
                <c:pt idx="2">
                  <c:v>31</c:v>
                </c:pt>
                <c:pt idx="3">
                  <c:v>33</c:v>
                </c:pt>
                <c:pt idx="4">
                  <c:v>36</c:v>
                </c:pt>
                <c:pt idx="5">
                  <c:v>39</c:v>
                </c:pt>
                <c:pt idx="6">
                  <c:v>41</c:v>
                </c:pt>
                <c:pt idx="7">
                  <c:v>46</c:v>
                </c:pt>
                <c:pt idx="8">
                  <c:v>51</c:v>
                </c:pt>
                <c:pt idx="9">
                  <c:v>63</c:v>
                </c:pt>
                <c:pt idx="10">
                  <c:v>74</c:v>
                </c:pt>
                <c:pt idx="11">
                  <c:v>96</c:v>
                </c:pt>
                <c:pt idx="12">
                  <c:v>117</c:v>
                </c:pt>
                <c:pt idx="13">
                  <c:v>137</c:v>
                </c:pt>
                <c:pt idx="14">
                  <c:v>157</c:v>
                </c:pt>
                <c:pt idx="15">
                  <c:v>197</c:v>
                </c:pt>
                <c:pt idx="16">
                  <c:v>235</c:v>
                </c:pt>
                <c:pt idx="17">
                  <c:v>272</c:v>
                </c:pt>
                <c:pt idx="18">
                  <c:v>309</c:v>
                </c:pt>
                <c:pt idx="19">
                  <c:v>328</c:v>
                </c:pt>
                <c:pt idx="20">
                  <c:v>392.00000000000006</c:v>
                </c:pt>
                <c:pt idx="21">
                  <c:v>504</c:v>
                </c:pt>
                <c:pt idx="22">
                  <c:v>560</c:v>
                </c:pt>
                <c:pt idx="23">
                  <c:v>595</c:v>
                </c:pt>
              </c:numCache>
            </c:numRef>
          </c:yVal>
          <c:smooth val="0"/>
          <c:extLst>
            <c:ext xmlns:c16="http://schemas.microsoft.com/office/drawing/2014/chart" uri="{C3380CC4-5D6E-409C-BE32-E72D297353CC}">
              <c16:uniqueId val="{00000002-0C28-4197-8C1B-0F2CEEE79E6D}"/>
            </c:ext>
          </c:extLst>
        </c:ser>
        <c:ser>
          <c:idx val="4"/>
          <c:order val="4"/>
          <c:tx>
            <c:strRef>
              <c:f>'GRADBENA FIZIKA'!$G$70</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FIZIKA'!$G$73:$G$96</c:f>
              <c:numCache>
                <c:formatCode>#,##0_ ;\-#,##0\ </c:formatCode>
                <c:ptCount val="24"/>
                <c:pt idx="0">
                  <c:v>34</c:v>
                </c:pt>
                <c:pt idx="1">
                  <c:v>36</c:v>
                </c:pt>
                <c:pt idx="2">
                  <c:v>38</c:v>
                </c:pt>
                <c:pt idx="3">
                  <c:v>41</c:v>
                </c:pt>
                <c:pt idx="4">
                  <c:v>44</c:v>
                </c:pt>
                <c:pt idx="5">
                  <c:v>48</c:v>
                </c:pt>
                <c:pt idx="6">
                  <c:v>51</c:v>
                </c:pt>
                <c:pt idx="7">
                  <c:v>57</c:v>
                </c:pt>
                <c:pt idx="8">
                  <c:v>63</c:v>
                </c:pt>
                <c:pt idx="9">
                  <c:v>77</c:v>
                </c:pt>
                <c:pt idx="10">
                  <c:v>91</c:v>
                </c:pt>
                <c:pt idx="11">
                  <c:v>118</c:v>
                </c:pt>
                <c:pt idx="12">
                  <c:v>144</c:v>
                </c:pt>
                <c:pt idx="13">
                  <c:v>169</c:v>
                </c:pt>
                <c:pt idx="14">
                  <c:v>193</c:v>
                </c:pt>
                <c:pt idx="15">
                  <c:v>242</c:v>
                </c:pt>
                <c:pt idx="16">
                  <c:v>289</c:v>
                </c:pt>
                <c:pt idx="17">
                  <c:v>335</c:v>
                </c:pt>
                <c:pt idx="18">
                  <c:v>380</c:v>
                </c:pt>
                <c:pt idx="19">
                  <c:v>403</c:v>
                </c:pt>
                <c:pt idx="20">
                  <c:v>476.00000000000006</c:v>
                </c:pt>
                <c:pt idx="21">
                  <c:v>612</c:v>
                </c:pt>
                <c:pt idx="22">
                  <c:v>680</c:v>
                </c:pt>
                <c:pt idx="23">
                  <c:v>722.5</c:v>
                </c:pt>
              </c:numCache>
            </c:numRef>
          </c:yVal>
          <c:smooth val="0"/>
          <c:extLst>
            <c:ext xmlns:c16="http://schemas.microsoft.com/office/drawing/2014/chart" uri="{C3380CC4-5D6E-409C-BE32-E72D297353CC}">
              <c16:uniqueId val="{00000004-0C28-4197-8C1B-0F2CEEE79E6D}"/>
            </c:ext>
          </c:extLst>
        </c:ser>
        <c:ser>
          <c:idx val="6"/>
          <c:order val="6"/>
          <c:tx>
            <c:strRef>
              <c:f>'GRADBENA FIZIKA'!$I$70</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FIZIKA'!$I$73:$I$96</c:f>
              <c:numCache>
                <c:formatCode>#,##0_ ;\-#,##0\ </c:formatCode>
                <c:ptCount val="24"/>
                <c:pt idx="0">
                  <c:v>41</c:v>
                </c:pt>
                <c:pt idx="1">
                  <c:v>43</c:v>
                </c:pt>
                <c:pt idx="2">
                  <c:v>45</c:v>
                </c:pt>
                <c:pt idx="3">
                  <c:v>49</c:v>
                </c:pt>
                <c:pt idx="4">
                  <c:v>53</c:v>
                </c:pt>
                <c:pt idx="5">
                  <c:v>57</c:v>
                </c:pt>
                <c:pt idx="6">
                  <c:v>61</c:v>
                </c:pt>
                <c:pt idx="7">
                  <c:v>68</c:v>
                </c:pt>
                <c:pt idx="8">
                  <c:v>75</c:v>
                </c:pt>
                <c:pt idx="9">
                  <c:v>92</c:v>
                </c:pt>
                <c:pt idx="10">
                  <c:v>109</c:v>
                </c:pt>
                <c:pt idx="11">
                  <c:v>141</c:v>
                </c:pt>
                <c:pt idx="12">
                  <c:v>172</c:v>
                </c:pt>
                <c:pt idx="13">
                  <c:v>202</c:v>
                </c:pt>
                <c:pt idx="14">
                  <c:v>232</c:v>
                </c:pt>
                <c:pt idx="15">
                  <c:v>290</c:v>
                </c:pt>
                <c:pt idx="16">
                  <c:v>346</c:v>
                </c:pt>
                <c:pt idx="17">
                  <c:v>401</c:v>
                </c:pt>
                <c:pt idx="18">
                  <c:v>456</c:v>
                </c:pt>
                <c:pt idx="19">
                  <c:v>482</c:v>
                </c:pt>
                <c:pt idx="20">
                  <c:v>574</c:v>
                </c:pt>
                <c:pt idx="21">
                  <c:v>738</c:v>
                </c:pt>
                <c:pt idx="22">
                  <c:v>820</c:v>
                </c:pt>
                <c:pt idx="23">
                  <c:v>871.25000000000011</c:v>
                </c:pt>
              </c:numCache>
            </c:numRef>
          </c:yVal>
          <c:smooth val="0"/>
          <c:extLst>
            <c:ext xmlns:c16="http://schemas.microsoft.com/office/drawing/2014/chart" uri="{C3380CC4-5D6E-409C-BE32-E72D297353CC}">
              <c16:uniqueId val="{00000007-0C28-4197-8C1B-0F2CEEE79E6D}"/>
            </c:ext>
          </c:extLst>
        </c:ser>
        <c:ser>
          <c:idx val="8"/>
          <c:order val="8"/>
          <c:tx>
            <c:strRef>
              <c:f>'GRADBENA FIZIKA'!$K$70</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FIZIKA'!$K$73:$K$96</c:f>
              <c:numCache>
                <c:formatCode>#,##0_ ;\-#,##0\ </c:formatCode>
                <c:ptCount val="24"/>
                <c:pt idx="0">
                  <c:v>47</c:v>
                </c:pt>
                <c:pt idx="1">
                  <c:v>50</c:v>
                </c:pt>
                <c:pt idx="2">
                  <c:v>52</c:v>
                </c:pt>
                <c:pt idx="3">
                  <c:v>57</c:v>
                </c:pt>
                <c:pt idx="4">
                  <c:v>61</c:v>
                </c:pt>
                <c:pt idx="5">
                  <c:v>66</c:v>
                </c:pt>
                <c:pt idx="6">
                  <c:v>70</c:v>
                </c:pt>
                <c:pt idx="7">
                  <c:v>79</c:v>
                </c:pt>
                <c:pt idx="8">
                  <c:v>87</c:v>
                </c:pt>
                <c:pt idx="9">
                  <c:v>107</c:v>
                </c:pt>
                <c:pt idx="10">
                  <c:v>126</c:v>
                </c:pt>
                <c:pt idx="11">
                  <c:v>163</c:v>
                </c:pt>
                <c:pt idx="12">
                  <c:v>199</c:v>
                </c:pt>
                <c:pt idx="13">
                  <c:v>234</c:v>
                </c:pt>
                <c:pt idx="14">
                  <c:v>268</c:v>
                </c:pt>
                <c:pt idx="15">
                  <c:v>335</c:v>
                </c:pt>
                <c:pt idx="16">
                  <c:v>400</c:v>
                </c:pt>
                <c:pt idx="17">
                  <c:v>464</c:v>
                </c:pt>
                <c:pt idx="18">
                  <c:v>527</c:v>
                </c:pt>
                <c:pt idx="19">
                  <c:v>558</c:v>
                </c:pt>
                <c:pt idx="20">
                  <c:v>658.00000000000011</c:v>
                </c:pt>
                <c:pt idx="21">
                  <c:v>846</c:v>
                </c:pt>
                <c:pt idx="22">
                  <c:v>940</c:v>
                </c:pt>
                <c:pt idx="23">
                  <c:v>998.75000000000011</c:v>
                </c:pt>
              </c:numCache>
            </c:numRef>
          </c:yVal>
          <c:smooth val="0"/>
          <c:extLst>
            <c:ext xmlns:c16="http://schemas.microsoft.com/office/drawing/2014/chart" uri="{C3380CC4-5D6E-409C-BE32-E72D297353CC}">
              <c16:uniqueId val="{00000009-0C28-4197-8C1B-0F2CEEE79E6D}"/>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'GRADBENA FIZIKA'!$B$73:$B$96</c:f>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f>'GRADBENA FIZIKA'!$L$73:$L$96</c:f>
              <c:numCache>
                <c:formatCode>#,##0_ ;\-#,##0\ </c:formatCode>
                <c:ptCount val="24"/>
                <c:pt idx="0">
                  <c:v>54</c:v>
                </c:pt>
                <c:pt idx="1">
                  <c:v>57</c:v>
                </c:pt>
                <c:pt idx="2">
                  <c:v>59</c:v>
                </c:pt>
                <c:pt idx="3">
                  <c:v>65</c:v>
                </c:pt>
                <c:pt idx="4">
                  <c:v>70</c:v>
                </c:pt>
                <c:pt idx="5">
                  <c:v>75</c:v>
                </c:pt>
                <c:pt idx="6">
                  <c:v>80</c:v>
                </c:pt>
                <c:pt idx="7">
                  <c:v>89</c:v>
                </c:pt>
                <c:pt idx="8">
                  <c:v>99</c:v>
                </c:pt>
                <c:pt idx="9">
                  <c:v>121</c:v>
                </c:pt>
                <c:pt idx="10">
                  <c:v>143</c:v>
                </c:pt>
                <c:pt idx="11">
                  <c:v>185</c:v>
                </c:pt>
                <c:pt idx="12">
                  <c:v>226</c:v>
                </c:pt>
                <c:pt idx="13">
                  <c:v>265</c:v>
                </c:pt>
                <c:pt idx="14">
                  <c:v>304</c:v>
                </c:pt>
                <c:pt idx="15">
                  <c:v>380</c:v>
                </c:pt>
                <c:pt idx="16">
                  <c:v>454</c:v>
                </c:pt>
                <c:pt idx="17">
                  <c:v>526</c:v>
                </c:pt>
                <c:pt idx="18">
                  <c:v>598</c:v>
                </c:pt>
                <c:pt idx="19">
                  <c:v>633</c:v>
                </c:pt>
                <c:pt idx="20">
                  <c:v>756.00000000000011</c:v>
                </c:pt>
                <c:pt idx="21">
                  <c:v>972</c:v>
                </c:pt>
                <c:pt idx="22">
                  <c:v>1080</c:v>
                </c:pt>
                <c:pt idx="23">
                  <c:v>1147.5</c:v>
                </c:pt>
              </c:numCache>
            </c:numRef>
          </c:yVal>
          <c:smooth val="0"/>
          <c:extLst>
            <c:ext xmlns:c16="http://schemas.microsoft.com/office/drawing/2014/chart" uri="{C3380CC4-5D6E-409C-BE32-E72D297353CC}">
              <c16:uniqueId val="{0000000A-0C28-4197-8C1B-0F2CEEE79E6D}"/>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c:ext uri="{02D57815-91ED-43cb-92C2-25804820EDAC}">
                        <c15:formulaRef>
                          <c15:sqref>'GRADBENA FIZIKA'!$D$73:$D$96</c15:sqref>
                        </c15:formulaRef>
                      </c:ext>
                    </c:extLst>
                    <c:numCache>
                      <c:formatCode>#,##0_ ;\-#,##0\ </c:formatCode>
                      <c:ptCount val="24"/>
                      <c:pt idx="0">
                        <c:v>28</c:v>
                      </c:pt>
                      <c:pt idx="1">
                        <c:v>29</c:v>
                      </c:pt>
                      <c:pt idx="2">
                        <c:v>31</c:v>
                      </c:pt>
                      <c:pt idx="3">
                        <c:v>33</c:v>
                      </c:pt>
                      <c:pt idx="4">
                        <c:v>36</c:v>
                      </c:pt>
                      <c:pt idx="5">
                        <c:v>39</c:v>
                      </c:pt>
                      <c:pt idx="6">
                        <c:v>41</c:v>
                      </c:pt>
                      <c:pt idx="7">
                        <c:v>46</c:v>
                      </c:pt>
                      <c:pt idx="8">
                        <c:v>51</c:v>
                      </c:pt>
                      <c:pt idx="9">
                        <c:v>63</c:v>
                      </c:pt>
                      <c:pt idx="10">
                        <c:v>74</c:v>
                      </c:pt>
                      <c:pt idx="11">
                        <c:v>96</c:v>
                      </c:pt>
                      <c:pt idx="12">
                        <c:v>117</c:v>
                      </c:pt>
                      <c:pt idx="13">
                        <c:v>137</c:v>
                      </c:pt>
                      <c:pt idx="14">
                        <c:v>157</c:v>
                      </c:pt>
                      <c:pt idx="15">
                        <c:v>197</c:v>
                      </c:pt>
                      <c:pt idx="16">
                        <c:v>235</c:v>
                      </c:pt>
                      <c:pt idx="17">
                        <c:v>272</c:v>
                      </c:pt>
                      <c:pt idx="18">
                        <c:v>309</c:v>
                      </c:pt>
                      <c:pt idx="19">
                        <c:v>328</c:v>
                      </c:pt>
                      <c:pt idx="20">
                        <c:v>392.00000000000006</c:v>
                      </c:pt>
                      <c:pt idx="21">
                        <c:v>504</c:v>
                      </c:pt>
                      <c:pt idx="22">
                        <c:v>560</c:v>
                      </c:pt>
                      <c:pt idx="23">
                        <c:v>595</c:v>
                      </c:pt>
                    </c:numCache>
                  </c:numRef>
                </c:yVal>
                <c:smooth val="0"/>
                <c:extLst>
                  <c:ext xmlns:c16="http://schemas.microsoft.com/office/drawing/2014/chart" uri="{C3380CC4-5D6E-409C-BE32-E72D297353CC}">
                    <c16:uniqueId val="{00000001-0C28-4197-8C1B-0F2CEEE79E6D}"/>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FIZIKA'!$F$73:$F$96</c15:sqref>
                        </c15:formulaRef>
                      </c:ext>
                    </c:extLst>
                    <c:numCache>
                      <c:formatCode>#,##0_ ;\-#,##0\ </c:formatCode>
                      <c:ptCount val="24"/>
                      <c:pt idx="0">
                        <c:v>34</c:v>
                      </c:pt>
                      <c:pt idx="1">
                        <c:v>36</c:v>
                      </c:pt>
                      <c:pt idx="2">
                        <c:v>38</c:v>
                      </c:pt>
                      <c:pt idx="3">
                        <c:v>41</c:v>
                      </c:pt>
                      <c:pt idx="4">
                        <c:v>44</c:v>
                      </c:pt>
                      <c:pt idx="5">
                        <c:v>48</c:v>
                      </c:pt>
                      <c:pt idx="6">
                        <c:v>51</c:v>
                      </c:pt>
                      <c:pt idx="7">
                        <c:v>57</c:v>
                      </c:pt>
                      <c:pt idx="8">
                        <c:v>63</c:v>
                      </c:pt>
                      <c:pt idx="9">
                        <c:v>77</c:v>
                      </c:pt>
                      <c:pt idx="10">
                        <c:v>91</c:v>
                      </c:pt>
                      <c:pt idx="11">
                        <c:v>118</c:v>
                      </c:pt>
                      <c:pt idx="12">
                        <c:v>144</c:v>
                      </c:pt>
                      <c:pt idx="13">
                        <c:v>169</c:v>
                      </c:pt>
                      <c:pt idx="14">
                        <c:v>193</c:v>
                      </c:pt>
                      <c:pt idx="15">
                        <c:v>242</c:v>
                      </c:pt>
                      <c:pt idx="16">
                        <c:v>289</c:v>
                      </c:pt>
                      <c:pt idx="17">
                        <c:v>335</c:v>
                      </c:pt>
                      <c:pt idx="18">
                        <c:v>380</c:v>
                      </c:pt>
                      <c:pt idx="19">
                        <c:v>403</c:v>
                      </c:pt>
                      <c:pt idx="20">
                        <c:v>476.00000000000006</c:v>
                      </c:pt>
                      <c:pt idx="21">
                        <c:v>612</c:v>
                      </c:pt>
                      <c:pt idx="22">
                        <c:v>680</c:v>
                      </c:pt>
                      <c:pt idx="23">
                        <c:v>722.5</c:v>
                      </c:pt>
                    </c:numCache>
                  </c:numRef>
                </c:yVal>
                <c:smooth val="0"/>
                <c:extLst xmlns:c15="http://schemas.microsoft.com/office/drawing/2012/chart">
                  <c:ext xmlns:c16="http://schemas.microsoft.com/office/drawing/2014/chart" uri="{C3380CC4-5D6E-409C-BE32-E72D297353CC}">
                    <c16:uniqueId val="{00000003-0C28-4197-8C1B-0F2CEEE79E6D}"/>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FIZIKA'!$H$73:$H$96</c15:sqref>
                        </c15:formulaRef>
                      </c:ext>
                    </c:extLst>
                    <c:numCache>
                      <c:formatCode>#,##0_ ;\-#,##0\ </c:formatCode>
                      <c:ptCount val="24"/>
                      <c:pt idx="0">
                        <c:v>41</c:v>
                      </c:pt>
                      <c:pt idx="1">
                        <c:v>43</c:v>
                      </c:pt>
                      <c:pt idx="2">
                        <c:v>45</c:v>
                      </c:pt>
                      <c:pt idx="3">
                        <c:v>49</c:v>
                      </c:pt>
                      <c:pt idx="4">
                        <c:v>53</c:v>
                      </c:pt>
                      <c:pt idx="5">
                        <c:v>57</c:v>
                      </c:pt>
                      <c:pt idx="6">
                        <c:v>61</c:v>
                      </c:pt>
                      <c:pt idx="7">
                        <c:v>68</c:v>
                      </c:pt>
                      <c:pt idx="8">
                        <c:v>75</c:v>
                      </c:pt>
                      <c:pt idx="9">
                        <c:v>92</c:v>
                      </c:pt>
                      <c:pt idx="10">
                        <c:v>109</c:v>
                      </c:pt>
                      <c:pt idx="11">
                        <c:v>141</c:v>
                      </c:pt>
                      <c:pt idx="12">
                        <c:v>172</c:v>
                      </c:pt>
                      <c:pt idx="13">
                        <c:v>202</c:v>
                      </c:pt>
                      <c:pt idx="14">
                        <c:v>232</c:v>
                      </c:pt>
                      <c:pt idx="15">
                        <c:v>290</c:v>
                      </c:pt>
                      <c:pt idx="16">
                        <c:v>346</c:v>
                      </c:pt>
                      <c:pt idx="17">
                        <c:v>401</c:v>
                      </c:pt>
                      <c:pt idx="18">
                        <c:v>456</c:v>
                      </c:pt>
                      <c:pt idx="19">
                        <c:v>482</c:v>
                      </c:pt>
                      <c:pt idx="20">
                        <c:v>574</c:v>
                      </c:pt>
                      <c:pt idx="21">
                        <c:v>738</c:v>
                      </c:pt>
                      <c:pt idx="22">
                        <c:v>820</c:v>
                      </c:pt>
                      <c:pt idx="23">
                        <c:v>871.25000000000011</c:v>
                      </c:pt>
                    </c:numCache>
                  </c:numRef>
                </c:yVal>
                <c:smooth val="0"/>
                <c:extLst xmlns:c15="http://schemas.microsoft.com/office/drawing/2012/chart">
                  <c:ext xmlns:c16="http://schemas.microsoft.com/office/drawing/2014/chart" uri="{C3380CC4-5D6E-409C-BE32-E72D297353CC}">
                    <c16:uniqueId val="{00000005-0C28-4197-8C1B-0F2CEEE79E6D}"/>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'GRADBENA FIZIKA'!$B$73:$B$96</c15:sqref>
                        </c15:formulaRef>
                      </c:ext>
                    </c:extLst>
                    <c:numCache>
                      <c:formatCode>#,##0_ ;\-#,##0\ </c:formatCode>
                      <c:ptCount val="24"/>
                      <c:pt idx="0">
                        <c:v>50000</c:v>
                      </c:pt>
                      <c:pt idx="1">
                        <c:v>75000</c:v>
                      </c:pt>
                      <c:pt idx="2">
                        <c:v>100000</c:v>
                      </c:pt>
                      <c:pt idx="3">
                        <c:v>150000</c:v>
                      </c:pt>
                      <c:pt idx="4">
                        <c:v>200000</c:v>
                      </c:pt>
                      <c:pt idx="5">
                        <c:v>250000</c:v>
                      </c:pt>
                      <c:pt idx="6">
                        <c:v>300000</c:v>
                      </c:pt>
                      <c:pt idx="7">
                        <c:v>400000</c:v>
                      </c:pt>
                      <c:pt idx="8">
                        <c:v>500000</c:v>
                      </c:pt>
                      <c:pt idx="9">
                        <c:v>750000</c:v>
                      </c:pt>
                      <c:pt idx="10">
                        <c:v>1000000</c:v>
                      </c:pt>
                      <c:pt idx="11">
                        <c:v>1500000</c:v>
                      </c:pt>
                      <c:pt idx="12">
                        <c:v>2000000</c:v>
                      </c:pt>
                      <c:pt idx="13">
                        <c:v>2500000</c:v>
                      </c:pt>
                      <c:pt idx="14">
                        <c:v>3000000</c:v>
                      </c:pt>
                      <c:pt idx="15">
                        <c:v>4000000</c:v>
                      </c:pt>
                      <c:pt idx="16">
                        <c:v>5000000</c:v>
                      </c:pt>
                      <c:pt idx="17">
                        <c:v>6000000</c:v>
                      </c:pt>
                      <c:pt idx="18">
                        <c:v>7000000</c:v>
                      </c:pt>
                      <c:pt idx="19">
                        <c:v>7500000</c:v>
                      </c:pt>
                      <c:pt idx="20">
                        <c:v>10000000</c:v>
                      </c:pt>
                      <c:pt idx="21">
                        <c:v>15000000</c:v>
                      </c:pt>
                      <c:pt idx="22">
                        <c:v>20000000</c:v>
                      </c:pt>
                      <c:pt idx="23">
                        <c:v>25000000</c:v>
                      </c:pt>
                    </c:numCache>
                  </c:numRef>
                </c:xVal>
                <c:yVal>
                  <c:numRef>
                    <c:extLst xmlns:c15="http://schemas.microsoft.com/office/drawing/2012/chart">
                      <c:ext xmlns:c15="http://schemas.microsoft.com/office/drawing/2012/chart" uri="{02D57815-91ED-43cb-92C2-25804820EDAC}">
                        <c15:formulaRef>
                          <c15:sqref>'GRADBENA FIZIKA'!$J$73:$J$96</c15:sqref>
                        </c15:formulaRef>
                      </c:ext>
                    </c:extLst>
                    <c:numCache>
                      <c:formatCode>#,##0_ ;\-#,##0\ </c:formatCode>
                      <c:ptCount val="24"/>
                      <c:pt idx="0">
                        <c:v>47</c:v>
                      </c:pt>
                      <c:pt idx="1">
                        <c:v>50</c:v>
                      </c:pt>
                      <c:pt idx="2">
                        <c:v>52</c:v>
                      </c:pt>
                      <c:pt idx="3">
                        <c:v>57</c:v>
                      </c:pt>
                      <c:pt idx="4">
                        <c:v>61</c:v>
                      </c:pt>
                      <c:pt idx="5">
                        <c:v>66</c:v>
                      </c:pt>
                      <c:pt idx="6">
                        <c:v>70</c:v>
                      </c:pt>
                      <c:pt idx="7">
                        <c:v>79</c:v>
                      </c:pt>
                      <c:pt idx="8">
                        <c:v>87</c:v>
                      </c:pt>
                      <c:pt idx="9">
                        <c:v>107</c:v>
                      </c:pt>
                      <c:pt idx="10">
                        <c:v>126</c:v>
                      </c:pt>
                      <c:pt idx="11">
                        <c:v>163</c:v>
                      </c:pt>
                      <c:pt idx="12">
                        <c:v>199</c:v>
                      </c:pt>
                      <c:pt idx="13">
                        <c:v>234</c:v>
                      </c:pt>
                      <c:pt idx="14">
                        <c:v>268</c:v>
                      </c:pt>
                      <c:pt idx="15">
                        <c:v>335</c:v>
                      </c:pt>
                      <c:pt idx="16">
                        <c:v>400</c:v>
                      </c:pt>
                      <c:pt idx="17">
                        <c:v>464</c:v>
                      </c:pt>
                      <c:pt idx="18">
                        <c:v>527</c:v>
                      </c:pt>
                      <c:pt idx="19">
                        <c:v>558</c:v>
                      </c:pt>
                      <c:pt idx="20">
                        <c:v>658.00000000000011</c:v>
                      </c:pt>
                      <c:pt idx="21">
                        <c:v>846</c:v>
                      </c:pt>
                      <c:pt idx="22">
                        <c:v>940</c:v>
                      </c:pt>
                      <c:pt idx="23">
                        <c:v>998.75000000000011</c:v>
                      </c:pt>
                    </c:numCache>
                  </c:numRef>
                </c:yVal>
                <c:smooth val="0"/>
                <c:extLst xmlns:c15="http://schemas.microsoft.com/office/drawing/2012/chart">
                  <c:ext xmlns:c16="http://schemas.microsoft.com/office/drawing/2014/chart" uri="{C3380CC4-5D6E-409C-BE32-E72D297353CC}">
                    <c16:uniqueId val="{00000008-0C28-4197-8C1B-0F2CEEE79E6D}"/>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'ODPRTI PROSTOR'!$C$4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PROSTOR'!$C$7:$C$36</c:f>
              <c:numCache>
                <c:formatCode>#,##0_ ;\-#,##0\ </c:formatCode>
                <c:ptCount val="30"/>
                <c:pt idx="0">
                  <c:v>37</c:v>
                </c:pt>
                <c:pt idx="1">
                  <c:v>46</c:v>
                </c:pt>
                <c:pt idx="2">
                  <c:v>55</c:v>
                </c:pt>
                <c:pt idx="3">
                  <c:v>64</c:v>
                </c:pt>
                <c:pt idx="4">
                  <c:v>73</c:v>
                </c:pt>
                <c:pt idx="5">
                  <c:v>82</c:v>
                </c:pt>
                <c:pt idx="6">
                  <c:v>99</c:v>
                </c:pt>
                <c:pt idx="7">
                  <c:v>116</c:v>
                </c:pt>
                <c:pt idx="8">
                  <c:v>140</c:v>
                </c:pt>
                <c:pt idx="9">
                  <c:v>179</c:v>
                </c:pt>
                <c:pt idx="10">
                  <c:v>216</c:v>
                </c:pt>
                <c:pt idx="11">
                  <c:v>253</c:v>
                </c:pt>
                <c:pt idx="12">
                  <c:v>322</c:v>
                </c:pt>
                <c:pt idx="13">
                  <c:v>388</c:v>
                </c:pt>
                <c:pt idx="14">
                  <c:v>514</c:v>
                </c:pt>
                <c:pt idx="15">
                  <c:v>691</c:v>
                </c:pt>
                <c:pt idx="16">
                  <c:v>864</c:v>
                </c:pt>
                <c:pt idx="17">
                  <c:v>1030</c:v>
                </c:pt>
                <c:pt idx="18">
                  <c:v>1245</c:v>
                </c:pt>
                <c:pt idx="19">
                  <c:v>1503</c:v>
                </c:pt>
                <c:pt idx="20">
                  <c:v>1753</c:v>
                </c:pt>
                <c:pt idx="21">
                  <c:v>2220</c:v>
                </c:pt>
                <c:pt idx="22">
                  <c:v>3108.0000000000005</c:v>
                </c:pt>
                <c:pt idx="23">
                  <c:v>4810</c:v>
                </c:pt>
                <c:pt idx="24">
                  <c:v>6660</c:v>
                </c:pt>
                <c:pt idx="25">
                  <c:v>8140</c:v>
                </c:pt>
                <c:pt idx="26">
                  <c:v>11100</c:v>
                </c:pt>
                <c:pt idx="27">
                  <c:v>13320</c:v>
                </c:pt>
                <c:pt idx="28">
                  <c:v>14800</c:v>
                </c:pt>
                <c:pt idx="29">
                  <c:v>17575</c:v>
                </c:pt>
              </c:numCache>
            </c:numRef>
          </c:yVal>
          <c:smooth val="0"/>
          <c:extLst>
            <c:ext xmlns:c16="http://schemas.microsoft.com/office/drawing/2014/chart" uri="{C3380CC4-5D6E-409C-BE32-E72D297353CC}">
              <c16:uniqueId val="{00000000-6E9A-4CB7-B0F5-34C96A1FEF71}"/>
            </c:ext>
          </c:extLst>
        </c:ser>
        <c:ser>
          <c:idx val="2"/>
          <c:order val="2"/>
          <c:tx>
            <c:strRef>
              <c:f>'ODPRTI PROSTOR'!$E$4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PROSTOR'!$E$7:$E$36</c:f>
              <c:numCache>
                <c:formatCode>#,##0_ ;\-#,##0\ </c:formatCode>
                <c:ptCount val="30"/>
                <c:pt idx="0">
                  <c:v>45</c:v>
                </c:pt>
                <c:pt idx="1">
                  <c:v>54</c:v>
                </c:pt>
                <c:pt idx="2">
                  <c:v>66</c:v>
                </c:pt>
                <c:pt idx="3">
                  <c:v>77</c:v>
                </c:pt>
                <c:pt idx="4">
                  <c:v>88</c:v>
                </c:pt>
                <c:pt idx="5">
                  <c:v>98</c:v>
                </c:pt>
                <c:pt idx="6">
                  <c:v>119</c:v>
                </c:pt>
                <c:pt idx="7">
                  <c:v>139</c:v>
                </c:pt>
                <c:pt idx="8">
                  <c:v>168</c:v>
                </c:pt>
                <c:pt idx="9">
                  <c:v>214</c:v>
                </c:pt>
                <c:pt idx="10">
                  <c:v>258</c:v>
                </c:pt>
                <c:pt idx="11">
                  <c:v>301</c:v>
                </c:pt>
                <c:pt idx="12">
                  <c:v>384</c:v>
                </c:pt>
                <c:pt idx="13">
                  <c:v>463</c:v>
                </c:pt>
                <c:pt idx="14">
                  <c:v>614</c:v>
                </c:pt>
                <c:pt idx="15">
                  <c:v>825</c:v>
                </c:pt>
                <c:pt idx="16">
                  <c:v>1031</c:v>
                </c:pt>
                <c:pt idx="17">
                  <c:v>1230</c:v>
                </c:pt>
                <c:pt idx="18">
                  <c:v>1486</c:v>
                </c:pt>
                <c:pt idx="19">
                  <c:v>1794</c:v>
                </c:pt>
                <c:pt idx="20">
                  <c:v>2092</c:v>
                </c:pt>
                <c:pt idx="21">
                  <c:v>2700</c:v>
                </c:pt>
                <c:pt idx="22">
                  <c:v>3780.0000000000005</c:v>
                </c:pt>
                <c:pt idx="23">
                  <c:v>5850</c:v>
                </c:pt>
                <c:pt idx="24">
                  <c:v>8100</c:v>
                </c:pt>
                <c:pt idx="25">
                  <c:v>9900</c:v>
                </c:pt>
                <c:pt idx="26">
                  <c:v>13500</c:v>
                </c:pt>
                <c:pt idx="27">
                  <c:v>16200</c:v>
                </c:pt>
                <c:pt idx="28">
                  <c:v>18000</c:v>
                </c:pt>
                <c:pt idx="29">
                  <c:v>21375</c:v>
                </c:pt>
              </c:numCache>
            </c:numRef>
          </c:yVal>
          <c:smooth val="0"/>
          <c:extLst>
            <c:ext xmlns:c16="http://schemas.microsoft.com/office/drawing/2014/chart" uri="{C3380CC4-5D6E-409C-BE32-E72D297353CC}">
              <c16:uniqueId val="{00000001-6E9A-4CB7-B0F5-34C96A1FEF71}"/>
            </c:ext>
          </c:extLst>
        </c:ser>
        <c:ser>
          <c:idx val="4"/>
          <c:order val="4"/>
          <c:tx>
            <c:strRef>
              <c:f>'ODPRTI PROSTOR'!$G$4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PROSTOR'!$G$7:$G$36</c:f>
              <c:numCache>
                <c:formatCode>#,##0_ ;\-#,##0\ </c:formatCode>
                <c:ptCount val="30"/>
                <c:pt idx="0">
                  <c:v>53</c:v>
                </c:pt>
                <c:pt idx="1">
                  <c:v>65</c:v>
                </c:pt>
                <c:pt idx="2">
                  <c:v>79</c:v>
                </c:pt>
                <c:pt idx="3">
                  <c:v>92</c:v>
                </c:pt>
                <c:pt idx="4">
                  <c:v>105</c:v>
                </c:pt>
                <c:pt idx="5">
                  <c:v>118</c:v>
                </c:pt>
                <c:pt idx="6">
                  <c:v>143</c:v>
                </c:pt>
                <c:pt idx="7">
                  <c:v>167</c:v>
                </c:pt>
                <c:pt idx="8">
                  <c:v>201</c:v>
                </c:pt>
                <c:pt idx="9">
                  <c:v>257</c:v>
                </c:pt>
                <c:pt idx="10">
                  <c:v>311</c:v>
                </c:pt>
                <c:pt idx="11">
                  <c:v>362</c:v>
                </c:pt>
                <c:pt idx="12">
                  <c:v>462</c:v>
                </c:pt>
                <c:pt idx="13">
                  <c:v>557</c:v>
                </c:pt>
                <c:pt idx="14">
                  <c:v>738</c:v>
                </c:pt>
                <c:pt idx="15">
                  <c:v>992</c:v>
                </c:pt>
                <c:pt idx="16">
                  <c:v>1240</c:v>
                </c:pt>
                <c:pt idx="17">
                  <c:v>1479</c:v>
                </c:pt>
                <c:pt idx="18">
                  <c:v>1787</c:v>
                </c:pt>
                <c:pt idx="19">
                  <c:v>2158</c:v>
                </c:pt>
                <c:pt idx="20">
                  <c:v>2516</c:v>
                </c:pt>
                <c:pt idx="21">
                  <c:v>3180</c:v>
                </c:pt>
                <c:pt idx="22">
                  <c:v>4452</c:v>
                </c:pt>
                <c:pt idx="23">
                  <c:v>6890</c:v>
                </c:pt>
                <c:pt idx="24">
                  <c:v>9540</c:v>
                </c:pt>
                <c:pt idx="25">
                  <c:v>11660</c:v>
                </c:pt>
                <c:pt idx="26">
                  <c:v>15900</c:v>
                </c:pt>
                <c:pt idx="27">
                  <c:v>19080</c:v>
                </c:pt>
                <c:pt idx="28">
                  <c:v>21200</c:v>
                </c:pt>
                <c:pt idx="29">
                  <c:v>25175</c:v>
                </c:pt>
              </c:numCache>
            </c:numRef>
          </c:yVal>
          <c:smooth val="0"/>
          <c:extLst>
            <c:ext xmlns:c16="http://schemas.microsoft.com/office/drawing/2014/chart" uri="{C3380CC4-5D6E-409C-BE32-E72D297353CC}">
              <c16:uniqueId val="{00000002-6E9A-4CB7-B0F5-34C96A1FEF71}"/>
            </c:ext>
          </c:extLst>
        </c:ser>
        <c:ser>
          <c:idx val="6"/>
          <c:order val="6"/>
          <c:tx>
            <c:strRef>
              <c:f>'ODPRTI PROSTOR'!$I$4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PROSTOR'!$I$7:$I$36</c:f>
              <c:numCache>
                <c:formatCode>#,##0_ ;\-#,##0\ </c:formatCode>
                <c:ptCount val="30"/>
                <c:pt idx="0">
                  <c:v>64</c:v>
                </c:pt>
                <c:pt idx="1">
                  <c:v>82</c:v>
                </c:pt>
                <c:pt idx="2">
                  <c:v>99</c:v>
                </c:pt>
                <c:pt idx="3">
                  <c:v>115</c:v>
                </c:pt>
                <c:pt idx="4">
                  <c:v>131</c:v>
                </c:pt>
                <c:pt idx="5">
                  <c:v>147</c:v>
                </c:pt>
                <c:pt idx="6">
                  <c:v>178</c:v>
                </c:pt>
                <c:pt idx="7">
                  <c:v>208</c:v>
                </c:pt>
                <c:pt idx="8">
                  <c:v>251</c:v>
                </c:pt>
                <c:pt idx="9">
                  <c:v>321</c:v>
                </c:pt>
                <c:pt idx="10">
                  <c:v>387</c:v>
                </c:pt>
                <c:pt idx="11">
                  <c:v>452</c:v>
                </c:pt>
                <c:pt idx="12">
                  <c:v>576</c:v>
                </c:pt>
                <c:pt idx="13">
                  <c:v>695</c:v>
                </c:pt>
                <c:pt idx="14">
                  <c:v>921</c:v>
                </c:pt>
                <c:pt idx="15">
                  <c:v>1238</c:v>
                </c:pt>
                <c:pt idx="16">
                  <c:v>1547</c:v>
                </c:pt>
                <c:pt idx="17">
                  <c:v>1845</c:v>
                </c:pt>
                <c:pt idx="18">
                  <c:v>2228</c:v>
                </c:pt>
                <c:pt idx="19">
                  <c:v>2691</c:v>
                </c:pt>
                <c:pt idx="20">
                  <c:v>3138</c:v>
                </c:pt>
                <c:pt idx="21">
                  <c:v>3840</c:v>
                </c:pt>
                <c:pt idx="22">
                  <c:v>5376.0000000000009</c:v>
                </c:pt>
                <c:pt idx="23">
                  <c:v>8320</c:v>
                </c:pt>
                <c:pt idx="24">
                  <c:v>11520</c:v>
                </c:pt>
                <c:pt idx="25">
                  <c:v>14080</c:v>
                </c:pt>
                <c:pt idx="26">
                  <c:v>19200</c:v>
                </c:pt>
                <c:pt idx="27">
                  <c:v>23040</c:v>
                </c:pt>
                <c:pt idx="28">
                  <c:v>25600</c:v>
                </c:pt>
                <c:pt idx="29">
                  <c:v>30400</c:v>
                </c:pt>
              </c:numCache>
            </c:numRef>
          </c:yVal>
          <c:smooth val="0"/>
          <c:extLst>
            <c:ext xmlns:c16="http://schemas.microsoft.com/office/drawing/2014/chart" uri="{C3380CC4-5D6E-409C-BE32-E72D297353CC}">
              <c16:uniqueId val="{00000003-6E9A-4CB7-B0F5-34C96A1FEF71}"/>
            </c:ext>
          </c:extLst>
        </c:ser>
        <c:ser>
          <c:idx val="8"/>
          <c:order val="8"/>
          <c:tx>
            <c:strRef>
              <c:f>'ODPRTI PROSTOR'!$K$4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PROSTOR'!$K$7:$K$36</c:f>
              <c:numCache>
                <c:formatCode>#,##0_ ;\-#,##0\ </c:formatCode>
                <c:ptCount val="30"/>
                <c:pt idx="0">
                  <c:v>81</c:v>
                </c:pt>
                <c:pt idx="1">
                  <c:v>93</c:v>
                </c:pt>
                <c:pt idx="2">
                  <c:v>112</c:v>
                </c:pt>
                <c:pt idx="3">
                  <c:v>131</c:v>
                </c:pt>
                <c:pt idx="4">
                  <c:v>149</c:v>
                </c:pt>
                <c:pt idx="5">
                  <c:v>167</c:v>
                </c:pt>
                <c:pt idx="6">
                  <c:v>202</c:v>
                </c:pt>
                <c:pt idx="7">
                  <c:v>236</c:v>
                </c:pt>
                <c:pt idx="8">
                  <c:v>285</c:v>
                </c:pt>
                <c:pt idx="9">
                  <c:v>364</c:v>
                </c:pt>
                <c:pt idx="10">
                  <c:v>440</c:v>
                </c:pt>
                <c:pt idx="11">
                  <c:v>513</c:v>
                </c:pt>
                <c:pt idx="12">
                  <c:v>654</c:v>
                </c:pt>
                <c:pt idx="13">
                  <c:v>789</c:v>
                </c:pt>
                <c:pt idx="14">
                  <c:v>1045</c:v>
                </c:pt>
                <c:pt idx="15">
                  <c:v>1405</c:v>
                </c:pt>
                <c:pt idx="16">
                  <c:v>1756</c:v>
                </c:pt>
                <c:pt idx="17">
                  <c:v>2094</c:v>
                </c:pt>
                <c:pt idx="18">
                  <c:v>2530</c:v>
                </c:pt>
                <c:pt idx="19">
                  <c:v>3054</c:v>
                </c:pt>
                <c:pt idx="20">
                  <c:v>3562</c:v>
                </c:pt>
                <c:pt idx="21">
                  <c:v>4860</c:v>
                </c:pt>
                <c:pt idx="22">
                  <c:v>6804.0000000000009</c:v>
                </c:pt>
                <c:pt idx="23">
                  <c:v>10530</c:v>
                </c:pt>
                <c:pt idx="24">
                  <c:v>14580</c:v>
                </c:pt>
                <c:pt idx="25">
                  <c:v>17820</c:v>
                </c:pt>
                <c:pt idx="26">
                  <c:v>24300</c:v>
                </c:pt>
                <c:pt idx="27">
                  <c:v>29160</c:v>
                </c:pt>
                <c:pt idx="28">
                  <c:v>32400</c:v>
                </c:pt>
                <c:pt idx="29">
                  <c:v>38475</c:v>
                </c:pt>
              </c:numCache>
            </c:numRef>
          </c:yVal>
          <c:smooth val="0"/>
          <c:extLst>
            <c:ext xmlns:c16="http://schemas.microsoft.com/office/drawing/2014/chart" uri="{C3380CC4-5D6E-409C-BE32-E72D297353CC}">
              <c16:uniqueId val="{00000004-6E9A-4CB7-B0F5-34C96A1FEF71}"/>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'ODPRTI PROSTOR'!$B$7:$B$36</c:f>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f>'ODPRTI PROSTOR'!$L$7:$L$36</c:f>
              <c:numCache>
                <c:formatCode>#,##0_ ;\-#,##0\ </c:formatCode>
                <c:ptCount val="30"/>
                <c:pt idx="0">
                  <c:v>92</c:v>
                </c:pt>
                <c:pt idx="1">
                  <c:v>101</c:v>
                </c:pt>
                <c:pt idx="2">
                  <c:v>123</c:v>
                </c:pt>
                <c:pt idx="3">
                  <c:v>143</c:v>
                </c:pt>
                <c:pt idx="4">
                  <c:v>163</c:v>
                </c:pt>
                <c:pt idx="5">
                  <c:v>183</c:v>
                </c:pt>
                <c:pt idx="6">
                  <c:v>221</c:v>
                </c:pt>
                <c:pt idx="7">
                  <c:v>258</c:v>
                </c:pt>
                <c:pt idx="8">
                  <c:v>312</c:v>
                </c:pt>
                <c:pt idx="9">
                  <c:v>399</c:v>
                </c:pt>
                <c:pt idx="10">
                  <c:v>482</c:v>
                </c:pt>
                <c:pt idx="11">
                  <c:v>562</c:v>
                </c:pt>
                <c:pt idx="12">
                  <c:v>716</c:v>
                </c:pt>
                <c:pt idx="13">
                  <c:v>864</c:v>
                </c:pt>
                <c:pt idx="14">
                  <c:v>1145</c:v>
                </c:pt>
                <c:pt idx="15">
                  <c:v>1539</c:v>
                </c:pt>
                <c:pt idx="16">
                  <c:v>1923</c:v>
                </c:pt>
                <c:pt idx="17">
                  <c:v>2293</c:v>
                </c:pt>
                <c:pt idx="18">
                  <c:v>2771</c:v>
                </c:pt>
                <c:pt idx="19">
                  <c:v>3345</c:v>
                </c:pt>
                <c:pt idx="20">
                  <c:v>3901</c:v>
                </c:pt>
                <c:pt idx="21">
                  <c:v>5520</c:v>
                </c:pt>
                <c:pt idx="22">
                  <c:v>7728.0000000000009</c:v>
                </c:pt>
                <c:pt idx="23">
                  <c:v>11960</c:v>
                </c:pt>
                <c:pt idx="24">
                  <c:v>16560</c:v>
                </c:pt>
                <c:pt idx="25">
                  <c:v>20240</c:v>
                </c:pt>
                <c:pt idx="26">
                  <c:v>27600</c:v>
                </c:pt>
                <c:pt idx="27">
                  <c:v>33120</c:v>
                </c:pt>
                <c:pt idx="28">
                  <c:v>36800</c:v>
                </c:pt>
                <c:pt idx="29">
                  <c:v>43700</c:v>
                </c:pt>
              </c:numCache>
            </c:numRef>
          </c:yVal>
          <c:smooth val="0"/>
          <c:extLst>
            <c:ext xmlns:c16="http://schemas.microsoft.com/office/drawing/2014/chart" uri="{C3380CC4-5D6E-409C-BE32-E72D297353CC}">
              <c16:uniqueId val="{00000005-6E9A-4CB7-B0F5-34C96A1FEF71}"/>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c:ext uri="{02D57815-91ED-43cb-92C2-25804820EDAC}">
                        <c15:formulaRef>
                          <c15:sqref>'ODPRTI PROSTOR'!$D$7:$D$36</c15:sqref>
                        </c15:formulaRef>
                      </c:ext>
                    </c:extLst>
                    <c:numCache>
                      <c:formatCode>#,##0_ ;\-#,##0\ </c:formatCode>
                      <c:ptCount val="30"/>
                      <c:pt idx="0">
                        <c:v>45</c:v>
                      </c:pt>
                      <c:pt idx="1">
                        <c:v>54</c:v>
                      </c:pt>
                      <c:pt idx="2">
                        <c:v>66</c:v>
                      </c:pt>
                      <c:pt idx="3">
                        <c:v>77</c:v>
                      </c:pt>
                      <c:pt idx="4">
                        <c:v>88</c:v>
                      </c:pt>
                      <c:pt idx="5">
                        <c:v>98</c:v>
                      </c:pt>
                      <c:pt idx="6">
                        <c:v>119</c:v>
                      </c:pt>
                      <c:pt idx="7">
                        <c:v>139</c:v>
                      </c:pt>
                      <c:pt idx="8">
                        <c:v>168</c:v>
                      </c:pt>
                      <c:pt idx="9">
                        <c:v>214</c:v>
                      </c:pt>
                      <c:pt idx="10">
                        <c:v>258</c:v>
                      </c:pt>
                      <c:pt idx="11">
                        <c:v>301</c:v>
                      </c:pt>
                      <c:pt idx="12">
                        <c:v>384</c:v>
                      </c:pt>
                      <c:pt idx="13">
                        <c:v>463</c:v>
                      </c:pt>
                      <c:pt idx="14">
                        <c:v>614</c:v>
                      </c:pt>
                      <c:pt idx="15">
                        <c:v>825</c:v>
                      </c:pt>
                      <c:pt idx="16">
                        <c:v>1031</c:v>
                      </c:pt>
                      <c:pt idx="17">
                        <c:v>1230</c:v>
                      </c:pt>
                      <c:pt idx="18">
                        <c:v>1486</c:v>
                      </c:pt>
                      <c:pt idx="19">
                        <c:v>1794</c:v>
                      </c:pt>
                      <c:pt idx="20">
                        <c:v>2092</c:v>
                      </c:pt>
                      <c:pt idx="21">
                        <c:v>2700</c:v>
                      </c:pt>
                      <c:pt idx="22">
                        <c:v>3780.0000000000005</c:v>
                      </c:pt>
                      <c:pt idx="23">
                        <c:v>5850</c:v>
                      </c:pt>
                      <c:pt idx="24">
                        <c:v>8100</c:v>
                      </c:pt>
                      <c:pt idx="25">
                        <c:v>9900</c:v>
                      </c:pt>
                      <c:pt idx="26">
                        <c:v>13500</c:v>
                      </c:pt>
                      <c:pt idx="27">
                        <c:v>16200</c:v>
                      </c:pt>
                      <c:pt idx="28">
                        <c:v>18000</c:v>
                      </c:pt>
                      <c:pt idx="29">
                        <c:v>21375</c:v>
                      </c:pt>
                    </c:numCache>
                  </c:numRef>
                </c:yVal>
                <c:smooth val="0"/>
                <c:extLst>
                  <c:ext xmlns:c16="http://schemas.microsoft.com/office/drawing/2014/chart" uri="{C3380CC4-5D6E-409C-BE32-E72D297353CC}">
                    <c16:uniqueId val="{00000006-6E9A-4CB7-B0F5-34C96A1FEF71}"/>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PROSTOR'!$F$7:$F$36</c15:sqref>
                        </c15:formulaRef>
                      </c:ext>
                    </c:extLst>
                    <c:numCache>
                      <c:formatCode>#,##0_ ;\-#,##0\ </c:formatCode>
                      <c:ptCount val="30"/>
                      <c:pt idx="0">
                        <c:v>53</c:v>
                      </c:pt>
                      <c:pt idx="1">
                        <c:v>65</c:v>
                      </c:pt>
                      <c:pt idx="2">
                        <c:v>79</c:v>
                      </c:pt>
                      <c:pt idx="3">
                        <c:v>92</c:v>
                      </c:pt>
                      <c:pt idx="4">
                        <c:v>105</c:v>
                      </c:pt>
                      <c:pt idx="5">
                        <c:v>118</c:v>
                      </c:pt>
                      <c:pt idx="6">
                        <c:v>143</c:v>
                      </c:pt>
                      <c:pt idx="7">
                        <c:v>167</c:v>
                      </c:pt>
                      <c:pt idx="8">
                        <c:v>201</c:v>
                      </c:pt>
                      <c:pt idx="9">
                        <c:v>257</c:v>
                      </c:pt>
                      <c:pt idx="10">
                        <c:v>311</c:v>
                      </c:pt>
                      <c:pt idx="11">
                        <c:v>362</c:v>
                      </c:pt>
                      <c:pt idx="12">
                        <c:v>462</c:v>
                      </c:pt>
                      <c:pt idx="13">
                        <c:v>557</c:v>
                      </c:pt>
                      <c:pt idx="14">
                        <c:v>738</c:v>
                      </c:pt>
                      <c:pt idx="15">
                        <c:v>992</c:v>
                      </c:pt>
                      <c:pt idx="16">
                        <c:v>1240</c:v>
                      </c:pt>
                      <c:pt idx="17">
                        <c:v>1479</c:v>
                      </c:pt>
                      <c:pt idx="18">
                        <c:v>1787</c:v>
                      </c:pt>
                      <c:pt idx="19">
                        <c:v>2158</c:v>
                      </c:pt>
                      <c:pt idx="20">
                        <c:v>2516</c:v>
                      </c:pt>
                      <c:pt idx="21">
                        <c:v>3180</c:v>
                      </c:pt>
                      <c:pt idx="22">
                        <c:v>4452</c:v>
                      </c:pt>
                      <c:pt idx="23">
                        <c:v>6890</c:v>
                      </c:pt>
                      <c:pt idx="24">
                        <c:v>9540</c:v>
                      </c:pt>
                      <c:pt idx="25">
                        <c:v>11660</c:v>
                      </c:pt>
                      <c:pt idx="26">
                        <c:v>15900</c:v>
                      </c:pt>
                      <c:pt idx="27">
                        <c:v>19080</c:v>
                      </c:pt>
                      <c:pt idx="28">
                        <c:v>21200</c:v>
                      </c:pt>
                      <c:pt idx="29">
                        <c:v>25175</c:v>
                      </c:pt>
                    </c:numCache>
                  </c:numRef>
                </c:yVal>
                <c:smooth val="0"/>
                <c:extLst xmlns:c15="http://schemas.microsoft.com/office/drawing/2012/chart">
                  <c:ext xmlns:c16="http://schemas.microsoft.com/office/drawing/2014/chart" uri="{C3380CC4-5D6E-409C-BE32-E72D297353CC}">
                    <c16:uniqueId val="{00000007-6E9A-4CB7-B0F5-34C96A1FEF71}"/>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PROSTOR'!$H$7:$H$36</c15:sqref>
                        </c15:formulaRef>
                      </c:ext>
                    </c:extLst>
                    <c:numCache>
                      <c:formatCode>#,##0_ ;\-#,##0\ </c:formatCode>
                      <c:ptCount val="30"/>
                      <c:pt idx="0">
                        <c:v>64</c:v>
                      </c:pt>
                      <c:pt idx="1">
                        <c:v>82</c:v>
                      </c:pt>
                      <c:pt idx="2">
                        <c:v>99</c:v>
                      </c:pt>
                      <c:pt idx="3">
                        <c:v>115</c:v>
                      </c:pt>
                      <c:pt idx="4">
                        <c:v>131</c:v>
                      </c:pt>
                      <c:pt idx="5">
                        <c:v>147</c:v>
                      </c:pt>
                      <c:pt idx="6">
                        <c:v>178</c:v>
                      </c:pt>
                      <c:pt idx="7">
                        <c:v>208</c:v>
                      </c:pt>
                      <c:pt idx="8">
                        <c:v>251</c:v>
                      </c:pt>
                      <c:pt idx="9">
                        <c:v>321</c:v>
                      </c:pt>
                      <c:pt idx="10">
                        <c:v>387</c:v>
                      </c:pt>
                      <c:pt idx="11">
                        <c:v>452</c:v>
                      </c:pt>
                      <c:pt idx="12">
                        <c:v>576</c:v>
                      </c:pt>
                      <c:pt idx="13">
                        <c:v>695</c:v>
                      </c:pt>
                      <c:pt idx="14">
                        <c:v>921</c:v>
                      </c:pt>
                      <c:pt idx="15">
                        <c:v>1238</c:v>
                      </c:pt>
                      <c:pt idx="16">
                        <c:v>1547</c:v>
                      </c:pt>
                      <c:pt idx="17">
                        <c:v>1845</c:v>
                      </c:pt>
                      <c:pt idx="18">
                        <c:v>2228</c:v>
                      </c:pt>
                      <c:pt idx="19">
                        <c:v>2691</c:v>
                      </c:pt>
                      <c:pt idx="20">
                        <c:v>3138</c:v>
                      </c:pt>
                      <c:pt idx="21">
                        <c:v>3840</c:v>
                      </c:pt>
                      <c:pt idx="22">
                        <c:v>5376.0000000000009</c:v>
                      </c:pt>
                      <c:pt idx="23">
                        <c:v>8320</c:v>
                      </c:pt>
                      <c:pt idx="24">
                        <c:v>11520</c:v>
                      </c:pt>
                      <c:pt idx="25">
                        <c:v>14080</c:v>
                      </c:pt>
                      <c:pt idx="26">
                        <c:v>19200</c:v>
                      </c:pt>
                      <c:pt idx="27">
                        <c:v>23040</c:v>
                      </c:pt>
                      <c:pt idx="28">
                        <c:v>25600</c:v>
                      </c:pt>
                      <c:pt idx="29">
                        <c:v>30400</c:v>
                      </c:pt>
                    </c:numCache>
                  </c:numRef>
                </c:yVal>
                <c:smooth val="0"/>
                <c:extLst xmlns:c15="http://schemas.microsoft.com/office/drawing/2012/chart">
                  <c:ext xmlns:c16="http://schemas.microsoft.com/office/drawing/2014/chart" uri="{C3380CC4-5D6E-409C-BE32-E72D297353CC}">
                    <c16:uniqueId val="{00000008-6E9A-4CB7-B0F5-34C96A1FEF71}"/>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'ODPRTI PROSTOR'!$B$7:$B$36</c15:sqref>
                        </c15:formulaRef>
                      </c:ext>
                    </c:extLst>
                    <c:numCache>
                      <c:formatCode>#,##0_ ;\-#,##0\ </c:formatCode>
                      <c:ptCount val="30"/>
                      <c:pt idx="0">
                        <c:v>10000</c:v>
                      </c:pt>
                      <c:pt idx="1">
                        <c:v>20000</c:v>
                      </c:pt>
                      <c:pt idx="2">
                        <c:v>25000</c:v>
                      </c:pt>
                      <c:pt idx="3">
                        <c:v>30000</c:v>
                      </c:pt>
                      <c:pt idx="4">
                        <c:v>35000</c:v>
                      </c:pt>
                      <c:pt idx="5">
                        <c:v>40000</c:v>
                      </c:pt>
                      <c:pt idx="6">
                        <c:v>50000</c:v>
                      </c:pt>
                      <c:pt idx="7">
                        <c:v>60000</c:v>
                      </c:pt>
                      <c:pt idx="8">
                        <c:v>75000</c:v>
                      </c:pt>
                      <c:pt idx="9">
                        <c:v>100000</c:v>
                      </c:pt>
                      <c:pt idx="10">
                        <c:v>125000</c:v>
                      </c:pt>
                      <c:pt idx="11">
                        <c:v>150000</c:v>
                      </c:pt>
                      <c:pt idx="12">
                        <c:v>200000</c:v>
                      </c:pt>
                      <c:pt idx="13">
                        <c:v>250000</c:v>
                      </c:pt>
                      <c:pt idx="14">
                        <c:v>350000</c:v>
                      </c:pt>
                      <c:pt idx="15">
                        <c:v>500000</c:v>
                      </c:pt>
                      <c:pt idx="16">
                        <c:v>650000</c:v>
                      </c:pt>
                      <c:pt idx="17">
                        <c:v>800000</c:v>
                      </c:pt>
                      <c:pt idx="18">
                        <c:v>1000000</c:v>
                      </c:pt>
                      <c:pt idx="19">
                        <c:v>1250000</c:v>
                      </c:pt>
                      <c:pt idx="20">
                        <c:v>1500000</c:v>
                      </c:pt>
                      <c:pt idx="21">
                        <c:v>2000000</c:v>
                      </c:pt>
                      <c:pt idx="22">
                        <c:v>3000000</c:v>
                      </c:pt>
                      <c:pt idx="23">
                        <c:v>5000000</c:v>
                      </c:pt>
                      <c:pt idx="24">
                        <c:v>7500000</c:v>
                      </c:pt>
                      <c:pt idx="25">
                        <c:v>10000000</c:v>
                      </c:pt>
                      <c:pt idx="26">
                        <c:v>15000000</c:v>
                      </c:pt>
                      <c:pt idx="27">
                        <c:v>20000000</c:v>
                      </c:pt>
                      <c:pt idx="28">
                        <c:v>25000000</c:v>
                      </c:pt>
                      <c:pt idx="29">
                        <c:v>50000000</c:v>
                      </c:pt>
                    </c:numCache>
                  </c:numRef>
                </c:xVal>
                <c:yVal>
                  <c:numRef>
                    <c:extLst xmlns:c15="http://schemas.microsoft.com/office/drawing/2012/chart">
                      <c:ext xmlns:c15="http://schemas.microsoft.com/office/drawing/2012/chart" uri="{02D57815-91ED-43cb-92C2-25804820EDAC}">
                        <c15:formulaRef>
                          <c15:sqref>'ODPRTI PROSTOR'!$J$7:$J$36</c15:sqref>
                        </c15:formulaRef>
                      </c:ext>
                    </c:extLst>
                    <c:numCache>
                      <c:formatCode>#,##0_ ;\-#,##0\ </c:formatCode>
                      <c:ptCount val="30"/>
                      <c:pt idx="0">
                        <c:v>81</c:v>
                      </c:pt>
                      <c:pt idx="1">
                        <c:v>93</c:v>
                      </c:pt>
                      <c:pt idx="2">
                        <c:v>112</c:v>
                      </c:pt>
                      <c:pt idx="3">
                        <c:v>131</c:v>
                      </c:pt>
                      <c:pt idx="4">
                        <c:v>149</c:v>
                      </c:pt>
                      <c:pt idx="5">
                        <c:v>167</c:v>
                      </c:pt>
                      <c:pt idx="6">
                        <c:v>202</c:v>
                      </c:pt>
                      <c:pt idx="7">
                        <c:v>236</c:v>
                      </c:pt>
                      <c:pt idx="8">
                        <c:v>285</c:v>
                      </c:pt>
                      <c:pt idx="9">
                        <c:v>364</c:v>
                      </c:pt>
                      <c:pt idx="10">
                        <c:v>440</c:v>
                      </c:pt>
                      <c:pt idx="11">
                        <c:v>513</c:v>
                      </c:pt>
                      <c:pt idx="12">
                        <c:v>654</c:v>
                      </c:pt>
                      <c:pt idx="13">
                        <c:v>789</c:v>
                      </c:pt>
                      <c:pt idx="14">
                        <c:v>1045</c:v>
                      </c:pt>
                      <c:pt idx="15">
                        <c:v>1405</c:v>
                      </c:pt>
                      <c:pt idx="16">
                        <c:v>1756</c:v>
                      </c:pt>
                      <c:pt idx="17">
                        <c:v>2094</c:v>
                      </c:pt>
                      <c:pt idx="18">
                        <c:v>2530</c:v>
                      </c:pt>
                      <c:pt idx="19">
                        <c:v>3054</c:v>
                      </c:pt>
                      <c:pt idx="20">
                        <c:v>3562</c:v>
                      </c:pt>
                      <c:pt idx="21">
                        <c:v>4860</c:v>
                      </c:pt>
                      <c:pt idx="22">
                        <c:v>6804.0000000000009</c:v>
                      </c:pt>
                      <c:pt idx="23">
                        <c:v>10530</c:v>
                      </c:pt>
                      <c:pt idx="24">
                        <c:v>14580</c:v>
                      </c:pt>
                      <c:pt idx="25">
                        <c:v>17820</c:v>
                      </c:pt>
                      <c:pt idx="26">
                        <c:v>24300</c:v>
                      </c:pt>
                      <c:pt idx="27">
                        <c:v>29160</c:v>
                      </c:pt>
                      <c:pt idx="28">
                        <c:v>32400</c:v>
                      </c:pt>
                      <c:pt idx="29">
                        <c:v>38475</c:v>
                      </c:pt>
                    </c:numCache>
                  </c:numRef>
                </c:yVal>
                <c:smooth val="0"/>
                <c:extLst xmlns:c15="http://schemas.microsoft.com/office/drawing/2012/chart">
                  <c:ext xmlns:c16="http://schemas.microsoft.com/office/drawing/2014/chart" uri="{C3380CC4-5D6E-409C-BE32-E72D297353CC}">
                    <c16:uniqueId val="{00000009-6E9A-4CB7-B0F5-34C96A1FEF71}"/>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'INŽENIRSKI OBJEKTI'!$C$4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OBJEKTI'!$C$7:$C$30</c:f>
              <c:numCache>
                <c:formatCode>#,##0_ ;\-#,##0\ </c:formatCode>
                <c:ptCount val="24"/>
                <c:pt idx="0">
                  <c:v>43</c:v>
                </c:pt>
                <c:pt idx="1">
                  <c:v>56</c:v>
                </c:pt>
                <c:pt idx="2">
                  <c:v>74</c:v>
                </c:pt>
                <c:pt idx="3">
                  <c:v>101</c:v>
                </c:pt>
                <c:pt idx="4">
                  <c:v>126</c:v>
                </c:pt>
                <c:pt idx="5">
                  <c:v>172</c:v>
                </c:pt>
                <c:pt idx="6">
                  <c:v>215</c:v>
                </c:pt>
                <c:pt idx="7">
                  <c:v>294</c:v>
                </c:pt>
                <c:pt idx="8">
                  <c:v>436</c:v>
                </c:pt>
                <c:pt idx="9">
                  <c:v>595</c:v>
                </c:pt>
                <c:pt idx="10">
                  <c:v>741</c:v>
                </c:pt>
                <c:pt idx="11">
                  <c:v>1012</c:v>
                </c:pt>
                <c:pt idx="12">
                  <c:v>1263</c:v>
                </c:pt>
                <c:pt idx="13">
                  <c:v>1724</c:v>
                </c:pt>
                <c:pt idx="14">
                  <c:v>2545</c:v>
                </c:pt>
                <c:pt idx="15">
                  <c:v>3480</c:v>
                </c:pt>
                <c:pt idx="16">
                  <c:v>4345</c:v>
                </c:pt>
                <c:pt idx="17">
                  <c:v>5936</c:v>
                </c:pt>
                <c:pt idx="18">
                  <c:v>7404</c:v>
                </c:pt>
                <c:pt idx="19">
                  <c:v>8785</c:v>
                </c:pt>
                <c:pt idx="20">
                  <c:v>13860</c:v>
                </c:pt>
                <c:pt idx="21">
                  <c:v>22680</c:v>
                </c:pt>
                <c:pt idx="22">
                  <c:v>30240</c:v>
                </c:pt>
                <c:pt idx="23">
                  <c:v>35280</c:v>
                </c:pt>
              </c:numCache>
            </c:numRef>
          </c:yVal>
          <c:smooth val="0"/>
          <c:extLst>
            <c:ext xmlns:c16="http://schemas.microsoft.com/office/drawing/2014/chart" uri="{C3380CC4-5D6E-409C-BE32-E72D297353CC}">
              <c16:uniqueId val="{00000000-BCB2-476D-994B-A2FDE08A4218}"/>
            </c:ext>
          </c:extLst>
        </c:ser>
        <c:ser>
          <c:idx val="2"/>
          <c:order val="2"/>
          <c:tx>
            <c:strRef>
              <c:f>'INŽENIRSKI OBJEKTI'!$E$4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OBJEKTI'!$E$7:$E$30</c:f>
              <c:numCache>
                <c:formatCode>#,##0_ ;\-#,##0\ </c:formatCode>
                <c:ptCount val="24"/>
                <c:pt idx="0">
                  <c:v>51</c:v>
                </c:pt>
                <c:pt idx="1">
                  <c:v>67</c:v>
                </c:pt>
                <c:pt idx="2">
                  <c:v>88</c:v>
                </c:pt>
                <c:pt idx="3">
                  <c:v>120</c:v>
                </c:pt>
                <c:pt idx="4">
                  <c:v>150</c:v>
                </c:pt>
                <c:pt idx="5">
                  <c:v>205</c:v>
                </c:pt>
                <c:pt idx="6">
                  <c:v>256</c:v>
                </c:pt>
                <c:pt idx="7">
                  <c:v>350</c:v>
                </c:pt>
                <c:pt idx="8">
                  <c:v>519</c:v>
                </c:pt>
                <c:pt idx="9">
                  <c:v>708</c:v>
                </c:pt>
                <c:pt idx="10">
                  <c:v>882</c:v>
                </c:pt>
                <c:pt idx="11">
                  <c:v>1206</c:v>
                </c:pt>
                <c:pt idx="12">
                  <c:v>1505</c:v>
                </c:pt>
                <c:pt idx="13">
                  <c:v>2053</c:v>
                </c:pt>
                <c:pt idx="14">
                  <c:v>3031</c:v>
                </c:pt>
                <c:pt idx="15">
                  <c:v>4146</c:v>
                </c:pt>
                <c:pt idx="16">
                  <c:v>5175</c:v>
                </c:pt>
                <c:pt idx="17">
                  <c:v>7071</c:v>
                </c:pt>
                <c:pt idx="18">
                  <c:v>8820</c:v>
                </c:pt>
                <c:pt idx="19">
                  <c:v>10464</c:v>
                </c:pt>
                <c:pt idx="20">
                  <c:v>16500</c:v>
                </c:pt>
                <c:pt idx="21">
                  <c:v>27000</c:v>
                </c:pt>
                <c:pt idx="22">
                  <c:v>36000</c:v>
                </c:pt>
                <c:pt idx="23">
                  <c:v>42000.000000000007</c:v>
                </c:pt>
              </c:numCache>
            </c:numRef>
          </c:yVal>
          <c:smooth val="0"/>
          <c:extLst>
            <c:ext xmlns:c16="http://schemas.microsoft.com/office/drawing/2014/chart" uri="{C3380CC4-5D6E-409C-BE32-E72D297353CC}">
              <c16:uniqueId val="{00000001-BCB2-476D-994B-A2FDE08A4218}"/>
            </c:ext>
          </c:extLst>
        </c:ser>
        <c:ser>
          <c:idx val="4"/>
          <c:order val="4"/>
          <c:tx>
            <c:strRef>
              <c:f>'INŽENIRSKI OBJEKTI'!$G$4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OBJEKTI'!$G$7:$G$30</c:f>
              <c:numCache>
                <c:formatCode>#,##0_ ;\-#,##0\ </c:formatCode>
                <c:ptCount val="24"/>
                <c:pt idx="0">
                  <c:v>60</c:v>
                </c:pt>
                <c:pt idx="1">
                  <c:v>77</c:v>
                </c:pt>
                <c:pt idx="2">
                  <c:v>102</c:v>
                </c:pt>
                <c:pt idx="3">
                  <c:v>139</c:v>
                </c:pt>
                <c:pt idx="4">
                  <c:v>174</c:v>
                </c:pt>
                <c:pt idx="5">
                  <c:v>238</c:v>
                </c:pt>
                <c:pt idx="6">
                  <c:v>297</c:v>
                </c:pt>
                <c:pt idx="7">
                  <c:v>407</c:v>
                </c:pt>
                <c:pt idx="8">
                  <c:v>602</c:v>
                </c:pt>
                <c:pt idx="9">
                  <c:v>822</c:v>
                </c:pt>
                <c:pt idx="10">
                  <c:v>1024</c:v>
                </c:pt>
                <c:pt idx="11">
                  <c:v>1400</c:v>
                </c:pt>
                <c:pt idx="12">
                  <c:v>1746</c:v>
                </c:pt>
                <c:pt idx="13">
                  <c:v>2383</c:v>
                </c:pt>
                <c:pt idx="14">
                  <c:v>3518</c:v>
                </c:pt>
                <c:pt idx="15">
                  <c:v>4811</c:v>
                </c:pt>
                <c:pt idx="16">
                  <c:v>6006</c:v>
                </c:pt>
                <c:pt idx="17">
                  <c:v>8206</c:v>
                </c:pt>
                <c:pt idx="18">
                  <c:v>10235</c:v>
                </c:pt>
                <c:pt idx="19">
                  <c:v>12143</c:v>
                </c:pt>
                <c:pt idx="20">
                  <c:v>19140</c:v>
                </c:pt>
                <c:pt idx="21">
                  <c:v>31320</c:v>
                </c:pt>
                <c:pt idx="22">
                  <c:v>41760</c:v>
                </c:pt>
                <c:pt idx="23">
                  <c:v>48720.000000000007</c:v>
                </c:pt>
              </c:numCache>
            </c:numRef>
          </c:yVal>
          <c:smooth val="0"/>
          <c:extLst>
            <c:ext xmlns:c16="http://schemas.microsoft.com/office/drawing/2014/chart" uri="{C3380CC4-5D6E-409C-BE32-E72D297353CC}">
              <c16:uniqueId val="{00000002-BCB2-476D-994B-A2FDE08A4218}"/>
            </c:ext>
          </c:extLst>
        </c:ser>
        <c:ser>
          <c:idx val="6"/>
          <c:order val="6"/>
          <c:tx>
            <c:strRef>
              <c:f>'INŽENIRSKI OBJEKTI'!$I$4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OBJEKTI'!$I$7:$I$30</c:f>
              <c:numCache>
                <c:formatCode>#,##0_ ;\-#,##0\ </c:formatCode>
                <c:ptCount val="24"/>
                <c:pt idx="0">
                  <c:v>68</c:v>
                </c:pt>
                <c:pt idx="1">
                  <c:v>88</c:v>
                </c:pt>
                <c:pt idx="2">
                  <c:v>116</c:v>
                </c:pt>
                <c:pt idx="3">
                  <c:v>159</c:v>
                </c:pt>
                <c:pt idx="4">
                  <c:v>198</c:v>
                </c:pt>
                <c:pt idx="5">
                  <c:v>271</c:v>
                </c:pt>
                <c:pt idx="6">
                  <c:v>339</c:v>
                </c:pt>
                <c:pt idx="7">
                  <c:v>463</c:v>
                </c:pt>
                <c:pt idx="8">
                  <c:v>686</c:v>
                </c:pt>
                <c:pt idx="9">
                  <c:v>936</c:v>
                </c:pt>
                <c:pt idx="10">
                  <c:v>1166</c:v>
                </c:pt>
                <c:pt idx="11">
                  <c:v>1593</c:v>
                </c:pt>
                <c:pt idx="12">
                  <c:v>1988</c:v>
                </c:pt>
                <c:pt idx="13">
                  <c:v>2713</c:v>
                </c:pt>
                <c:pt idx="14">
                  <c:v>4004</c:v>
                </c:pt>
                <c:pt idx="15">
                  <c:v>5476</c:v>
                </c:pt>
                <c:pt idx="16">
                  <c:v>6836</c:v>
                </c:pt>
                <c:pt idx="17">
                  <c:v>9341</c:v>
                </c:pt>
                <c:pt idx="18">
                  <c:v>11651</c:v>
                </c:pt>
                <c:pt idx="19">
                  <c:v>13823</c:v>
                </c:pt>
                <c:pt idx="20">
                  <c:v>21780</c:v>
                </c:pt>
                <c:pt idx="21">
                  <c:v>35640</c:v>
                </c:pt>
                <c:pt idx="22">
                  <c:v>47520</c:v>
                </c:pt>
                <c:pt idx="23">
                  <c:v>55440.000000000007</c:v>
                </c:pt>
              </c:numCache>
            </c:numRef>
          </c:yVal>
          <c:smooth val="0"/>
          <c:extLst>
            <c:ext xmlns:c16="http://schemas.microsoft.com/office/drawing/2014/chart" uri="{C3380CC4-5D6E-409C-BE32-E72D297353CC}">
              <c16:uniqueId val="{00000003-BCB2-476D-994B-A2FDE08A4218}"/>
            </c:ext>
          </c:extLst>
        </c:ser>
        <c:ser>
          <c:idx val="8"/>
          <c:order val="8"/>
          <c:tx>
            <c:strRef>
              <c:f>'INŽENIRSKI OBJEKTI'!$K$4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OBJEKTI'!$K$7:$K$30</c:f>
              <c:numCache>
                <c:formatCode>#,##0_ ;\-#,##0\ </c:formatCode>
                <c:ptCount val="24"/>
                <c:pt idx="0">
                  <c:v>75</c:v>
                </c:pt>
                <c:pt idx="1">
                  <c:v>98</c:v>
                </c:pt>
                <c:pt idx="2">
                  <c:v>129</c:v>
                </c:pt>
                <c:pt idx="3">
                  <c:v>177</c:v>
                </c:pt>
                <c:pt idx="4">
                  <c:v>220</c:v>
                </c:pt>
                <c:pt idx="5">
                  <c:v>302</c:v>
                </c:pt>
                <c:pt idx="6">
                  <c:v>377</c:v>
                </c:pt>
                <c:pt idx="7">
                  <c:v>515</c:v>
                </c:pt>
                <c:pt idx="8">
                  <c:v>763</c:v>
                </c:pt>
                <c:pt idx="9">
                  <c:v>1041</c:v>
                </c:pt>
                <c:pt idx="10">
                  <c:v>1296</c:v>
                </c:pt>
                <c:pt idx="11">
                  <c:v>1772</c:v>
                </c:pt>
                <c:pt idx="12">
                  <c:v>2211</c:v>
                </c:pt>
                <c:pt idx="13">
                  <c:v>3017</c:v>
                </c:pt>
                <c:pt idx="14">
                  <c:v>4453</c:v>
                </c:pt>
                <c:pt idx="15">
                  <c:v>6090</c:v>
                </c:pt>
                <c:pt idx="16">
                  <c:v>7603</c:v>
                </c:pt>
                <c:pt idx="17">
                  <c:v>10388</c:v>
                </c:pt>
                <c:pt idx="18">
                  <c:v>12957</c:v>
                </c:pt>
                <c:pt idx="19">
                  <c:v>15373</c:v>
                </c:pt>
                <c:pt idx="20">
                  <c:v>24200</c:v>
                </c:pt>
                <c:pt idx="21">
                  <c:v>39600</c:v>
                </c:pt>
                <c:pt idx="22">
                  <c:v>52800</c:v>
                </c:pt>
                <c:pt idx="23">
                  <c:v>61600.000000000007</c:v>
                </c:pt>
              </c:numCache>
            </c:numRef>
          </c:yVal>
          <c:smooth val="0"/>
          <c:extLst>
            <c:ext xmlns:c16="http://schemas.microsoft.com/office/drawing/2014/chart" uri="{C3380CC4-5D6E-409C-BE32-E72D297353CC}">
              <c16:uniqueId val="{00000004-BCB2-476D-994B-A2FDE08A4218}"/>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'INŽENIRSKI OBJEKTI'!$B$7:$B$30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'INŽENIRSKI OBJEKTI'!$L$7:$L$30</c:f>
              <c:numCache>
                <c:formatCode>#,##0_ ;\-#,##0\ </c:formatCode>
                <c:ptCount val="24"/>
                <c:pt idx="0">
                  <c:v>84</c:v>
                </c:pt>
                <c:pt idx="1">
                  <c:v>109</c:v>
                </c:pt>
                <c:pt idx="2">
                  <c:v>143</c:v>
                </c:pt>
                <c:pt idx="3">
                  <c:v>196</c:v>
                </c:pt>
                <c:pt idx="4">
                  <c:v>245</c:v>
                </c:pt>
                <c:pt idx="5">
                  <c:v>335</c:v>
                </c:pt>
                <c:pt idx="6">
                  <c:v>418</c:v>
                </c:pt>
                <c:pt idx="7">
                  <c:v>571</c:v>
                </c:pt>
                <c:pt idx="8">
                  <c:v>846</c:v>
                </c:pt>
                <c:pt idx="9">
                  <c:v>1154</c:v>
                </c:pt>
                <c:pt idx="10">
                  <c:v>1438</c:v>
                </c:pt>
                <c:pt idx="11">
                  <c:v>1965</c:v>
                </c:pt>
                <c:pt idx="12">
                  <c:v>2452</c:v>
                </c:pt>
                <c:pt idx="13">
                  <c:v>3346</c:v>
                </c:pt>
                <c:pt idx="14">
                  <c:v>4940</c:v>
                </c:pt>
                <c:pt idx="15">
                  <c:v>6756</c:v>
                </c:pt>
                <c:pt idx="16">
                  <c:v>8434</c:v>
                </c:pt>
                <c:pt idx="17">
                  <c:v>11523</c:v>
                </c:pt>
                <c:pt idx="18">
                  <c:v>14373</c:v>
                </c:pt>
                <c:pt idx="19">
                  <c:v>17053</c:v>
                </c:pt>
                <c:pt idx="20">
                  <c:v>26950</c:v>
                </c:pt>
                <c:pt idx="21">
                  <c:v>44100</c:v>
                </c:pt>
                <c:pt idx="22">
                  <c:v>58800</c:v>
                </c:pt>
                <c:pt idx="23">
                  <c:v>68600</c:v>
                </c:pt>
              </c:numCache>
            </c:numRef>
          </c:yVal>
          <c:smooth val="0"/>
          <c:extLst>
            <c:ext xmlns:c16="http://schemas.microsoft.com/office/drawing/2014/chart" uri="{C3380CC4-5D6E-409C-BE32-E72D297353CC}">
              <c16:uniqueId val="{00000005-BCB2-476D-994B-A2FDE08A4218}"/>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'INŽENIRSKI OBJEKTI'!$D$7:$D$30</c15:sqref>
                        </c15:formulaRef>
                      </c:ext>
                    </c:extLst>
                    <c:numCache>
                      <c:formatCode>#,##0_ ;\-#,##0\ </c:formatCode>
                      <c:ptCount val="24"/>
                      <c:pt idx="0">
                        <c:v>51</c:v>
                      </c:pt>
                      <c:pt idx="1">
                        <c:v>67</c:v>
                      </c:pt>
                      <c:pt idx="2">
                        <c:v>88</c:v>
                      </c:pt>
                      <c:pt idx="3">
                        <c:v>120</c:v>
                      </c:pt>
                      <c:pt idx="4">
                        <c:v>150</c:v>
                      </c:pt>
                      <c:pt idx="5">
                        <c:v>205</c:v>
                      </c:pt>
                      <c:pt idx="6">
                        <c:v>256</c:v>
                      </c:pt>
                      <c:pt idx="7">
                        <c:v>350</c:v>
                      </c:pt>
                      <c:pt idx="8">
                        <c:v>519</c:v>
                      </c:pt>
                      <c:pt idx="9">
                        <c:v>708</c:v>
                      </c:pt>
                      <c:pt idx="10">
                        <c:v>882</c:v>
                      </c:pt>
                      <c:pt idx="11">
                        <c:v>1206</c:v>
                      </c:pt>
                      <c:pt idx="12">
                        <c:v>1505</c:v>
                      </c:pt>
                      <c:pt idx="13">
                        <c:v>2053</c:v>
                      </c:pt>
                      <c:pt idx="14">
                        <c:v>3031</c:v>
                      </c:pt>
                      <c:pt idx="15">
                        <c:v>4146</c:v>
                      </c:pt>
                      <c:pt idx="16">
                        <c:v>5175</c:v>
                      </c:pt>
                      <c:pt idx="17">
                        <c:v>7071</c:v>
                      </c:pt>
                      <c:pt idx="18">
                        <c:v>8820</c:v>
                      </c:pt>
                      <c:pt idx="19">
                        <c:v>10464</c:v>
                      </c:pt>
                      <c:pt idx="20">
                        <c:v>16500</c:v>
                      </c:pt>
                      <c:pt idx="21">
                        <c:v>27000</c:v>
                      </c:pt>
                      <c:pt idx="22">
                        <c:v>36000</c:v>
                      </c:pt>
                      <c:pt idx="23">
                        <c:v>42000.000000000007</c:v>
                      </c:pt>
                    </c:numCache>
                  </c:numRef>
                </c:yVal>
                <c:smooth val="0"/>
                <c:extLst>
                  <c:ext xmlns:c16="http://schemas.microsoft.com/office/drawing/2014/chart" uri="{C3380CC4-5D6E-409C-BE32-E72D297353CC}">
                    <c16:uniqueId val="{00000006-BCB2-476D-994B-A2FDE08A4218}"/>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OBJEKTI'!$F$7:$F$30</c15:sqref>
                        </c15:formulaRef>
                      </c:ext>
                    </c:extLst>
                    <c:numCache>
                      <c:formatCode>#,##0_ ;\-#,##0\ </c:formatCode>
                      <c:ptCount val="24"/>
                      <c:pt idx="0">
                        <c:v>60</c:v>
                      </c:pt>
                      <c:pt idx="1">
                        <c:v>77</c:v>
                      </c:pt>
                      <c:pt idx="2">
                        <c:v>102</c:v>
                      </c:pt>
                      <c:pt idx="3">
                        <c:v>139</c:v>
                      </c:pt>
                      <c:pt idx="4">
                        <c:v>174</c:v>
                      </c:pt>
                      <c:pt idx="5">
                        <c:v>238</c:v>
                      </c:pt>
                      <c:pt idx="6">
                        <c:v>297</c:v>
                      </c:pt>
                      <c:pt idx="7">
                        <c:v>407</c:v>
                      </c:pt>
                      <c:pt idx="8">
                        <c:v>602</c:v>
                      </c:pt>
                      <c:pt idx="9">
                        <c:v>822</c:v>
                      </c:pt>
                      <c:pt idx="10">
                        <c:v>1024</c:v>
                      </c:pt>
                      <c:pt idx="11">
                        <c:v>1400</c:v>
                      </c:pt>
                      <c:pt idx="12">
                        <c:v>1746</c:v>
                      </c:pt>
                      <c:pt idx="13">
                        <c:v>2383</c:v>
                      </c:pt>
                      <c:pt idx="14">
                        <c:v>3518</c:v>
                      </c:pt>
                      <c:pt idx="15">
                        <c:v>4811</c:v>
                      </c:pt>
                      <c:pt idx="16">
                        <c:v>6006</c:v>
                      </c:pt>
                      <c:pt idx="17">
                        <c:v>8206</c:v>
                      </c:pt>
                      <c:pt idx="18">
                        <c:v>10235</c:v>
                      </c:pt>
                      <c:pt idx="19">
                        <c:v>12143</c:v>
                      </c:pt>
                      <c:pt idx="20">
                        <c:v>19140</c:v>
                      </c:pt>
                      <c:pt idx="21">
                        <c:v>31320</c:v>
                      </c:pt>
                      <c:pt idx="22">
                        <c:v>41760</c:v>
                      </c:pt>
                      <c:pt idx="23">
                        <c:v>48720.000000000007</c:v>
                      </c:pt>
                    </c:numCache>
                  </c:numRef>
                </c:yVal>
                <c:smooth val="0"/>
                <c:extLst xmlns:c15="http://schemas.microsoft.com/office/drawing/2012/chart">
                  <c:ext xmlns:c16="http://schemas.microsoft.com/office/drawing/2014/chart" uri="{C3380CC4-5D6E-409C-BE32-E72D297353CC}">
                    <c16:uniqueId val="{00000007-BCB2-476D-994B-A2FDE08A4218}"/>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OBJEKTI'!$H$7:$H$30</c15:sqref>
                        </c15:formulaRef>
                      </c:ext>
                    </c:extLst>
                    <c:numCache>
                      <c:formatCode>#,##0_ ;\-#,##0\ </c:formatCode>
                      <c:ptCount val="24"/>
                      <c:pt idx="0">
                        <c:v>68</c:v>
                      </c:pt>
                      <c:pt idx="1">
                        <c:v>88</c:v>
                      </c:pt>
                      <c:pt idx="2">
                        <c:v>116</c:v>
                      </c:pt>
                      <c:pt idx="3">
                        <c:v>159</c:v>
                      </c:pt>
                      <c:pt idx="4">
                        <c:v>198</c:v>
                      </c:pt>
                      <c:pt idx="5">
                        <c:v>271</c:v>
                      </c:pt>
                      <c:pt idx="6">
                        <c:v>339</c:v>
                      </c:pt>
                      <c:pt idx="7">
                        <c:v>463</c:v>
                      </c:pt>
                      <c:pt idx="8">
                        <c:v>686</c:v>
                      </c:pt>
                      <c:pt idx="9">
                        <c:v>936</c:v>
                      </c:pt>
                      <c:pt idx="10">
                        <c:v>1166</c:v>
                      </c:pt>
                      <c:pt idx="11">
                        <c:v>1593</c:v>
                      </c:pt>
                      <c:pt idx="12">
                        <c:v>1988</c:v>
                      </c:pt>
                      <c:pt idx="13">
                        <c:v>2713</c:v>
                      </c:pt>
                      <c:pt idx="14">
                        <c:v>4004</c:v>
                      </c:pt>
                      <c:pt idx="15">
                        <c:v>5476</c:v>
                      </c:pt>
                      <c:pt idx="16">
                        <c:v>6836</c:v>
                      </c:pt>
                      <c:pt idx="17">
                        <c:v>9341</c:v>
                      </c:pt>
                      <c:pt idx="18">
                        <c:v>11651</c:v>
                      </c:pt>
                      <c:pt idx="19">
                        <c:v>13823</c:v>
                      </c:pt>
                      <c:pt idx="20">
                        <c:v>21780</c:v>
                      </c:pt>
                      <c:pt idx="21">
                        <c:v>35640</c:v>
                      </c:pt>
                      <c:pt idx="22">
                        <c:v>47520</c:v>
                      </c:pt>
                      <c:pt idx="23">
                        <c:v>55440.000000000007</c:v>
                      </c:pt>
                    </c:numCache>
                  </c:numRef>
                </c:yVal>
                <c:smooth val="0"/>
                <c:extLst xmlns:c15="http://schemas.microsoft.com/office/drawing/2012/chart">
                  <c:ext xmlns:c16="http://schemas.microsoft.com/office/drawing/2014/chart" uri="{C3380CC4-5D6E-409C-BE32-E72D297353CC}">
                    <c16:uniqueId val="{00000008-BCB2-476D-994B-A2FDE08A4218}"/>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'INŽENIRSKI OBJEKTI'!$B$7:$B$30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'INŽENIRSKI OBJEKTI'!$J$7:$J$30</c15:sqref>
                        </c15:formulaRef>
                      </c:ext>
                    </c:extLst>
                    <c:numCache>
                      <c:formatCode>#,##0_ ;\-#,##0\ </c:formatCode>
                      <c:ptCount val="24"/>
                      <c:pt idx="0">
                        <c:v>75</c:v>
                      </c:pt>
                      <c:pt idx="1">
                        <c:v>98</c:v>
                      </c:pt>
                      <c:pt idx="2">
                        <c:v>129</c:v>
                      </c:pt>
                      <c:pt idx="3">
                        <c:v>177</c:v>
                      </c:pt>
                      <c:pt idx="4">
                        <c:v>220</c:v>
                      </c:pt>
                      <c:pt idx="5">
                        <c:v>302</c:v>
                      </c:pt>
                      <c:pt idx="6">
                        <c:v>377</c:v>
                      </c:pt>
                      <c:pt idx="7">
                        <c:v>515</c:v>
                      </c:pt>
                      <c:pt idx="8">
                        <c:v>763</c:v>
                      </c:pt>
                      <c:pt idx="9">
                        <c:v>1041</c:v>
                      </c:pt>
                      <c:pt idx="10">
                        <c:v>1296</c:v>
                      </c:pt>
                      <c:pt idx="11">
                        <c:v>1772</c:v>
                      </c:pt>
                      <c:pt idx="12">
                        <c:v>2211</c:v>
                      </c:pt>
                      <c:pt idx="13">
                        <c:v>3017</c:v>
                      </c:pt>
                      <c:pt idx="14">
                        <c:v>4453</c:v>
                      </c:pt>
                      <c:pt idx="15">
                        <c:v>6090</c:v>
                      </c:pt>
                      <c:pt idx="16">
                        <c:v>7603</c:v>
                      </c:pt>
                      <c:pt idx="17">
                        <c:v>10388</c:v>
                      </c:pt>
                      <c:pt idx="18">
                        <c:v>12957</c:v>
                      </c:pt>
                      <c:pt idx="19">
                        <c:v>15373</c:v>
                      </c:pt>
                      <c:pt idx="20">
                        <c:v>24200</c:v>
                      </c:pt>
                      <c:pt idx="21">
                        <c:v>39600</c:v>
                      </c:pt>
                      <c:pt idx="22">
                        <c:v>52800</c:v>
                      </c:pt>
                      <c:pt idx="23">
                        <c:v>61600.000000000007</c:v>
                      </c:pt>
                    </c:numCache>
                  </c:numRef>
                </c:yVal>
                <c:smooth val="0"/>
                <c:extLst xmlns:c15="http://schemas.microsoft.com/office/drawing/2012/chart">
                  <c:ext xmlns:c16="http://schemas.microsoft.com/office/drawing/2014/chart" uri="{C3380CC4-5D6E-409C-BE32-E72D297353CC}">
                    <c16:uniqueId val="{00000009-BCB2-476D-994B-A2FDE08A4218}"/>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'PROMETNA INFRASTRUKTURA'!$C$4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INFRASTRUKTURA'!$C$7:$C$30</c:f>
              <c:numCache>
                <c:formatCode>#,##0_ ;\-#,##0\ </c:formatCode>
                <c:ptCount val="24"/>
                <c:pt idx="0">
                  <c:v>49</c:v>
                </c:pt>
                <c:pt idx="1">
                  <c:v>62</c:v>
                </c:pt>
                <c:pt idx="2">
                  <c:v>81</c:v>
                </c:pt>
                <c:pt idx="3">
                  <c:v>109</c:v>
                </c:pt>
                <c:pt idx="4">
                  <c:v>135</c:v>
                </c:pt>
                <c:pt idx="5">
                  <c:v>183</c:v>
                </c:pt>
                <c:pt idx="6">
                  <c:v>226</c:v>
                </c:pt>
                <c:pt idx="7">
                  <c:v>305</c:v>
                </c:pt>
                <c:pt idx="8">
                  <c:v>445</c:v>
                </c:pt>
                <c:pt idx="9">
                  <c:v>600</c:v>
                </c:pt>
                <c:pt idx="10">
                  <c:v>741</c:v>
                </c:pt>
                <c:pt idx="11">
                  <c:v>1000</c:v>
                </c:pt>
                <c:pt idx="12">
                  <c:v>1237</c:v>
                </c:pt>
                <c:pt idx="13">
                  <c:v>1668</c:v>
                </c:pt>
                <c:pt idx="14">
                  <c:v>2426</c:v>
                </c:pt>
                <c:pt idx="15">
                  <c:v>3280</c:v>
                </c:pt>
                <c:pt idx="16">
                  <c:v>4062</c:v>
                </c:pt>
                <c:pt idx="17">
                  <c:v>5490</c:v>
                </c:pt>
                <c:pt idx="18">
                  <c:v>6795</c:v>
                </c:pt>
                <c:pt idx="19">
                  <c:v>8016</c:v>
                </c:pt>
                <c:pt idx="20">
                  <c:v>12150</c:v>
                </c:pt>
                <c:pt idx="21">
                  <c:v>18900</c:v>
                </c:pt>
                <c:pt idx="22">
                  <c:v>24300</c:v>
                </c:pt>
                <c:pt idx="23">
                  <c:v>27000</c:v>
                </c:pt>
              </c:numCache>
            </c:numRef>
          </c:yVal>
          <c:smooth val="0"/>
          <c:extLst>
            <c:ext xmlns:c16="http://schemas.microsoft.com/office/drawing/2014/chart" uri="{C3380CC4-5D6E-409C-BE32-E72D297353CC}">
              <c16:uniqueId val="{00000000-88F2-417C-9951-8DA858A26D4B}"/>
            </c:ext>
          </c:extLst>
        </c:ser>
        <c:ser>
          <c:idx val="2"/>
          <c:order val="2"/>
          <c:tx>
            <c:strRef>
              <c:f>'PROMETNA INFRASTRUKTURA'!$E$4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INFRASTRUKTURA'!$E$7:$E$30</c:f>
              <c:numCache>
                <c:formatCode>#,##0_ ;\-#,##0\ </c:formatCode>
                <c:ptCount val="24"/>
                <c:pt idx="0">
                  <c:v>58</c:v>
                </c:pt>
                <c:pt idx="1">
                  <c:v>74</c:v>
                </c:pt>
                <c:pt idx="2">
                  <c:v>97</c:v>
                </c:pt>
                <c:pt idx="3">
                  <c:v>130</c:v>
                </c:pt>
                <c:pt idx="4">
                  <c:v>161</c:v>
                </c:pt>
                <c:pt idx="5">
                  <c:v>218</c:v>
                </c:pt>
                <c:pt idx="6">
                  <c:v>270</c:v>
                </c:pt>
                <c:pt idx="7">
                  <c:v>364</c:v>
                </c:pt>
                <c:pt idx="8">
                  <c:v>530</c:v>
                </c:pt>
                <c:pt idx="9">
                  <c:v>715</c:v>
                </c:pt>
                <c:pt idx="10">
                  <c:v>882</c:v>
                </c:pt>
                <c:pt idx="11">
                  <c:v>1191</c:v>
                </c:pt>
                <c:pt idx="12">
                  <c:v>1474</c:v>
                </c:pt>
                <c:pt idx="13">
                  <c:v>1987</c:v>
                </c:pt>
                <c:pt idx="14">
                  <c:v>2890</c:v>
                </c:pt>
                <c:pt idx="15">
                  <c:v>3907</c:v>
                </c:pt>
                <c:pt idx="16">
                  <c:v>4839</c:v>
                </c:pt>
                <c:pt idx="17">
                  <c:v>6539</c:v>
                </c:pt>
                <c:pt idx="18">
                  <c:v>8094</c:v>
                </c:pt>
                <c:pt idx="19">
                  <c:v>9548</c:v>
                </c:pt>
                <c:pt idx="20">
                  <c:v>14490</c:v>
                </c:pt>
                <c:pt idx="21">
                  <c:v>22540.000000000004</c:v>
                </c:pt>
                <c:pt idx="22">
                  <c:v>28980</c:v>
                </c:pt>
                <c:pt idx="23">
                  <c:v>32200</c:v>
                </c:pt>
              </c:numCache>
            </c:numRef>
          </c:yVal>
          <c:smooth val="0"/>
          <c:extLst>
            <c:ext xmlns:c16="http://schemas.microsoft.com/office/drawing/2014/chart" uri="{C3380CC4-5D6E-409C-BE32-E72D297353CC}">
              <c16:uniqueId val="{00000002-88F2-417C-9951-8DA858A26D4B}"/>
            </c:ext>
          </c:extLst>
        </c:ser>
        <c:ser>
          <c:idx val="4"/>
          <c:order val="4"/>
          <c:tx>
            <c:strRef>
              <c:f>'PROMETNA INFRASTRUKTURA'!$G$4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INFRASTRUKTURA'!$G$7:$G$30</c:f>
              <c:numCache>
                <c:formatCode>#,##0_ ;\-#,##0\ </c:formatCode>
                <c:ptCount val="24"/>
                <c:pt idx="0">
                  <c:v>67</c:v>
                </c:pt>
                <c:pt idx="1">
                  <c:v>86</c:v>
                </c:pt>
                <c:pt idx="2">
                  <c:v>112</c:v>
                </c:pt>
                <c:pt idx="3">
                  <c:v>151</c:v>
                </c:pt>
                <c:pt idx="4">
                  <c:v>187</c:v>
                </c:pt>
                <c:pt idx="5">
                  <c:v>253</c:v>
                </c:pt>
                <c:pt idx="6">
                  <c:v>313</c:v>
                </c:pt>
                <c:pt idx="7">
                  <c:v>422</c:v>
                </c:pt>
                <c:pt idx="8">
                  <c:v>616</c:v>
                </c:pt>
                <c:pt idx="9">
                  <c:v>829</c:v>
                </c:pt>
                <c:pt idx="10">
                  <c:v>1024</c:v>
                </c:pt>
                <c:pt idx="11">
                  <c:v>1383</c:v>
                </c:pt>
                <c:pt idx="12">
                  <c:v>1710</c:v>
                </c:pt>
                <c:pt idx="13">
                  <c:v>2306</c:v>
                </c:pt>
                <c:pt idx="14">
                  <c:v>3354</c:v>
                </c:pt>
                <c:pt idx="15">
                  <c:v>4534</c:v>
                </c:pt>
                <c:pt idx="16">
                  <c:v>5615</c:v>
                </c:pt>
                <c:pt idx="17">
                  <c:v>7589</c:v>
                </c:pt>
                <c:pt idx="18">
                  <c:v>9393</c:v>
                </c:pt>
                <c:pt idx="19">
                  <c:v>11081</c:v>
                </c:pt>
                <c:pt idx="20">
                  <c:v>16830</c:v>
                </c:pt>
                <c:pt idx="21">
                  <c:v>26180.000000000004</c:v>
                </c:pt>
                <c:pt idx="22">
                  <c:v>33660</c:v>
                </c:pt>
                <c:pt idx="23">
                  <c:v>37400</c:v>
                </c:pt>
              </c:numCache>
            </c:numRef>
          </c:yVal>
          <c:smooth val="0"/>
          <c:extLst>
            <c:ext xmlns:c16="http://schemas.microsoft.com/office/drawing/2014/chart" uri="{C3380CC4-5D6E-409C-BE32-E72D297353CC}">
              <c16:uniqueId val="{00000004-88F2-417C-9951-8DA858A26D4B}"/>
            </c:ext>
          </c:extLst>
        </c:ser>
        <c:ser>
          <c:idx val="6"/>
          <c:order val="6"/>
          <c:tx>
            <c:strRef>
              <c:f>'PROMETNA INFRASTRUKTURA'!$I$4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INFRASTRUKTURA'!$I$7:$I$30</c:f>
              <c:numCache>
                <c:formatCode>#,##0_ ;\-#,##0\ </c:formatCode>
                <c:ptCount val="24"/>
                <c:pt idx="0">
                  <c:v>76</c:v>
                </c:pt>
                <c:pt idx="1">
                  <c:v>98</c:v>
                </c:pt>
                <c:pt idx="2">
                  <c:v>128</c:v>
                </c:pt>
                <c:pt idx="3">
                  <c:v>172</c:v>
                </c:pt>
                <c:pt idx="4">
                  <c:v>213</c:v>
                </c:pt>
                <c:pt idx="5">
                  <c:v>288</c:v>
                </c:pt>
                <c:pt idx="6">
                  <c:v>356</c:v>
                </c:pt>
                <c:pt idx="7">
                  <c:v>481</c:v>
                </c:pt>
                <c:pt idx="8">
                  <c:v>701</c:v>
                </c:pt>
                <c:pt idx="9">
                  <c:v>944</c:v>
                </c:pt>
                <c:pt idx="10">
                  <c:v>1166</c:v>
                </c:pt>
                <c:pt idx="11">
                  <c:v>1574</c:v>
                </c:pt>
                <c:pt idx="12">
                  <c:v>1946</c:v>
                </c:pt>
                <c:pt idx="13">
                  <c:v>2625</c:v>
                </c:pt>
                <c:pt idx="14">
                  <c:v>3818</c:v>
                </c:pt>
                <c:pt idx="15">
                  <c:v>5161</c:v>
                </c:pt>
                <c:pt idx="16">
                  <c:v>6392</c:v>
                </c:pt>
                <c:pt idx="17">
                  <c:v>8638</c:v>
                </c:pt>
                <c:pt idx="18">
                  <c:v>10693</c:v>
                </c:pt>
                <c:pt idx="19">
                  <c:v>12613</c:v>
                </c:pt>
                <c:pt idx="20">
                  <c:v>19170</c:v>
                </c:pt>
                <c:pt idx="21">
                  <c:v>29820.000000000004</c:v>
                </c:pt>
                <c:pt idx="22">
                  <c:v>38340</c:v>
                </c:pt>
                <c:pt idx="23">
                  <c:v>42600</c:v>
                </c:pt>
              </c:numCache>
            </c:numRef>
          </c:yVal>
          <c:smooth val="0"/>
          <c:extLst>
            <c:ext xmlns:c16="http://schemas.microsoft.com/office/drawing/2014/chart" uri="{C3380CC4-5D6E-409C-BE32-E72D297353CC}">
              <c16:uniqueId val="{00000006-88F2-417C-9951-8DA858A26D4B}"/>
            </c:ext>
          </c:extLst>
        </c:ser>
        <c:ser>
          <c:idx val="8"/>
          <c:order val="8"/>
          <c:tx>
            <c:strRef>
              <c:f>'PROMETNA INFRASTRUKTURA'!$K$4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INFRASTRUKTURA'!$K$7:$K$30</c:f>
              <c:numCache>
                <c:formatCode>#,##0_ ;\-#,##0\ </c:formatCode>
                <c:ptCount val="24"/>
                <c:pt idx="0">
                  <c:v>85</c:v>
                </c:pt>
                <c:pt idx="1">
                  <c:v>109</c:v>
                </c:pt>
                <c:pt idx="2">
                  <c:v>142</c:v>
                </c:pt>
                <c:pt idx="3">
                  <c:v>192</c:v>
                </c:pt>
                <c:pt idx="4">
                  <c:v>237</c:v>
                </c:pt>
                <c:pt idx="5">
                  <c:v>320</c:v>
                </c:pt>
                <c:pt idx="6">
                  <c:v>396</c:v>
                </c:pt>
                <c:pt idx="7">
                  <c:v>535</c:v>
                </c:pt>
                <c:pt idx="8">
                  <c:v>779</c:v>
                </c:pt>
                <c:pt idx="9">
                  <c:v>1050</c:v>
                </c:pt>
                <c:pt idx="10">
                  <c:v>1296</c:v>
                </c:pt>
                <c:pt idx="11">
                  <c:v>1750</c:v>
                </c:pt>
                <c:pt idx="12">
                  <c:v>2165</c:v>
                </c:pt>
                <c:pt idx="13">
                  <c:v>2919</c:v>
                </c:pt>
                <c:pt idx="14">
                  <c:v>4246</c:v>
                </c:pt>
                <c:pt idx="15">
                  <c:v>5740</c:v>
                </c:pt>
                <c:pt idx="16">
                  <c:v>7109</c:v>
                </c:pt>
                <c:pt idx="17">
                  <c:v>9607</c:v>
                </c:pt>
                <c:pt idx="18">
                  <c:v>11892</c:v>
                </c:pt>
                <c:pt idx="19">
                  <c:v>14028</c:v>
                </c:pt>
                <c:pt idx="20">
                  <c:v>21330</c:v>
                </c:pt>
                <c:pt idx="21">
                  <c:v>33180</c:v>
                </c:pt>
                <c:pt idx="22">
                  <c:v>42660</c:v>
                </c:pt>
                <c:pt idx="23">
                  <c:v>47400</c:v>
                </c:pt>
              </c:numCache>
            </c:numRef>
          </c:yVal>
          <c:smooth val="0"/>
          <c:extLst>
            <c:ext xmlns:c16="http://schemas.microsoft.com/office/drawing/2014/chart" uri="{C3380CC4-5D6E-409C-BE32-E72D297353CC}">
              <c16:uniqueId val="{00000008-88F2-417C-9951-8DA858A26D4B}"/>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'PROMETNA INFRASTRUKTURA'!$B$7:$B$30</c:f>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'PROMETNA INFRASTRUKTURA'!$L$7:$L$30</c:f>
              <c:numCache>
                <c:formatCode>#,##0_ ;\-#,##0\ </c:formatCode>
                <c:ptCount val="24"/>
                <c:pt idx="0">
                  <c:v>94</c:v>
                </c:pt>
                <c:pt idx="1">
                  <c:v>121</c:v>
                </c:pt>
                <c:pt idx="2">
                  <c:v>157</c:v>
                </c:pt>
                <c:pt idx="3">
                  <c:v>213</c:v>
                </c:pt>
                <c:pt idx="4">
                  <c:v>263</c:v>
                </c:pt>
                <c:pt idx="5">
                  <c:v>355</c:v>
                </c:pt>
                <c:pt idx="6">
                  <c:v>439</c:v>
                </c:pt>
                <c:pt idx="7">
                  <c:v>593</c:v>
                </c:pt>
                <c:pt idx="8">
                  <c:v>864</c:v>
                </c:pt>
                <c:pt idx="9">
                  <c:v>1165</c:v>
                </c:pt>
                <c:pt idx="10">
                  <c:v>1438</c:v>
                </c:pt>
                <c:pt idx="11">
                  <c:v>1941</c:v>
                </c:pt>
                <c:pt idx="12">
                  <c:v>2401</c:v>
                </c:pt>
                <c:pt idx="13">
                  <c:v>3238</c:v>
                </c:pt>
                <c:pt idx="14">
                  <c:v>4710</c:v>
                </c:pt>
                <c:pt idx="15">
                  <c:v>6367</c:v>
                </c:pt>
                <c:pt idx="16">
                  <c:v>7886</c:v>
                </c:pt>
                <c:pt idx="17">
                  <c:v>10657</c:v>
                </c:pt>
                <c:pt idx="18">
                  <c:v>13191</c:v>
                </c:pt>
                <c:pt idx="19">
                  <c:v>15560</c:v>
                </c:pt>
                <c:pt idx="20">
                  <c:v>23670</c:v>
                </c:pt>
                <c:pt idx="21">
                  <c:v>36820</c:v>
                </c:pt>
                <c:pt idx="22">
                  <c:v>47340</c:v>
                </c:pt>
                <c:pt idx="23">
                  <c:v>52600</c:v>
                </c:pt>
              </c:numCache>
            </c:numRef>
          </c:yVal>
          <c:smooth val="0"/>
          <c:extLst>
            <c:ext xmlns:c16="http://schemas.microsoft.com/office/drawing/2014/chart" uri="{C3380CC4-5D6E-409C-BE32-E72D297353CC}">
              <c16:uniqueId val="{00000009-88F2-417C-9951-8DA858A26D4B}"/>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'PROMETNA INFRASTRUKTURA'!$D$7:$D$30</c15:sqref>
                        </c15:formulaRef>
                      </c:ext>
                    </c:extLst>
                    <c:numCache>
                      <c:formatCode>#,##0_ ;\-#,##0\ </c:formatCode>
                      <c:ptCount val="24"/>
                      <c:pt idx="0">
                        <c:v>58</c:v>
                      </c:pt>
                      <c:pt idx="1">
                        <c:v>74</c:v>
                      </c:pt>
                      <c:pt idx="2">
                        <c:v>97</c:v>
                      </c:pt>
                      <c:pt idx="3">
                        <c:v>130</c:v>
                      </c:pt>
                      <c:pt idx="4">
                        <c:v>161</c:v>
                      </c:pt>
                      <c:pt idx="5">
                        <c:v>218</c:v>
                      </c:pt>
                      <c:pt idx="6">
                        <c:v>270</c:v>
                      </c:pt>
                      <c:pt idx="7">
                        <c:v>364</c:v>
                      </c:pt>
                      <c:pt idx="8">
                        <c:v>530</c:v>
                      </c:pt>
                      <c:pt idx="9">
                        <c:v>715</c:v>
                      </c:pt>
                      <c:pt idx="10">
                        <c:v>882</c:v>
                      </c:pt>
                      <c:pt idx="11">
                        <c:v>1191</c:v>
                      </c:pt>
                      <c:pt idx="12">
                        <c:v>1474</c:v>
                      </c:pt>
                      <c:pt idx="13">
                        <c:v>1987</c:v>
                      </c:pt>
                      <c:pt idx="14">
                        <c:v>2890</c:v>
                      </c:pt>
                      <c:pt idx="15">
                        <c:v>3907</c:v>
                      </c:pt>
                      <c:pt idx="16">
                        <c:v>4839</c:v>
                      </c:pt>
                      <c:pt idx="17">
                        <c:v>6539</c:v>
                      </c:pt>
                      <c:pt idx="18">
                        <c:v>8094</c:v>
                      </c:pt>
                      <c:pt idx="19">
                        <c:v>9548</c:v>
                      </c:pt>
                      <c:pt idx="20">
                        <c:v>14490</c:v>
                      </c:pt>
                      <c:pt idx="21">
                        <c:v>22540.000000000004</c:v>
                      </c:pt>
                      <c:pt idx="22">
                        <c:v>28980</c:v>
                      </c:pt>
                      <c:pt idx="23">
                        <c:v>32200</c:v>
                      </c:pt>
                    </c:numCache>
                  </c:numRef>
                </c:yVal>
                <c:smooth val="0"/>
                <c:extLst>
                  <c:ext xmlns:c16="http://schemas.microsoft.com/office/drawing/2014/chart" uri="{C3380CC4-5D6E-409C-BE32-E72D297353CC}">
                    <c16:uniqueId val="{00000001-88F2-417C-9951-8DA858A26D4B}"/>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INFRASTRUKTURA'!$F$7:$F$30</c15:sqref>
                        </c15:formulaRef>
                      </c:ext>
                    </c:extLst>
                    <c:numCache>
                      <c:formatCode>#,##0_ ;\-#,##0\ </c:formatCode>
                      <c:ptCount val="24"/>
                      <c:pt idx="0">
                        <c:v>67</c:v>
                      </c:pt>
                      <c:pt idx="1">
                        <c:v>86</c:v>
                      </c:pt>
                      <c:pt idx="2">
                        <c:v>112</c:v>
                      </c:pt>
                      <c:pt idx="3">
                        <c:v>151</c:v>
                      </c:pt>
                      <c:pt idx="4">
                        <c:v>187</c:v>
                      </c:pt>
                      <c:pt idx="5">
                        <c:v>253</c:v>
                      </c:pt>
                      <c:pt idx="6">
                        <c:v>313</c:v>
                      </c:pt>
                      <c:pt idx="7">
                        <c:v>422</c:v>
                      </c:pt>
                      <c:pt idx="8">
                        <c:v>616</c:v>
                      </c:pt>
                      <c:pt idx="9">
                        <c:v>829</c:v>
                      </c:pt>
                      <c:pt idx="10">
                        <c:v>1024</c:v>
                      </c:pt>
                      <c:pt idx="11">
                        <c:v>1383</c:v>
                      </c:pt>
                      <c:pt idx="12">
                        <c:v>1710</c:v>
                      </c:pt>
                      <c:pt idx="13">
                        <c:v>2306</c:v>
                      </c:pt>
                      <c:pt idx="14">
                        <c:v>3354</c:v>
                      </c:pt>
                      <c:pt idx="15">
                        <c:v>4534</c:v>
                      </c:pt>
                      <c:pt idx="16">
                        <c:v>5615</c:v>
                      </c:pt>
                      <c:pt idx="17">
                        <c:v>7589</c:v>
                      </c:pt>
                      <c:pt idx="18">
                        <c:v>9393</c:v>
                      </c:pt>
                      <c:pt idx="19">
                        <c:v>11081</c:v>
                      </c:pt>
                      <c:pt idx="20">
                        <c:v>16830</c:v>
                      </c:pt>
                      <c:pt idx="21">
                        <c:v>26180.000000000004</c:v>
                      </c:pt>
                      <c:pt idx="22">
                        <c:v>33660</c:v>
                      </c:pt>
                      <c:pt idx="23">
                        <c:v>37400</c:v>
                      </c:pt>
                    </c:numCache>
                  </c:numRef>
                </c:yVal>
                <c:smooth val="0"/>
                <c:extLst xmlns:c15="http://schemas.microsoft.com/office/drawing/2012/chart">
                  <c:ext xmlns:c16="http://schemas.microsoft.com/office/drawing/2014/chart" uri="{C3380CC4-5D6E-409C-BE32-E72D297353CC}">
                    <c16:uniqueId val="{00000003-88F2-417C-9951-8DA858A26D4B}"/>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INFRASTRUKTURA'!$H$7:$H$30</c15:sqref>
                        </c15:formulaRef>
                      </c:ext>
                    </c:extLst>
                    <c:numCache>
                      <c:formatCode>#,##0_ ;\-#,##0\ </c:formatCode>
                      <c:ptCount val="24"/>
                      <c:pt idx="0">
                        <c:v>76</c:v>
                      </c:pt>
                      <c:pt idx="1">
                        <c:v>98</c:v>
                      </c:pt>
                      <c:pt idx="2">
                        <c:v>128</c:v>
                      </c:pt>
                      <c:pt idx="3">
                        <c:v>172</c:v>
                      </c:pt>
                      <c:pt idx="4">
                        <c:v>213</c:v>
                      </c:pt>
                      <c:pt idx="5">
                        <c:v>288</c:v>
                      </c:pt>
                      <c:pt idx="6">
                        <c:v>356</c:v>
                      </c:pt>
                      <c:pt idx="7">
                        <c:v>481</c:v>
                      </c:pt>
                      <c:pt idx="8">
                        <c:v>701</c:v>
                      </c:pt>
                      <c:pt idx="9">
                        <c:v>944</c:v>
                      </c:pt>
                      <c:pt idx="10">
                        <c:v>1166</c:v>
                      </c:pt>
                      <c:pt idx="11">
                        <c:v>1574</c:v>
                      </c:pt>
                      <c:pt idx="12">
                        <c:v>1946</c:v>
                      </c:pt>
                      <c:pt idx="13">
                        <c:v>2625</c:v>
                      </c:pt>
                      <c:pt idx="14">
                        <c:v>3818</c:v>
                      </c:pt>
                      <c:pt idx="15">
                        <c:v>5161</c:v>
                      </c:pt>
                      <c:pt idx="16">
                        <c:v>6392</c:v>
                      </c:pt>
                      <c:pt idx="17">
                        <c:v>8638</c:v>
                      </c:pt>
                      <c:pt idx="18">
                        <c:v>10693</c:v>
                      </c:pt>
                      <c:pt idx="19">
                        <c:v>12613</c:v>
                      </c:pt>
                      <c:pt idx="20">
                        <c:v>19170</c:v>
                      </c:pt>
                      <c:pt idx="21">
                        <c:v>29820.000000000004</c:v>
                      </c:pt>
                      <c:pt idx="22">
                        <c:v>38340</c:v>
                      </c:pt>
                      <c:pt idx="23">
                        <c:v>42600</c:v>
                      </c:pt>
                    </c:numCache>
                  </c:numRef>
                </c:yVal>
                <c:smooth val="0"/>
                <c:extLst xmlns:c15="http://schemas.microsoft.com/office/drawing/2012/chart">
                  <c:ext xmlns:c16="http://schemas.microsoft.com/office/drawing/2014/chart" uri="{C3380CC4-5D6E-409C-BE32-E72D297353CC}">
                    <c16:uniqueId val="{00000005-88F2-417C-9951-8DA858A26D4B}"/>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'PROMETNA INFRASTRUKTURA'!$B$7:$B$30</c15:sqref>
                        </c15:formulaRef>
                      </c:ext>
                    </c:extLst>
                    <c:numCache>
                      <c:formatCode>#,##0_ ;\-#,##0\ </c:formatCode>
                      <c:ptCount val="24"/>
                      <c:pt idx="0">
                        <c:v>25000</c:v>
                      </c:pt>
                      <c:pt idx="1">
                        <c:v>35000</c:v>
                      </c:pt>
                      <c:pt idx="2">
                        <c:v>50000</c:v>
                      </c:pt>
                      <c:pt idx="3">
                        <c:v>75000</c:v>
                      </c:pt>
                      <c:pt idx="4">
                        <c:v>100000</c:v>
                      </c:pt>
                      <c:pt idx="5">
                        <c:v>150000</c:v>
                      </c:pt>
                      <c:pt idx="6">
                        <c:v>200000</c:v>
                      </c:pt>
                      <c:pt idx="7">
                        <c:v>300000</c:v>
                      </c:pt>
                      <c:pt idx="8">
                        <c:v>500000</c:v>
                      </c:pt>
                      <c:pt idx="9">
                        <c:v>750000</c:v>
                      </c:pt>
                      <c:pt idx="10">
                        <c:v>1000000</c:v>
                      </c:pt>
                      <c:pt idx="11">
                        <c:v>1500000</c:v>
                      </c:pt>
                      <c:pt idx="12">
                        <c:v>2000000</c:v>
                      </c:pt>
                      <c:pt idx="13">
                        <c:v>3000000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'PROMETNA INFRASTRUKTURA'!$J$7:$J$30</c15:sqref>
                        </c15:formulaRef>
                      </c:ext>
                    </c:extLst>
                    <c:numCache>
                      <c:formatCode>#,##0_ ;\-#,##0\ </c:formatCode>
                      <c:ptCount val="24"/>
                      <c:pt idx="0">
                        <c:v>85</c:v>
                      </c:pt>
                      <c:pt idx="1">
                        <c:v>109</c:v>
                      </c:pt>
                      <c:pt idx="2">
                        <c:v>142</c:v>
                      </c:pt>
                      <c:pt idx="3">
                        <c:v>192</c:v>
                      </c:pt>
                      <c:pt idx="4">
                        <c:v>237</c:v>
                      </c:pt>
                      <c:pt idx="5">
                        <c:v>320</c:v>
                      </c:pt>
                      <c:pt idx="6">
                        <c:v>396</c:v>
                      </c:pt>
                      <c:pt idx="7">
                        <c:v>535</c:v>
                      </c:pt>
                      <c:pt idx="8">
                        <c:v>779</c:v>
                      </c:pt>
                      <c:pt idx="9">
                        <c:v>1050</c:v>
                      </c:pt>
                      <c:pt idx="10">
                        <c:v>1296</c:v>
                      </c:pt>
                      <c:pt idx="11">
                        <c:v>1750</c:v>
                      </c:pt>
                      <c:pt idx="12">
                        <c:v>2165</c:v>
                      </c:pt>
                      <c:pt idx="13">
                        <c:v>2919</c:v>
                      </c:pt>
                      <c:pt idx="14">
                        <c:v>4246</c:v>
                      </c:pt>
                      <c:pt idx="15">
                        <c:v>5740</c:v>
                      </c:pt>
                      <c:pt idx="16">
                        <c:v>7109</c:v>
                      </c:pt>
                      <c:pt idx="17">
                        <c:v>9607</c:v>
                      </c:pt>
                      <c:pt idx="18">
                        <c:v>11892</c:v>
                      </c:pt>
                      <c:pt idx="19">
                        <c:v>14028</c:v>
                      </c:pt>
                      <c:pt idx="20">
                        <c:v>21330</c:v>
                      </c:pt>
                      <c:pt idx="21">
                        <c:v>33180</c:v>
                      </c:pt>
                      <c:pt idx="22">
                        <c:v>42660</c:v>
                      </c:pt>
                      <c:pt idx="23">
                        <c:v>47400</c:v>
                      </c:pt>
                    </c:numCache>
                  </c:numRef>
                </c:yVal>
                <c:smooth val="0"/>
                <c:extLst xmlns:c15="http://schemas.microsoft.com/office/drawing/2012/chart">
                  <c:ext xmlns:c16="http://schemas.microsoft.com/office/drawing/2014/chart" uri="{C3380CC4-5D6E-409C-BE32-E72D297353CC}">
                    <c16:uniqueId val="{00000007-88F2-417C-9951-8DA858A26D4B}"/>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'GRADBENE KONSTRUKCIJE'!$C$4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KONSTRUKCIJE'!$C$7:$C$30</c:f>
              <c:numCache>
                <c:formatCode>#,##0_ ;\-#,##0\ </c:formatCode>
                <c:ptCount val="24"/>
                <c:pt idx="0">
                  <c:v>24</c:v>
                </c:pt>
                <c:pt idx="1">
                  <c:v>34</c:v>
                </c:pt>
                <c:pt idx="2">
                  <c:v>50</c:v>
                </c:pt>
                <c:pt idx="3">
                  <c:v>86</c:v>
                </c:pt>
                <c:pt idx="4">
                  <c:v>119</c:v>
                </c:pt>
                <c:pt idx="5">
                  <c:v>149</c:v>
                </c:pt>
                <c:pt idx="6">
                  <c:v>205</c:v>
                </c:pt>
                <c:pt idx="7">
                  <c:v>306</c:v>
                </c:pt>
                <c:pt idx="8">
                  <c:v>398</c:v>
                </c:pt>
                <c:pt idx="9">
                  <c:v>527</c:v>
                </c:pt>
                <c:pt idx="10">
                  <c:v>724</c:v>
                </c:pt>
                <c:pt idx="11">
                  <c:v>908</c:v>
                </c:pt>
                <c:pt idx="12">
                  <c:v>1082</c:v>
                </c:pt>
                <c:pt idx="13">
                  <c:v>1249</c:v>
                </c:pt>
                <c:pt idx="14">
                  <c:v>1565</c:v>
                </c:pt>
                <c:pt idx="15">
                  <c:v>2151</c:v>
                </c:pt>
                <c:pt idx="16">
                  <c:v>3206</c:v>
                </c:pt>
                <c:pt idx="17">
                  <c:v>4408</c:v>
                </c:pt>
                <c:pt idx="18">
                  <c:v>5523</c:v>
                </c:pt>
                <c:pt idx="19">
                  <c:v>7585</c:v>
                </c:pt>
                <c:pt idx="20">
                  <c:v>9120</c:v>
                </c:pt>
                <c:pt idx="21">
                  <c:v>10200</c:v>
                </c:pt>
                <c:pt idx="22">
                  <c:v>16800</c:v>
                </c:pt>
                <c:pt idx="23">
                  <c:v>26400</c:v>
                </c:pt>
              </c:numCache>
            </c:numRef>
          </c:yVal>
          <c:smooth val="0"/>
          <c:extLst>
            <c:ext xmlns:c16="http://schemas.microsoft.com/office/drawing/2014/chart" uri="{C3380CC4-5D6E-409C-BE32-E72D297353CC}">
              <c16:uniqueId val="{00000000-55C2-4EB5-B872-3585263D979A}"/>
            </c:ext>
          </c:extLst>
        </c:ser>
        <c:ser>
          <c:idx val="2"/>
          <c:order val="2"/>
          <c:tx>
            <c:strRef>
              <c:f>'GRADBENE KONSTRUKCIJE'!$E$4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KONSTRUKCIJE'!$E$7:$E$30</c:f>
              <c:numCache>
                <c:formatCode>#,##0_ ;\-#,##0\ </c:formatCode>
                <c:ptCount val="24"/>
                <c:pt idx="0">
                  <c:v>27</c:v>
                </c:pt>
                <c:pt idx="1">
                  <c:v>37</c:v>
                </c:pt>
                <c:pt idx="2">
                  <c:v>56</c:v>
                </c:pt>
                <c:pt idx="3">
                  <c:v>96</c:v>
                </c:pt>
                <c:pt idx="4">
                  <c:v>132</c:v>
                </c:pt>
                <c:pt idx="5">
                  <c:v>166</c:v>
                </c:pt>
                <c:pt idx="6">
                  <c:v>228</c:v>
                </c:pt>
                <c:pt idx="7">
                  <c:v>340</c:v>
                </c:pt>
                <c:pt idx="8">
                  <c:v>443</c:v>
                </c:pt>
                <c:pt idx="9">
                  <c:v>585</c:v>
                </c:pt>
                <c:pt idx="10">
                  <c:v>805</c:v>
                </c:pt>
                <c:pt idx="11">
                  <c:v>1009</c:v>
                </c:pt>
                <c:pt idx="12">
                  <c:v>1203</c:v>
                </c:pt>
                <c:pt idx="13">
                  <c:v>1388</c:v>
                </c:pt>
                <c:pt idx="14">
                  <c:v>1739</c:v>
                </c:pt>
                <c:pt idx="15">
                  <c:v>2390</c:v>
                </c:pt>
                <c:pt idx="16">
                  <c:v>3563</c:v>
                </c:pt>
                <c:pt idx="17">
                  <c:v>4898</c:v>
                </c:pt>
                <c:pt idx="18">
                  <c:v>6137</c:v>
                </c:pt>
                <c:pt idx="19">
                  <c:v>8428</c:v>
                </c:pt>
                <c:pt idx="20">
                  <c:v>10260</c:v>
                </c:pt>
                <c:pt idx="21">
                  <c:v>12150</c:v>
                </c:pt>
                <c:pt idx="22">
                  <c:v>20250</c:v>
                </c:pt>
                <c:pt idx="23">
                  <c:v>32400</c:v>
                </c:pt>
              </c:numCache>
            </c:numRef>
          </c:yVal>
          <c:smooth val="0"/>
          <c:extLst>
            <c:ext xmlns:c16="http://schemas.microsoft.com/office/drawing/2014/chart" uri="{C3380CC4-5D6E-409C-BE32-E72D297353CC}">
              <c16:uniqueId val="{00000002-55C2-4EB5-B872-3585263D979A}"/>
            </c:ext>
          </c:extLst>
        </c:ser>
        <c:ser>
          <c:idx val="4"/>
          <c:order val="4"/>
          <c:tx>
            <c:strRef>
              <c:f>'GRADBENE KONSTRUKCIJE'!$G$4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KONSTRUKCIJE'!$G$7:$G$30</c:f>
              <c:numCache>
                <c:formatCode>#,##0_ ;\-#,##0\ </c:formatCode>
                <c:ptCount val="24"/>
                <c:pt idx="0">
                  <c:v>34</c:v>
                </c:pt>
                <c:pt idx="1">
                  <c:v>47</c:v>
                </c:pt>
                <c:pt idx="2">
                  <c:v>71</c:v>
                </c:pt>
                <c:pt idx="3">
                  <c:v>122</c:v>
                </c:pt>
                <c:pt idx="4">
                  <c:v>168</c:v>
                </c:pt>
                <c:pt idx="5">
                  <c:v>211</c:v>
                </c:pt>
                <c:pt idx="6">
                  <c:v>290</c:v>
                </c:pt>
                <c:pt idx="7">
                  <c:v>433</c:v>
                </c:pt>
                <c:pt idx="8">
                  <c:v>563</c:v>
                </c:pt>
                <c:pt idx="9">
                  <c:v>744</c:v>
                </c:pt>
                <c:pt idx="10">
                  <c:v>1023</c:v>
                </c:pt>
                <c:pt idx="11">
                  <c:v>1283</c:v>
                </c:pt>
                <c:pt idx="12">
                  <c:v>1529</c:v>
                </c:pt>
                <c:pt idx="13">
                  <c:v>1764</c:v>
                </c:pt>
                <c:pt idx="14">
                  <c:v>2211</c:v>
                </c:pt>
                <c:pt idx="15">
                  <c:v>3039</c:v>
                </c:pt>
                <c:pt idx="16">
                  <c:v>4530</c:v>
                </c:pt>
                <c:pt idx="17">
                  <c:v>6227</c:v>
                </c:pt>
                <c:pt idx="18">
                  <c:v>7803</c:v>
                </c:pt>
                <c:pt idx="19">
                  <c:v>10716</c:v>
                </c:pt>
                <c:pt idx="20">
                  <c:v>12920</c:v>
                </c:pt>
                <c:pt idx="21">
                  <c:v>15725</c:v>
                </c:pt>
                <c:pt idx="22">
                  <c:v>25500</c:v>
                </c:pt>
                <c:pt idx="23">
                  <c:v>39100</c:v>
                </c:pt>
              </c:numCache>
            </c:numRef>
          </c:yVal>
          <c:smooth val="0"/>
          <c:extLst>
            <c:ext xmlns:c16="http://schemas.microsoft.com/office/drawing/2014/chart" uri="{C3380CC4-5D6E-409C-BE32-E72D297353CC}">
              <c16:uniqueId val="{00000004-55C2-4EB5-B872-3585263D979A}"/>
            </c:ext>
          </c:extLst>
        </c:ser>
        <c:ser>
          <c:idx val="6"/>
          <c:order val="6"/>
          <c:tx>
            <c:strRef>
              <c:f>'GRADBENE KONSTRUKCIJE'!$I$4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KONSTRUKCIJE'!$I$7:$I$30</c:f>
              <c:numCache>
                <c:formatCode>#,##0_ ;\-#,##0\ </c:formatCode>
                <c:ptCount val="24"/>
                <c:pt idx="0">
                  <c:v>43</c:v>
                </c:pt>
                <c:pt idx="1">
                  <c:v>59</c:v>
                </c:pt>
                <c:pt idx="2">
                  <c:v>88</c:v>
                </c:pt>
                <c:pt idx="3">
                  <c:v>152</c:v>
                </c:pt>
                <c:pt idx="4">
                  <c:v>210</c:v>
                </c:pt>
                <c:pt idx="5">
                  <c:v>263</c:v>
                </c:pt>
                <c:pt idx="6">
                  <c:v>361</c:v>
                </c:pt>
                <c:pt idx="7">
                  <c:v>539</c:v>
                </c:pt>
                <c:pt idx="8">
                  <c:v>702</c:v>
                </c:pt>
                <c:pt idx="9">
                  <c:v>928</c:v>
                </c:pt>
                <c:pt idx="10">
                  <c:v>1276</c:v>
                </c:pt>
                <c:pt idx="11">
                  <c:v>1600</c:v>
                </c:pt>
                <c:pt idx="12">
                  <c:v>1907</c:v>
                </c:pt>
                <c:pt idx="13">
                  <c:v>2201</c:v>
                </c:pt>
                <c:pt idx="14">
                  <c:v>2758</c:v>
                </c:pt>
                <c:pt idx="15">
                  <c:v>3790</c:v>
                </c:pt>
                <c:pt idx="16">
                  <c:v>5649</c:v>
                </c:pt>
                <c:pt idx="17">
                  <c:v>7767</c:v>
                </c:pt>
                <c:pt idx="18">
                  <c:v>9732</c:v>
                </c:pt>
                <c:pt idx="19">
                  <c:v>13365</c:v>
                </c:pt>
                <c:pt idx="20">
                  <c:v>16340</c:v>
                </c:pt>
                <c:pt idx="21">
                  <c:v>18812.5</c:v>
                </c:pt>
                <c:pt idx="22">
                  <c:v>30100.000000000004</c:v>
                </c:pt>
                <c:pt idx="23">
                  <c:v>47300</c:v>
                </c:pt>
              </c:numCache>
            </c:numRef>
          </c:yVal>
          <c:smooth val="0"/>
          <c:extLst>
            <c:ext xmlns:c16="http://schemas.microsoft.com/office/drawing/2014/chart" uri="{C3380CC4-5D6E-409C-BE32-E72D297353CC}">
              <c16:uniqueId val="{00000006-55C2-4EB5-B872-3585263D979A}"/>
            </c:ext>
          </c:extLst>
        </c:ser>
        <c:ser>
          <c:idx val="8"/>
          <c:order val="8"/>
          <c:tx>
            <c:strRef>
              <c:f>'GRADBENE KONSTRUKCIJE'!$K$4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KONSTRUKCIJE'!$K$7:$K$30</c:f>
              <c:numCache>
                <c:formatCode>#,##0_ ;\-#,##0\ </c:formatCode>
                <c:ptCount val="24"/>
                <c:pt idx="0">
                  <c:v>50</c:v>
                </c:pt>
                <c:pt idx="1">
                  <c:v>69</c:v>
                </c:pt>
                <c:pt idx="2">
                  <c:v>103</c:v>
                </c:pt>
                <c:pt idx="3">
                  <c:v>178</c:v>
                </c:pt>
                <c:pt idx="4">
                  <c:v>245</c:v>
                </c:pt>
                <c:pt idx="5">
                  <c:v>308</c:v>
                </c:pt>
                <c:pt idx="6">
                  <c:v>423</c:v>
                </c:pt>
                <c:pt idx="7">
                  <c:v>632</c:v>
                </c:pt>
                <c:pt idx="8">
                  <c:v>822</c:v>
                </c:pt>
                <c:pt idx="9">
                  <c:v>1087</c:v>
                </c:pt>
                <c:pt idx="10">
                  <c:v>1495</c:v>
                </c:pt>
                <c:pt idx="11">
                  <c:v>1874</c:v>
                </c:pt>
                <c:pt idx="12">
                  <c:v>2233</c:v>
                </c:pt>
                <c:pt idx="13">
                  <c:v>2577</c:v>
                </c:pt>
                <c:pt idx="14">
                  <c:v>3230</c:v>
                </c:pt>
                <c:pt idx="15">
                  <c:v>4439</c:v>
                </c:pt>
                <c:pt idx="16">
                  <c:v>6616</c:v>
                </c:pt>
                <c:pt idx="17">
                  <c:v>9096</c:v>
                </c:pt>
                <c:pt idx="18">
                  <c:v>11397</c:v>
                </c:pt>
                <c:pt idx="19">
                  <c:v>15652</c:v>
                </c:pt>
                <c:pt idx="20">
                  <c:v>19000</c:v>
                </c:pt>
                <c:pt idx="21">
                  <c:v>21875</c:v>
                </c:pt>
                <c:pt idx="22">
                  <c:v>33750</c:v>
                </c:pt>
                <c:pt idx="23">
                  <c:v>52500</c:v>
                </c:pt>
              </c:numCache>
            </c:numRef>
          </c:yVal>
          <c:smooth val="0"/>
          <c:extLst>
            <c:ext xmlns:c16="http://schemas.microsoft.com/office/drawing/2014/chart" uri="{C3380CC4-5D6E-409C-BE32-E72D297353CC}">
              <c16:uniqueId val="{00000008-55C2-4EB5-B872-3585263D979A}"/>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'GRADBENE KONSTRUKCIJE'!$B$7:$B$30</c:f>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f>'GRADBENE KONSTRUKCIJE'!$L$7:$L$30</c:f>
              <c:numCache>
                <c:formatCode>#,##0_ ;\-#,##0\ </c:formatCode>
                <c:ptCount val="24"/>
                <c:pt idx="0">
                  <c:v>53</c:v>
                </c:pt>
                <c:pt idx="1">
                  <c:v>73</c:v>
                </c:pt>
                <c:pt idx="2">
                  <c:v>109</c:v>
                </c:pt>
                <c:pt idx="3">
                  <c:v>188</c:v>
                </c:pt>
                <c:pt idx="4">
                  <c:v>259</c:v>
                </c:pt>
                <c:pt idx="5">
                  <c:v>324</c:v>
                </c:pt>
                <c:pt idx="6">
                  <c:v>446</c:v>
                </c:pt>
                <c:pt idx="7">
                  <c:v>666</c:v>
                </c:pt>
                <c:pt idx="8">
                  <c:v>867</c:v>
                </c:pt>
                <c:pt idx="9">
                  <c:v>1145</c:v>
                </c:pt>
                <c:pt idx="10">
                  <c:v>1575</c:v>
                </c:pt>
                <c:pt idx="11">
                  <c:v>1975</c:v>
                </c:pt>
                <c:pt idx="12">
                  <c:v>2354</c:v>
                </c:pt>
                <c:pt idx="13">
                  <c:v>2716</c:v>
                </c:pt>
                <c:pt idx="14">
                  <c:v>3404</c:v>
                </c:pt>
                <c:pt idx="15">
                  <c:v>4678</c:v>
                </c:pt>
                <c:pt idx="16">
                  <c:v>6973</c:v>
                </c:pt>
                <c:pt idx="17">
                  <c:v>9586</c:v>
                </c:pt>
                <c:pt idx="18">
                  <c:v>12011</c:v>
                </c:pt>
                <c:pt idx="19">
                  <c:v>16495</c:v>
                </c:pt>
                <c:pt idx="20">
                  <c:v>20140</c:v>
                </c:pt>
                <c:pt idx="21">
                  <c:v>23850</c:v>
                </c:pt>
                <c:pt idx="22">
                  <c:v>37100</c:v>
                </c:pt>
                <c:pt idx="23">
                  <c:v>58300</c:v>
                </c:pt>
              </c:numCache>
            </c:numRef>
          </c:yVal>
          <c:smooth val="0"/>
          <c:extLst>
            <c:ext xmlns:c16="http://schemas.microsoft.com/office/drawing/2014/chart" uri="{C3380CC4-5D6E-409C-BE32-E72D297353CC}">
              <c16:uniqueId val="{00000009-55C2-4EB5-B872-3585263D979A}"/>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c:ext uri="{02D57815-91ED-43cb-92C2-25804820EDAC}">
                        <c15:formulaRef>
                          <c15:sqref>'GRADBENE KONSTRUKCIJE'!$D$7:$D$30</c15:sqref>
                        </c15:formulaRef>
                      </c:ext>
                    </c:extLst>
                    <c:numCache>
                      <c:formatCode>#,##0_ ;\-#,##0\ </c:formatCode>
                      <c:ptCount val="24"/>
                      <c:pt idx="0">
                        <c:v>27</c:v>
                      </c:pt>
                      <c:pt idx="1">
                        <c:v>37</c:v>
                      </c:pt>
                      <c:pt idx="2">
                        <c:v>56</c:v>
                      </c:pt>
                      <c:pt idx="3">
                        <c:v>96</c:v>
                      </c:pt>
                      <c:pt idx="4">
                        <c:v>132</c:v>
                      </c:pt>
                      <c:pt idx="5">
                        <c:v>166</c:v>
                      </c:pt>
                      <c:pt idx="6">
                        <c:v>228</c:v>
                      </c:pt>
                      <c:pt idx="7">
                        <c:v>340</c:v>
                      </c:pt>
                      <c:pt idx="8">
                        <c:v>443</c:v>
                      </c:pt>
                      <c:pt idx="9">
                        <c:v>585</c:v>
                      </c:pt>
                      <c:pt idx="10">
                        <c:v>805</c:v>
                      </c:pt>
                      <c:pt idx="11">
                        <c:v>1009</c:v>
                      </c:pt>
                      <c:pt idx="12">
                        <c:v>1203</c:v>
                      </c:pt>
                      <c:pt idx="13">
                        <c:v>1388</c:v>
                      </c:pt>
                      <c:pt idx="14">
                        <c:v>1739</c:v>
                      </c:pt>
                      <c:pt idx="15">
                        <c:v>2390</c:v>
                      </c:pt>
                      <c:pt idx="16">
                        <c:v>3563</c:v>
                      </c:pt>
                      <c:pt idx="17">
                        <c:v>4898</c:v>
                      </c:pt>
                      <c:pt idx="18">
                        <c:v>6137</c:v>
                      </c:pt>
                      <c:pt idx="19">
                        <c:v>8428</c:v>
                      </c:pt>
                      <c:pt idx="20">
                        <c:v>10260</c:v>
                      </c:pt>
                      <c:pt idx="21">
                        <c:v>12150</c:v>
                      </c:pt>
                      <c:pt idx="22">
                        <c:v>20250</c:v>
                      </c:pt>
                      <c:pt idx="23">
                        <c:v>32400</c:v>
                      </c:pt>
                    </c:numCache>
                  </c:numRef>
                </c:yVal>
                <c:smooth val="0"/>
                <c:extLst>
                  <c:ext xmlns:c16="http://schemas.microsoft.com/office/drawing/2014/chart" uri="{C3380CC4-5D6E-409C-BE32-E72D297353CC}">
                    <c16:uniqueId val="{00000001-55C2-4EB5-B872-3585263D979A}"/>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KONSTRUKCIJE'!$F$7:$F$30</c15:sqref>
                        </c15:formulaRef>
                      </c:ext>
                    </c:extLst>
                    <c:numCache>
                      <c:formatCode>#,##0_ ;\-#,##0\ </c:formatCode>
                      <c:ptCount val="24"/>
                      <c:pt idx="0">
                        <c:v>34</c:v>
                      </c:pt>
                      <c:pt idx="1">
                        <c:v>47</c:v>
                      </c:pt>
                      <c:pt idx="2">
                        <c:v>71</c:v>
                      </c:pt>
                      <c:pt idx="3">
                        <c:v>122</c:v>
                      </c:pt>
                      <c:pt idx="4">
                        <c:v>168</c:v>
                      </c:pt>
                      <c:pt idx="5">
                        <c:v>211</c:v>
                      </c:pt>
                      <c:pt idx="6">
                        <c:v>290</c:v>
                      </c:pt>
                      <c:pt idx="7">
                        <c:v>433</c:v>
                      </c:pt>
                      <c:pt idx="8">
                        <c:v>563</c:v>
                      </c:pt>
                      <c:pt idx="9">
                        <c:v>744</c:v>
                      </c:pt>
                      <c:pt idx="10">
                        <c:v>1023</c:v>
                      </c:pt>
                      <c:pt idx="11">
                        <c:v>1283</c:v>
                      </c:pt>
                      <c:pt idx="12">
                        <c:v>1529</c:v>
                      </c:pt>
                      <c:pt idx="13">
                        <c:v>1764</c:v>
                      </c:pt>
                      <c:pt idx="14">
                        <c:v>2211</c:v>
                      </c:pt>
                      <c:pt idx="15">
                        <c:v>3039</c:v>
                      </c:pt>
                      <c:pt idx="16">
                        <c:v>4530</c:v>
                      </c:pt>
                      <c:pt idx="17">
                        <c:v>6227</c:v>
                      </c:pt>
                      <c:pt idx="18">
                        <c:v>7803</c:v>
                      </c:pt>
                      <c:pt idx="19">
                        <c:v>10716</c:v>
                      </c:pt>
                      <c:pt idx="20">
                        <c:v>12920</c:v>
                      </c:pt>
                      <c:pt idx="21">
                        <c:v>15725</c:v>
                      </c:pt>
                      <c:pt idx="22">
                        <c:v>25500</c:v>
                      </c:pt>
                      <c:pt idx="23">
                        <c:v>39100</c:v>
                      </c:pt>
                    </c:numCache>
                  </c:numRef>
                </c:yVal>
                <c:smooth val="0"/>
                <c:extLst xmlns:c15="http://schemas.microsoft.com/office/drawing/2012/chart">
                  <c:ext xmlns:c16="http://schemas.microsoft.com/office/drawing/2014/chart" uri="{C3380CC4-5D6E-409C-BE32-E72D297353CC}">
                    <c16:uniqueId val="{00000003-55C2-4EB5-B872-3585263D979A}"/>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KONSTRUKCIJE'!$H$7:$H$30</c15:sqref>
                        </c15:formulaRef>
                      </c:ext>
                    </c:extLst>
                    <c:numCache>
                      <c:formatCode>#,##0_ ;\-#,##0\ </c:formatCode>
                      <c:ptCount val="24"/>
                      <c:pt idx="0">
                        <c:v>43</c:v>
                      </c:pt>
                      <c:pt idx="1">
                        <c:v>59</c:v>
                      </c:pt>
                      <c:pt idx="2">
                        <c:v>88</c:v>
                      </c:pt>
                      <c:pt idx="3">
                        <c:v>152</c:v>
                      </c:pt>
                      <c:pt idx="4">
                        <c:v>210</c:v>
                      </c:pt>
                      <c:pt idx="5">
                        <c:v>263</c:v>
                      </c:pt>
                      <c:pt idx="6">
                        <c:v>361</c:v>
                      </c:pt>
                      <c:pt idx="7">
                        <c:v>539</c:v>
                      </c:pt>
                      <c:pt idx="8">
                        <c:v>702</c:v>
                      </c:pt>
                      <c:pt idx="9">
                        <c:v>928</c:v>
                      </c:pt>
                      <c:pt idx="10">
                        <c:v>1276</c:v>
                      </c:pt>
                      <c:pt idx="11">
                        <c:v>1600</c:v>
                      </c:pt>
                      <c:pt idx="12">
                        <c:v>1907</c:v>
                      </c:pt>
                      <c:pt idx="13">
                        <c:v>2201</c:v>
                      </c:pt>
                      <c:pt idx="14">
                        <c:v>2758</c:v>
                      </c:pt>
                      <c:pt idx="15">
                        <c:v>3790</c:v>
                      </c:pt>
                      <c:pt idx="16">
                        <c:v>5649</c:v>
                      </c:pt>
                      <c:pt idx="17">
                        <c:v>7767</c:v>
                      </c:pt>
                      <c:pt idx="18">
                        <c:v>9732</c:v>
                      </c:pt>
                      <c:pt idx="19">
                        <c:v>13365</c:v>
                      </c:pt>
                      <c:pt idx="20">
                        <c:v>16340</c:v>
                      </c:pt>
                      <c:pt idx="21">
                        <c:v>18812.5</c:v>
                      </c:pt>
                      <c:pt idx="22">
                        <c:v>30100.000000000004</c:v>
                      </c:pt>
                      <c:pt idx="23">
                        <c:v>47300</c:v>
                      </c:pt>
                    </c:numCache>
                  </c:numRef>
                </c:yVal>
                <c:smooth val="0"/>
                <c:extLst xmlns:c15="http://schemas.microsoft.com/office/drawing/2012/chart">
                  <c:ext xmlns:c16="http://schemas.microsoft.com/office/drawing/2014/chart" uri="{C3380CC4-5D6E-409C-BE32-E72D297353CC}">
                    <c16:uniqueId val="{00000005-55C2-4EB5-B872-3585263D979A}"/>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'GRADBENE KONSTRUKCIJE'!$B$7:$B$30</c15:sqref>
                        </c15:formulaRef>
                      </c:ext>
                    </c:extLst>
                    <c:numCache>
                      <c:formatCode>#,##0_ ;\-#,##0\ </c:formatCode>
                      <c:ptCount val="24"/>
                      <c:pt idx="0">
                        <c:v>10000</c:v>
                      </c:pt>
                      <c:pt idx="1">
                        <c:v>15000</c:v>
                      </c:pt>
                      <c:pt idx="2">
                        <c:v>25000</c:v>
                      </c:pt>
                      <c:pt idx="3">
                        <c:v>50000</c:v>
                      </c:pt>
                      <c:pt idx="4">
                        <c:v>75000</c:v>
                      </c:pt>
                      <c:pt idx="5">
                        <c:v>100000</c:v>
                      </c:pt>
                      <c:pt idx="6">
                        <c:v>150000</c:v>
                      </c:pt>
                      <c:pt idx="7">
                        <c:v>250000</c:v>
                      </c:pt>
                      <c:pt idx="8">
                        <c:v>350000</c:v>
                      </c:pt>
                      <c:pt idx="9">
                        <c:v>500000</c:v>
                      </c:pt>
                      <c:pt idx="10">
                        <c:v>750000</c:v>
                      </c:pt>
                      <c:pt idx="11">
                        <c:v>1000000</c:v>
                      </c:pt>
                      <c:pt idx="12">
                        <c:v>1250000</c:v>
                      </c:pt>
                      <c:pt idx="13">
                        <c:v>1500000</c:v>
                      </c:pt>
                      <c:pt idx="14">
                        <c:v>2000000</c:v>
                      </c:pt>
                      <c:pt idx="15">
                        <c:v>3000000</c:v>
                      </c:pt>
                      <c:pt idx="16">
                        <c:v>5000000</c:v>
                      </c:pt>
                      <c:pt idx="17">
                        <c:v>7500000</c:v>
                      </c:pt>
                      <c:pt idx="18">
                        <c:v>10000000</c:v>
                      </c:pt>
                      <c:pt idx="19">
                        <c:v>15000000</c:v>
                      </c:pt>
                      <c:pt idx="20">
                        <c:v>20000000</c:v>
                      </c:pt>
                      <c:pt idx="21">
                        <c:v>25000000</c:v>
                      </c:pt>
                      <c:pt idx="22">
                        <c:v>50000000</c:v>
                      </c:pt>
                      <c:pt idx="23">
                        <c:v>100000000</c:v>
                      </c:pt>
                    </c:numCache>
                  </c:numRef>
                </c:xVal>
                <c:yVal>
                  <c:numRef>
                    <c:extLst xmlns:c15="http://schemas.microsoft.com/office/drawing/2012/chart">
                      <c:ext xmlns:c15="http://schemas.microsoft.com/office/drawing/2012/chart" uri="{02D57815-91ED-43cb-92C2-25804820EDAC}">
                        <c15:formulaRef>
                          <c15:sqref>'GRADBENE KONSTRUKCIJE'!$J$7:$J$30</c15:sqref>
                        </c15:formulaRef>
                      </c:ext>
                    </c:extLst>
                    <c:numCache>
                      <c:formatCode>#,##0_ ;\-#,##0\ </c:formatCode>
                      <c:ptCount val="24"/>
                      <c:pt idx="0">
                        <c:v>50</c:v>
                      </c:pt>
                      <c:pt idx="1">
                        <c:v>69</c:v>
                      </c:pt>
                      <c:pt idx="2">
                        <c:v>103</c:v>
                      </c:pt>
                      <c:pt idx="3">
                        <c:v>178</c:v>
                      </c:pt>
                      <c:pt idx="4">
                        <c:v>245</c:v>
                      </c:pt>
                      <c:pt idx="5">
                        <c:v>308</c:v>
                      </c:pt>
                      <c:pt idx="6">
                        <c:v>423</c:v>
                      </c:pt>
                      <c:pt idx="7">
                        <c:v>632</c:v>
                      </c:pt>
                      <c:pt idx="8">
                        <c:v>822</c:v>
                      </c:pt>
                      <c:pt idx="9">
                        <c:v>1087</c:v>
                      </c:pt>
                      <c:pt idx="10">
                        <c:v>1495</c:v>
                      </c:pt>
                      <c:pt idx="11">
                        <c:v>1874</c:v>
                      </c:pt>
                      <c:pt idx="12">
                        <c:v>2233</c:v>
                      </c:pt>
                      <c:pt idx="13">
                        <c:v>2577</c:v>
                      </c:pt>
                      <c:pt idx="14">
                        <c:v>3230</c:v>
                      </c:pt>
                      <c:pt idx="15">
                        <c:v>4439</c:v>
                      </c:pt>
                      <c:pt idx="16">
                        <c:v>6616</c:v>
                      </c:pt>
                      <c:pt idx="17">
                        <c:v>9096</c:v>
                      </c:pt>
                      <c:pt idx="18">
                        <c:v>11397</c:v>
                      </c:pt>
                      <c:pt idx="19">
                        <c:v>15652</c:v>
                      </c:pt>
                      <c:pt idx="20">
                        <c:v>19000</c:v>
                      </c:pt>
                      <c:pt idx="21">
                        <c:v>21875</c:v>
                      </c:pt>
                      <c:pt idx="22">
                        <c:v>33750</c:v>
                      </c:pt>
                      <c:pt idx="23">
                        <c:v>52500</c:v>
                      </c:pt>
                    </c:numCache>
                  </c:numRef>
                </c:yVal>
                <c:smooth val="0"/>
                <c:extLst xmlns:c15="http://schemas.microsoft.com/office/drawing/2012/chart">
                  <c:ext xmlns:c16="http://schemas.microsoft.com/office/drawing/2014/chart" uri="{C3380CC4-5D6E-409C-BE32-E72D297353CC}">
                    <c16:uniqueId val="{00000007-55C2-4EB5-B872-3585263D979A}"/>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'TEHNIČNA OPREMA'!$C$4</c:f>
              <c:strCache>
                <c:ptCount val="1"/>
                <c:pt idx="0">
                  <c:v>CENOVNI RAZRED I</c:v>
                </c:pt>
              </c:strCache>
            </c:strRef>
          </c:tx>
          <c:spPr>
            <a:ln w="19050" cap="rnd">
              <a:solidFill>
                <a:schemeClr val="accent1">
                  <a:tint val="50000"/>
                </a:schemeClr>
              </a:solidFill>
              <a:round/>
            </a:ln>
            <a:effectLst/>
          </c:spPr>
          <c:marker>
            <c:symbol val="circle"/>
            <c:size val="5"/>
            <c:spPr>
              <a:solidFill>
                <a:schemeClr val="accent1">
                  <a:tint val="50000"/>
                </a:schemeClr>
              </a:solidFill>
              <a:ln w="9525">
                <a:solidFill>
                  <a:schemeClr val="accent1">
                    <a:tint val="5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OPREMA'!$C$7:$C$32</c:f>
              <c:numCache>
                <c:formatCode>#,##0_ ;\-#,##0\ </c:formatCode>
                <c:ptCount val="26"/>
                <c:pt idx="0">
                  <c:v>27</c:v>
                </c:pt>
                <c:pt idx="1">
                  <c:v>46</c:v>
                </c:pt>
                <c:pt idx="2">
                  <c:v>64</c:v>
                </c:pt>
                <c:pt idx="3">
                  <c:v>95</c:v>
                </c:pt>
                <c:pt idx="4">
                  <c:v>124</c:v>
                </c:pt>
                <c:pt idx="5">
                  <c:v>165</c:v>
                </c:pt>
                <c:pt idx="6">
                  <c:v>227</c:v>
                </c:pt>
                <c:pt idx="7">
                  <c:v>284</c:v>
                </c:pt>
                <c:pt idx="8">
                  <c:v>390</c:v>
                </c:pt>
                <c:pt idx="9">
                  <c:v>583</c:v>
                </c:pt>
                <c:pt idx="10">
                  <c:v>1009</c:v>
                </c:pt>
                <c:pt idx="11">
                  <c:v>1389</c:v>
                </c:pt>
                <c:pt idx="12">
                  <c:v>1742</c:v>
                </c:pt>
                <c:pt idx="13">
                  <c:v>2076</c:v>
                </c:pt>
                <c:pt idx="14">
                  <c:v>2394</c:v>
                </c:pt>
                <c:pt idx="15">
                  <c:v>2997</c:v>
                </c:pt>
                <c:pt idx="16">
                  <c:v>3571</c:v>
                </c:pt>
                <c:pt idx="17">
                  <c:v>4118</c:v>
                </c:pt>
                <c:pt idx="18">
                  <c:v>4644</c:v>
                </c:pt>
                <c:pt idx="19">
                  <c:v>5152</c:v>
                </c:pt>
                <c:pt idx="20">
                  <c:v>5832</c:v>
                </c:pt>
                <c:pt idx="21">
                  <c:v>6480</c:v>
                </c:pt>
                <c:pt idx="22">
                  <c:v>8910</c:v>
                </c:pt>
                <c:pt idx="23">
                  <c:v>10800</c:v>
                </c:pt>
                <c:pt idx="24">
                  <c:v>14175</c:v>
                </c:pt>
                <c:pt idx="25">
                  <c:v>16200</c:v>
                </c:pt>
              </c:numCache>
            </c:numRef>
          </c:yVal>
          <c:smooth val="0"/>
          <c:extLst>
            <c:ext xmlns:c16="http://schemas.microsoft.com/office/drawing/2014/chart" uri="{C3380CC4-5D6E-409C-BE32-E72D297353CC}">
              <c16:uniqueId val="{00000000-4079-42CB-8E10-9183A8194AA6}"/>
            </c:ext>
          </c:extLst>
        </c:ser>
        <c:ser>
          <c:idx val="2"/>
          <c:order val="2"/>
          <c:tx>
            <c:strRef>
              <c:f>'TEHNIČNA OPREMA'!$E$4</c:f>
              <c:strCache>
                <c:ptCount val="1"/>
                <c:pt idx="0">
                  <c:v>CENOVNI RAZRED II</c:v>
                </c:pt>
              </c:strCache>
            </c:strRef>
          </c:tx>
          <c:spPr>
            <a:ln w="19050" cap="rnd">
              <a:solidFill>
                <a:schemeClr val="accent1">
                  <a:tint val="90000"/>
                </a:schemeClr>
              </a:solidFill>
              <a:round/>
            </a:ln>
            <a:effectLst/>
          </c:spPr>
          <c:marker>
            <c:symbol val="circle"/>
            <c:size val="5"/>
            <c:spPr>
              <a:solidFill>
                <a:schemeClr val="accent1">
                  <a:tint val="90000"/>
                </a:schemeClr>
              </a:solidFill>
              <a:ln w="9525">
                <a:solidFill>
                  <a:schemeClr val="accent1">
                    <a:tint val="9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OPREMA'!$E$7:$E$32</c:f>
              <c:numCache>
                <c:formatCode>#,##0_ ;\-#,##0\ </c:formatCode>
                <c:ptCount val="26"/>
                <c:pt idx="0">
                  <c:v>32</c:v>
                </c:pt>
                <c:pt idx="1">
                  <c:v>55</c:v>
                </c:pt>
                <c:pt idx="2">
                  <c:v>76</c:v>
                </c:pt>
                <c:pt idx="3">
                  <c:v>114</c:v>
                </c:pt>
                <c:pt idx="4">
                  <c:v>148</c:v>
                </c:pt>
                <c:pt idx="5">
                  <c:v>197</c:v>
                </c:pt>
                <c:pt idx="6">
                  <c:v>271</c:v>
                </c:pt>
                <c:pt idx="7">
                  <c:v>339</c:v>
                </c:pt>
                <c:pt idx="8">
                  <c:v>466</c:v>
                </c:pt>
                <c:pt idx="9">
                  <c:v>697</c:v>
                </c:pt>
                <c:pt idx="10">
                  <c:v>1205</c:v>
                </c:pt>
                <c:pt idx="11">
                  <c:v>1659</c:v>
                </c:pt>
                <c:pt idx="12">
                  <c:v>2081</c:v>
                </c:pt>
                <c:pt idx="13">
                  <c:v>2480</c:v>
                </c:pt>
                <c:pt idx="14">
                  <c:v>2861</c:v>
                </c:pt>
                <c:pt idx="15">
                  <c:v>3581</c:v>
                </c:pt>
                <c:pt idx="16">
                  <c:v>4266</c:v>
                </c:pt>
                <c:pt idx="17">
                  <c:v>4920</c:v>
                </c:pt>
                <c:pt idx="18">
                  <c:v>5548</c:v>
                </c:pt>
                <c:pt idx="19">
                  <c:v>6155</c:v>
                </c:pt>
                <c:pt idx="20">
                  <c:v>6912</c:v>
                </c:pt>
                <c:pt idx="21">
                  <c:v>7680</c:v>
                </c:pt>
                <c:pt idx="22">
                  <c:v>10560</c:v>
                </c:pt>
                <c:pt idx="23">
                  <c:v>12800</c:v>
                </c:pt>
                <c:pt idx="24">
                  <c:v>16800</c:v>
                </c:pt>
                <c:pt idx="25">
                  <c:v>19200</c:v>
                </c:pt>
              </c:numCache>
            </c:numRef>
          </c:yVal>
          <c:smooth val="0"/>
          <c:extLst>
            <c:ext xmlns:c16="http://schemas.microsoft.com/office/drawing/2014/chart" uri="{C3380CC4-5D6E-409C-BE32-E72D297353CC}">
              <c16:uniqueId val="{00000002-4079-42CB-8E10-9183A8194AA6}"/>
            </c:ext>
          </c:extLst>
        </c:ser>
        <c:ser>
          <c:idx val="4"/>
          <c:order val="4"/>
          <c:tx>
            <c:strRef>
              <c:f>'TEHNIČNA OPREMA'!$G$4</c:f>
              <c:strCache>
                <c:ptCount val="1"/>
                <c:pt idx="0">
                  <c:v>CENOVNI RAZRED III</c:v>
                </c:pt>
              </c:strCache>
            </c:strRef>
          </c:tx>
          <c:spPr>
            <a:ln w="19050" cap="rnd">
              <a:solidFill>
                <a:schemeClr val="accent1">
                  <a:shade val="70000"/>
                </a:schemeClr>
              </a:solidFill>
              <a:round/>
            </a:ln>
            <a:effectLst/>
          </c:spPr>
          <c:marker>
            <c:symbol val="circle"/>
            <c:size val="5"/>
            <c:spPr>
              <a:solidFill>
                <a:schemeClr val="accent1">
                  <a:shade val="70000"/>
                </a:schemeClr>
              </a:solidFill>
              <a:ln w="9525">
                <a:solidFill>
                  <a:schemeClr val="accent1">
                    <a:shade val="7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OPREMA'!$G$7:$G$32</c:f>
              <c:numCache>
                <c:formatCode>#,##0_ ;\-#,##0\ </c:formatCode>
                <c:ptCount val="26"/>
                <c:pt idx="0">
                  <c:v>37</c:v>
                </c:pt>
                <c:pt idx="1">
                  <c:v>65</c:v>
                </c:pt>
                <c:pt idx="2">
                  <c:v>89</c:v>
                </c:pt>
                <c:pt idx="3">
                  <c:v>134</c:v>
                </c:pt>
                <c:pt idx="4">
                  <c:v>174</c:v>
                </c:pt>
                <c:pt idx="5">
                  <c:v>231</c:v>
                </c:pt>
                <c:pt idx="6">
                  <c:v>318</c:v>
                </c:pt>
                <c:pt idx="7">
                  <c:v>398</c:v>
                </c:pt>
                <c:pt idx="8">
                  <c:v>548</c:v>
                </c:pt>
                <c:pt idx="9">
                  <c:v>818</c:v>
                </c:pt>
                <c:pt idx="10">
                  <c:v>1415</c:v>
                </c:pt>
                <c:pt idx="11">
                  <c:v>1948</c:v>
                </c:pt>
                <c:pt idx="12">
                  <c:v>2443</c:v>
                </c:pt>
                <c:pt idx="13">
                  <c:v>2911</c:v>
                </c:pt>
                <c:pt idx="14">
                  <c:v>3358</c:v>
                </c:pt>
                <c:pt idx="15">
                  <c:v>4204</c:v>
                </c:pt>
                <c:pt idx="16">
                  <c:v>5008</c:v>
                </c:pt>
                <c:pt idx="17">
                  <c:v>5776</c:v>
                </c:pt>
                <c:pt idx="18">
                  <c:v>6513</c:v>
                </c:pt>
                <c:pt idx="19">
                  <c:v>7226</c:v>
                </c:pt>
                <c:pt idx="20">
                  <c:v>7992</c:v>
                </c:pt>
                <c:pt idx="21">
                  <c:v>8880</c:v>
                </c:pt>
                <c:pt idx="22">
                  <c:v>12210</c:v>
                </c:pt>
                <c:pt idx="23">
                  <c:v>14800</c:v>
                </c:pt>
                <c:pt idx="24">
                  <c:v>19425</c:v>
                </c:pt>
                <c:pt idx="25">
                  <c:v>22200</c:v>
                </c:pt>
              </c:numCache>
            </c:numRef>
          </c:yVal>
          <c:smooth val="0"/>
          <c:extLst>
            <c:ext xmlns:c16="http://schemas.microsoft.com/office/drawing/2014/chart" uri="{C3380CC4-5D6E-409C-BE32-E72D297353CC}">
              <c16:uniqueId val="{00000004-4079-42CB-8E10-9183A8194AA6}"/>
            </c:ext>
          </c:extLst>
        </c:ser>
        <c:ser>
          <c:idx val="5"/>
          <c:order val="5"/>
          <c:tx>
            <c:v>CENOVNI RAZRED III VISOKA</c:v>
          </c:tx>
          <c:spPr>
            <a:ln w="19050" cap="rnd">
              <a:solidFill>
                <a:schemeClr val="accent1">
                  <a:shade val="50000"/>
                </a:schemeClr>
              </a:solidFill>
              <a:round/>
            </a:ln>
            <a:effectLst/>
          </c:spPr>
          <c:marker>
            <c:symbol val="circle"/>
            <c:size val="5"/>
            <c:spPr>
              <a:solidFill>
                <a:schemeClr val="accent1">
                  <a:shade val="50000"/>
                </a:schemeClr>
              </a:solidFill>
              <a:ln w="9525">
                <a:solidFill>
                  <a:schemeClr val="accent1">
                    <a:shade val="50000"/>
                  </a:schemeClr>
                </a:solidFill>
              </a:ln>
              <a:effectLst/>
            </c:spPr>
          </c:marker>
          <c:xVal>
            <c:numRef>
              <c:f>'TEHNIČNA OPREMA'!$B$7:$B$32</c:f>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f>'TEHNIČNA OPREMA'!$H$7:$H$32</c:f>
              <c:numCache>
                <c:formatCode>#,##0_ ;\-#,##0\ </c:formatCode>
                <c:ptCount val="26"/>
                <c:pt idx="0">
                  <c:v>43</c:v>
                </c:pt>
                <c:pt idx="1">
                  <c:v>74</c:v>
                </c:pt>
                <c:pt idx="2">
                  <c:v>102</c:v>
                </c:pt>
                <c:pt idx="3">
                  <c:v>152</c:v>
                </c:pt>
                <c:pt idx="4">
                  <c:v>198</c:v>
                </c:pt>
                <c:pt idx="5">
                  <c:v>263</c:v>
                </c:pt>
                <c:pt idx="6">
                  <c:v>362</c:v>
                </c:pt>
                <c:pt idx="7">
                  <c:v>454</c:v>
                </c:pt>
                <c:pt idx="8">
                  <c:v>624</c:v>
                </c:pt>
                <c:pt idx="9">
                  <c:v>931</c:v>
                </c:pt>
                <c:pt idx="10">
                  <c:v>1611</c:v>
                </c:pt>
                <c:pt idx="11">
                  <c:v>2219</c:v>
                </c:pt>
                <c:pt idx="12">
                  <c:v>2782</c:v>
                </c:pt>
                <c:pt idx="13">
                  <c:v>3315</c:v>
                </c:pt>
                <c:pt idx="14">
                  <c:v>3825</c:v>
                </c:pt>
                <c:pt idx="15">
                  <c:v>4788</c:v>
                </c:pt>
                <c:pt idx="16">
                  <c:v>5704</c:v>
                </c:pt>
                <c:pt idx="17">
                  <c:v>6578</c:v>
                </c:pt>
                <c:pt idx="18">
                  <c:v>7418</c:v>
                </c:pt>
                <c:pt idx="19">
                  <c:v>8229</c:v>
                </c:pt>
                <c:pt idx="20">
                  <c:v>9288</c:v>
                </c:pt>
                <c:pt idx="21">
                  <c:v>10320</c:v>
                </c:pt>
                <c:pt idx="22">
                  <c:v>14190</c:v>
                </c:pt>
                <c:pt idx="23">
                  <c:v>17200</c:v>
                </c:pt>
                <c:pt idx="24">
                  <c:v>22575</c:v>
                </c:pt>
                <c:pt idx="25">
                  <c:v>25800</c:v>
                </c:pt>
              </c:numCache>
            </c:numRef>
          </c:yVal>
          <c:smooth val="0"/>
          <c:extLst xmlns:c15="http://schemas.microsoft.com/office/drawing/2012/chart">
            <c:ext xmlns:c16="http://schemas.microsoft.com/office/drawing/2014/chart" uri="{C3380CC4-5D6E-409C-BE32-E72D297353CC}">
              <c16:uniqueId val="{00000005-4079-42CB-8E10-9183A8194AA6}"/>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70000"/>
                      </a:schemeClr>
                    </a:solidFill>
                    <a:round/>
                  </a:ln>
                  <a:effectLst/>
                </c:spPr>
                <c:marker>
                  <c:symbol val="circle"/>
                  <c:size val="5"/>
                  <c:spPr>
                    <a:solidFill>
                      <a:schemeClr val="accent1">
                        <a:tint val="70000"/>
                      </a:schemeClr>
                    </a:solidFill>
                    <a:ln w="9525">
                      <a:solidFill>
                        <a:schemeClr val="accent1">
                          <a:tint val="70000"/>
                        </a:schemeClr>
                      </a:solidFill>
                    </a:ln>
                    <a:effectLst/>
                  </c:spPr>
                </c:marker>
                <c:xVal>
                  <c:numRef>
                    <c:extLst>
                      <c:ext uri="{02D57815-91ED-43cb-92C2-25804820EDAC}">
                        <c15:formulaRef>
                          <c15:sqref>'TEHNIČNA OPREMA'!$B$7:$B$32</c15:sqref>
                        </c15:formulaRef>
                      </c:ext>
                    </c:extLst>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extLst>
                      <c:ext uri="{02D57815-91ED-43cb-92C2-25804820EDAC}">
                        <c15:formulaRef>
                          <c15:sqref>'TEHNIČNA OPREMA'!$D$7:$D$32</c15:sqref>
                        </c15:formulaRef>
                      </c:ext>
                    </c:extLst>
                    <c:numCache>
                      <c:formatCode>#,##0_ ;\-#,##0\ </c:formatCode>
                      <c:ptCount val="26"/>
                      <c:pt idx="0">
                        <c:v>32</c:v>
                      </c:pt>
                      <c:pt idx="1">
                        <c:v>55</c:v>
                      </c:pt>
                      <c:pt idx="2">
                        <c:v>76</c:v>
                      </c:pt>
                      <c:pt idx="3">
                        <c:v>114</c:v>
                      </c:pt>
                      <c:pt idx="4">
                        <c:v>148</c:v>
                      </c:pt>
                      <c:pt idx="5">
                        <c:v>197</c:v>
                      </c:pt>
                      <c:pt idx="6">
                        <c:v>271</c:v>
                      </c:pt>
                      <c:pt idx="7">
                        <c:v>339</c:v>
                      </c:pt>
                      <c:pt idx="8">
                        <c:v>466</c:v>
                      </c:pt>
                      <c:pt idx="9">
                        <c:v>697</c:v>
                      </c:pt>
                      <c:pt idx="10">
                        <c:v>1205</c:v>
                      </c:pt>
                      <c:pt idx="11">
                        <c:v>1659</c:v>
                      </c:pt>
                      <c:pt idx="12">
                        <c:v>2081</c:v>
                      </c:pt>
                      <c:pt idx="13">
                        <c:v>2480</c:v>
                      </c:pt>
                      <c:pt idx="14">
                        <c:v>2861</c:v>
                      </c:pt>
                      <c:pt idx="15">
                        <c:v>3581</c:v>
                      </c:pt>
                      <c:pt idx="16">
                        <c:v>4266</c:v>
                      </c:pt>
                      <c:pt idx="17">
                        <c:v>4920</c:v>
                      </c:pt>
                      <c:pt idx="18">
                        <c:v>5548</c:v>
                      </c:pt>
                      <c:pt idx="19">
                        <c:v>6155</c:v>
                      </c:pt>
                      <c:pt idx="20">
                        <c:v>6912</c:v>
                      </c:pt>
                      <c:pt idx="21">
                        <c:v>7680</c:v>
                      </c:pt>
                      <c:pt idx="22">
                        <c:v>10560</c:v>
                      </c:pt>
                      <c:pt idx="23">
                        <c:v>12800</c:v>
                      </c:pt>
                      <c:pt idx="24">
                        <c:v>16800</c:v>
                      </c:pt>
                      <c:pt idx="25">
                        <c:v>19200</c:v>
                      </c:pt>
                    </c:numCache>
                  </c:numRef>
                </c:yVal>
                <c:smooth val="0"/>
                <c:extLst>
                  <c:ext xmlns:c16="http://schemas.microsoft.com/office/drawing/2014/chart" uri="{C3380CC4-5D6E-409C-BE32-E72D297353CC}">
                    <c16:uniqueId val="{00000001-4079-42CB-8E10-9183A8194AA6}"/>
                  </c:ext>
                </c:extLst>
              </c15:ser>
            </c15:filteredScatterSeries>
            <c15:filteredScatterSeries>
              <c15:ser>
                <c:idx val="3"/>
                <c:order val="3"/>
                <c:spPr>
                  <a:ln w="19050" cap="rnd">
                    <a:solidFill>
                      <a:schemeClr val="accent1">
                        <a:shade val="90000"/>
                      </a:schemeClr>
                    </a:solidFill>
                    <a:round/>
                  </a:ln>
                  <a:effectLst/>
                </c:spPr>
                <c:marker>
                  <c:symbol val="circle"/>
                  <c:size val="5"/>
                  <c:spPr>
                    <a:solidFill>
                      <a:schemeClr val="accent1">
                        <a:shade val="90000"/>
                      </a:schemeClr>
                    </a:solidFill>
                    <a:ln w="9525">
                      <a:solidFill>
                        <a:schemeClr val="accent1">
                          <a:shade val="90000"/>
                        </a:schemeClr>
                      </a:solidFill>
                    </a:ln>
                    <a:effectLst/>
                  </c:spPr>
                </c:marker>
                <c:xVal>
                  <c:numRef>
                    <c:extLst xmlns:c15="http://schemas.microsoft.com/office/drawing/2012/chart">
                      <c:ext xmlns:c15="http://schemas.microsoft.com/office/drawing/2012/chart" uri="{02D57815-91ED-43cb-92C2-25804820EDAC}">
                        <c15:formulaRef>
                          <c15:sqref>'TEHNIČNA OPREMA'!$B$7:$B$32</c15:sqref>
                        </c15:formulaRef>
                      </c:ext>
                    </c:extLst>
                    <c:numCache>
                      <c:formatCode>#,##0_ ;\-#,##0\ </c:formatCode>
                      <c:ptCount val="26"/>
                      <c:pt idx="0">
                        <c:v>5000</c:v>
                      </c:pt>
                      <c:pt idx="1">
                        <c:v>10000</c:v>
                      </c:pt>
                      <c:pt idx="2">
                        <c:v>15000</c:v>
                      </c:pt>
                      <c:pt idx="3">
                        <c:v>25000</c:v>
                      </c:pt>
                      <c:pt idx="4">
                        <c:v>35000</c:v>
                      </c:pt>
                      <c:pt idx="5">
                        <c:v>50000</c:v>
                      </c:pt>
                      <c:pt idx="6">
                        <c:v>75000</c:v>
                      </c:pt>
                      <c:pt idx="7">
                        <c:v>100000</c:v>
                      </c:pt>
                      <c:pt idx="8">
                        <c:v>150000</c:v>
                      </c:pt>
                      <c:pt idx="9">
                        <c:v>250000</c:v>
                      </c:pt>
                      <c:pt idx="10">
                        <c:v>500000</c:v>
                      </c:pt>
                      <c:pt idx="11">
                        <c:v>750000</c:v>
                      </c:pt>
                      <c:pt idx="12">
                        <c:v>1000000</c:v>
                      </c:pt>
                      <c:pt idx="13">
                        <c:v>1250000</c:v>
                      </c:pt>
                      <c:pt idx="14">
                        <c:v>1500000</c:v>
                      </c:pt>
                      <c:pt idx="15">
                        <c:v>2000000</c:v>
                      </c:pt>
                      <c:pt idx="16">
                        <c:v>2500000</c:v>
                      </c:pt>
                      <c:pt idx="17">
                        <c:v>3000000</c:v>
                      </c:pt>
                      <c:pt idx="18">
                        <c:v>3500000</c:v>
                      </c:pt>
                      <c:pt idx="19">
                        <c:v>4000000</c:v>
                      </c:pt>
                      <c:pt idx="20">
                        <c:v>4500000</c:v>
                      </c:pt>
                      <c:pt idx="21">
                        <c:v>5000000</c:v>
                      </c:pt>
                      <c:pt idx="22">
                        <c:v>7500000</c:v>
                      </c:pt>
                      <c:pt idx="23">
                        <c:v>10000000</c:v>
                      </c:pt>
                      <c:pt idx="24">
                        <c:v>15000000</c:v>
                      </c:pt>
                      <c:pt idx="25">
                        <c:v>20000000</c:v>
                      </c:pt>
                    </c:numCache>
                  </c:numRef>
                </c:xVal>
                <c:yVal>
                  <c:numRef>
                    <c:extLst xmlns:c15="http://schemas.microsoft.com/office/drawing/2012/chart">
                      <c:ext xmlns:c15="http://schemas.microsoft.com/office/drawing/2012/chart" uri="{02D57815-91ED-43cb-92C2-25804820EDAC}">
                        <c15:formulaRef>
                          <c15:sqref>'TEHNIČNA OPREMA'!$F$7:$F$32</c15:sqref>
                        </c15:formulaRef>
                      </c:ext>
                    </c:extLst>
                    <c:numCache>
                      <c:formatCode>#,##0_ ;\-#,##0\ </c:formatCode>
                      <c:ptCount val="26"/>
                      <c:pt idx="0">
                        <c:v>37</c:v>
                      </c:pt>
                      <c:pt idx="1">
                        <c:v>65</c:v>
                      </c:pt>
                      <c:pt idx="2">
                        <c:v>89</c:v>
                      </c:pt>
                      <c:pt idx="3">
                        <c:v>134</c:v>
                      </c:pt>
                      <c:pt idx="4">
                        <c:v>174</c:v>
                      </c:pt>
                      <c:pt idx="5">
                        <c:v>231</c:v>
                      </c:pt>
                      <c:pt idx="6">
                        <c:v>318</c:v>
                      </c:pt>
                      <c:pt idx="7">
                        <c:v>398</c:v>
                      </c:pt>
                      <c:pt idx="8">
                        <c:v>548</c:v>
                      </c:pt>
                      <c:pt idx="9">
                        <c:v>818</c:v>
                      </c:pt>
                      <c:pt idx="10">
                        <c:v>1415</c:v>
                      </c:pt>
                      <c:pt idx="11">
                        <c:v>1948</c:v>
                      </c:pt>
                      <c:pt idx="12">
                        <c:v>2443</c:v>
                      </c:pt>
                      <c:pt idx="13">
                        <c:v>2911</c:v>
                      </c:pt>
                      <c:pt idx="14">
                        <c:v>3358</c:v>
                      </c:pt>
                      <c:pt idx="15">
                        <c:v>4204</c:v>
                      </c:pt>
                      <c:pt idx="16">
                        <c:v>5008</c:v>
                      </c:pt>
                      <c:pt idx="17">
                        <c:v>5776</c:v>
                      </c:pt>
                      <c:pt idx="18">
                        <c:v>6513</c:v>
                      </c:pt>
                      <c:pt idx="19">
                        <c:v>7226</c:v>
                      </c:pt>
                      <c:pt idx="20">
                        <c:v>7992</c:v>
                      </c:pt>
                      <c:pt idx="21">
                        <c:v>8880</c:v>
                      </c:pt>
                      <c:pt idx="22">
                        <c:v>12210</c:v>
                      </c:pt>
                      <c:pt idx="23">
                        <c:v>14800</c:v>
                      </c:pt>
                      <c:pt idx="24">
                        <c:v>19425</c:v>
                      </c:pt>
                      <c:pt idx="25">
                        <c:v>22200</c:v>
                      </c:pt>
                    </c:numCache>
                  </c:numRef>
                </c:yVal>
                <c:smooth val="0"/>
                <c:extLst xmlns:c15="http://schemas.microsoft.com/office/drawing/2012/chart">
                  <c:ext xmlns:c16="http://schemas.microsoft.com/office/drawing/2014/chart" uri="{C3380CC4-5D6E-409C-BE32-E72D297353CC}">
                    <c16:uniqueId val="{00000003-4079-42CB-8E10-9183A8194AA6}"/>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scatterChart>
        <c:scatterStyle val="lineMarker"/>
        <c:varyColors val="0"/>
        <c:ser>
          <c:idx val="0"/>
          <c:order val="0"/>
          <c:tx>
            <c:strRef>
              <c:f>'POŽARNA VARNOST'!$C$5</c:f>
              <c:strCache>
                <c:ptCount val="1"/>
                <c:pt idx="0">
                  <c:v>ENOTNI CENOVNI RAZRED</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'POŽARNA VARNOST'!$B$8:$B$44</c:f>
              <c:numCache>
                <c:formatCode>#,##0_ ;\-#,##0\ </c:formatCode>
                <c:ptCount val="37"/>
                <c:pt idx="0">
                  <c:v>50000</c:v>
                </c:pt>
                <c:pt idx="1">
                  <c:v>100000</c:v>
                </c:pt>
                <c:pt idx="2">
                  <c:v>150000</c:v>
                </c:pt>
                <c:pt idx="3">
                  <c:v>200000</c:v>
                </c:pt>
                <c:pt idx="4">
                  <c:v>300000</c:v>
                </c:pt>
                <c:pt idx="5">
                  <c:v>400000</c:v>
                </c:pt>
                <c:pt idx="6">
                  <c:v>500000</c:v>
                </c:pt>
                <c:pt idx="7">
                  <c:v>1000000</c:v>
                </c:pt>
                <c:pt idx="8">
                  <c:v>1250000</c:v>
                </c:pt>
                <c:pt idx="9">
                  <c:v>1500000</c:v>
                </c:pt>
                <c:pt idx="10">
                  <c:v>1750000</c:v>
                </c:pt>
                <c:pt idx="11">
                  <c:v>2000000</c:v>
                </c:pt>
                <c:pt idx="12">
                  <c:v>2500000</c:v>
                </c:pt>
                <c:pt idx="13">
                  <c:v>3000000</c:v>
                </c:pt>
                <c:pt idx="14">
                  <c:v>3500000</c:v>
                </c:pt>
                <c:pt idx="15">
                  <c:v>4000000</c:v>
                </c:pt>
                <c:pt idx="16">
                  <c:v>4500000</c:v>
                </c:pt>
                <c:pt idx="17">
                  <c:v>5000000</c:v>
                </c:pt>
                <c:pt idx="18">
                  <c:v>5500000</c:v>
                </c:pt>
                <c:pt idx="19">
                  <c:v>6000000</c:v>
                </c:pt>
                <c:pt idx="20">
                  <c:v>6500000</c:v>
                </c:pt>
                <c:pt idx="21">
                  <c:v>7000000</c:v>
                </c:pt>
                <c:pt idx="22">
                  <c:v>7500000</c:v>
                </c:pt>
                <c:pt idx="23">
                  <c:v>8000000</c:v>
                </c:pt>
                <c:pt idx="24">
                  <c:v>9000000</c:v>
                </c:pt>
                <c:pt idx="25">
                  <c:v>10000000</c:v>
                </c:pt>
                <c:pt idx="26">
                  <c:v>12500000</c:v>
                </c:pt>
                <c:pt idx="27">
                  <c:v>15000000</c:v>
                </c:pt>
                <c:pt idx="28">
                  <c:v>17500000</c:v>
                </c:pt>
                <c:pt idx="29">
                  <c:v>20000000</c:v>
                </c:pt>
                <c:pt idx="30">
                  <c:v>25000000</c:v>
                </c:pt>
                <c:pt idx="31">
                  <c:v>30000000</c:v>
                </c:pt>
                <c:pt idx="32">
                  <c:v>35000000</c:v>
                </c:pt>
                <c:pt idx="33">
                  <c:v>50000000</c:v>
                </c:pt>
                <c:pt idx="34">
                  <c:v>100000000</c:v>
                </c:pt>
                <c:pt idx="35">
                  <c:v>150000000</c:v>
                </c:pt>
                <c:pt idx="36">
                  <c:v>200000000</c:v>
                </c:pt>
              </c:numCache>
            </c:numRef>
          </c:xVal>
          <c:yVal>
            <c:numRef>
              <c:f>'POŽARNA VARNOST'!$C$8:$C$44</c:f>
              <c:numCache>
                <c:formatCode>#,##0_ ;\-#,##0\ </c:formatCode>
                <c:ptCount val="37"/>
                <c:pt idx="0">
                  <c:v>24</c:v>
                </c:pt>
                <c:pt idx="1">
                  <c:v>26</c:v>
                </c:pt>
                <c:pt idx="2">
                  <c:v>28</c:v>
                </c:pt>
                <c:pt idx="3">
                  <c:v>30</c:v>
                </c:pt>
                <c:pt idx="4">
                  <c:v>35</c:v>
                </c:pt>
                <c:pt idx="5">
                  <c:v>39</c:v>
                </c:pt>
                <c:pt idx="6">
                  <c:v>44</c:v>
                </c:pt>
                <c:pt idx="7">
                  <c:v>62</c:v>
                </c:pt>
                <c:pt idx="8">
                  <c:v>72</c:v>
                </c:pt>
                <c:pt idx="9">
                  <c:v>81</c:v>
                </c:pt>
                <c:pt idx="10">
                  <c:v>90</c:v>
                </c:pt>
                <c:pt idx="11">
                  <c:v>98</c:v>
                </c:pt>
                <c:pt idx="12">
                  <c:v>113</c:v>
                </c:pt>
                <c:pt idx="13">
                  <c:v>128</c:v>
                </c:pt>
                <c:pt idx="14">
                  <c:v>142</c:v>
                </c:pt>
                <c:pt idx="15">
                  <c:v>157</c:v>
                </c:pt>
                <c:pt idx="16">
                  <c:v>171</c:v>
                </c:pt>
                <c:pt idx="17">
                  <c:v>186</c:v>
                </c:pt>
                <c:pt idx="18">
                  <c:v>194</c:v>
                </c:pt>
                <c:pt idx="19">
                  <c:v>203</c:v>
                </c:pt>
                <c:pt idx="20">
                  <c:v>209</c:v>
                </c:pt>
                <c:pt idx="21">
                  <c:v>215</c:v>
                </c:pt>
                <c:pt idx="22">
                  <c:v>219</c:v>
                </c:pt>
                <c:pt idx="23">
                  <c:v>225</c:v>
                </c:pt>
                <c:pt idx="24">
                  <c:v>234</c:v>
                </c:pt>
                <c:pt idx="25">
                  <c:v>242</c:v>
                </c:pt>
                <c:pt idx="26">
                  <c:v>267</c:v>
                </c:pt>
                <c:pt idx="27">
                  <c:v>297</c:v>
                </c:pt>
                <c:pt idx="28">
                  <c:v>329</c:v>
                </c:pt>
                <c:pt idx="29">
                  <c:v>363</c:v>
                </c:pt>
                <c:pt idx="30">
                  <c:v>444</c:v>
                </c:pt>
                <c:pt idx="31">
                  <c:v>528</c:v>
                </c:pt>
                <c:pt idx="32">
                  <c:v>612</c:v>
                </c:pt>
                <c:pt idx="33">
                  <c:v>720</c:v>
                </c:pt>
                <c:pt idx="34">
                  <c:v>1200</c:v>
                </c:pt>
                <c:pt idx="35">
                  <c:v>1440</c:v>
                </c:pt>
                <c:pt idx="36">
                  <c:v>1536</c:v>
                </c:pt>
              </c:numCache>
            </c:numRef>
          </c:yVal>
          <c:smooth val="0"/>
          <c:extLst>
            <c:ext xmlns:c16="http://schemas.microsoft.com/office/drawing/2014/chart" uri="{C3380CC4-5D6E-409C-BE32-E72D297353CC}">
              <c16:uniqueId val="{00000000-20D3-49A6-A475-A84B7080815C}"/>
            </c:ext>
          </c:extLst>
        </c:ser>
        <c:dLbls>
          <c:showLegendKey val="0"/>
          <c:showVal val="0"/>
          <c:showCatName val="0"/>
          <c:showSerName val="0"/>
          <c:showPercent val="0"/>
          <c:showBubbleSize val="0"/>
        </c:dLbls>
        <c:axId val="616101352"/>
        <c:axId val="616098728"/>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2318876107611632"/>
          <c:y val="2.4747217668418118E-2"/>
          <c:w val="0.71189729181323402"/>
          <c:h val="0.84459614385100512"/>
        </c:manualLayout>
      </c:layout>
      <c:scatterChart>
        <c:scatterStyle val="lineMarker"/>
        <c:varyColors val="0"/>
        <c:ser>
          <c:idx val="0"/>
          <c:order val="0"/>
          <c:tx>
            <c:strRef>
              <c:f>'GRADBENA FIZIKA'!$C$4</c:f>
              <c:strCache>
                <c:ptCount val="1"/>
                <c:pt idx="0">
                  <c:v>CENOVNI RAZRED I</c:v>
                </c:pt>
              </c:strCache>
            </c:strRef>
          </c:tx>
          <c:spPr>
            <a:ln w="19050" cap="rnd">
              <a:solidFill>
                <a:schemeClr val="accent1">
                  <a:tint val="43000"/>
                </a:schemeClr>
              </a:solidFill>
              <a:round/>
            </a:ln>
            <a:effectLst/>
          </c:spPr>
          <c:marker>
            <c:symbol val="circle"/>
            <c:size val="5"/>
            <c:spPr>
              <a:solidFill>
                <a:schemeClr val="accent1">
                  <a:tint val="43000"/>
                </a:schemeClr>
              </a:solidFill>
              <a:ln w="9525">
                <a:solidFill>
                  <a:schemeClr val="accent1">
                    <a:tint val="43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FIZIKA'!$C$7:$C$30</c:f>
              <c:numCache>
                <c:formatCode>#,##0_ ;\-#,##0\ </c:formatCode>
                <c:ptCount val="24"/>
                <c:pt idx="0">
                  <c:v>22</c:v>
                </c:pt>
                <c:pt idx="1">
                  <c:v>22</c:v>
                </c:pt>
                <c:pt idx="2">
                  <c:v>23</c:v>
                </c:pt>
                <c:pt idx="3">
                  <c:v>24</c:v>
                </c:pt>
                <c:pt idx="4">
                  <c:v>24</c:v>
                </c:pt>
                <c:pt idx="5">
                  <c:v>26</c:v>
                </c:pt>
                <c:pt idx="6">
                  <c:v>27</c:v>
                </c:pt>
                <c:pt idx="7">
                  <c:v>28</c:v>
                </c:pt>
                <c:pt idx="8">
                  <c:v>31</c:v>
                </c:pt>
                <c:pt idx="9">
                  <c:v>34</c:v>
                </c:pt>
                <c:pt idx="10">
                  <c:v>38</c:v>
                </c:pt>
                <c:pt idx="11">
                  <c:v>45</c:v>
                </c:pt>
                <c:pt idx="12">
                  <c:v>53</c:v>
                </c:pt>
                <c:pt idx="13">
                  <c:v>67</c:v>
                </c:pt>
                <c:pt idx="14">
                  <c:v>87</c:v>
                </c:pt>
                <c:pt idx="15">
                  <c:v>119</c:v>
                </c:pt>
                <c:pt idx="16">
                  <c:v>150</c:v>
                </c:pt>
                <c:pt idx="17">
                  <c:v>211</c:v>
                </c:pt>
                <c:pt idx="18">
                  <c:v>269</c:v>
                </c:pt>
                <c:pt idx="19">
                  <c:v>326</c:v>
                </c:pt>
                <c:pt idx="20">
                  <c:v>572</c:v>
                </c:pt>
                <c:pt idx="21">
                  <c:v>968</c:v>
                </c:pt>
                <c:pt idx="22">
                  <c:v>1188</c:v>
                </c:pt>
                <c:pt idx="23">
                  <c:v>1320</c:v>
                </c:pt>
              </c:numCache>
            </c:numRef>
          </c:yVal>
          <c:smooth val="0"/>
          <c:extLst>
            <c:ext xmlns:c16="http://schemas.microsoft.com/office/drawing/2014/chart" uri="{C3380CC4-5D6E-409C-BE32-E72D297353CC}">
              <c16:uniqueId val="{00000000-C7CA-4949-AEAE-FC01F8875C7C}"/>
            </c:ext>
          </c:extLst>
        </c:ser>
        <c:ser>
          <c:idx val="2"/>
          <c:order val="2"/>
          <c:tx>
            <c:strRef>
              <c:f>'GRADBENA FIZIKA'!$E$4</c:f>
              <c:strCache>
                <c:ptCount val="1"/>
                <c:pt idx="0">
                  <c:v>CENOVNI RAZRED II</c:v>
                </c:pt>
              </c:strCache>
            </c:strRef>
          </c:tx>
          <c:spPr>
            <a:ln w="19050" cap="rnd">
              <a:solidFill>
                <a:schemeClr val="accent1">
                  <a:tint val="69000"/>
                </a:schemeClr>
              </a:solidFill>
              <a:round/>
            </a:ln>
            <a:effectLst/>
          </c:spPr>
          <c:marker>
            <c:symbol val="circle"/>
            <c:size val="5"/>
            <c:spPr>
              <a:solidFill>
                <a:schemeClr val="accent1">
                  <a:tint val="69000"/>
                </a:schemeClr>
              </a:solidFill>
              <a:ln w="9525">
                <a:solidFill>
                  <a:schemeClr val="accent1">
                    <a:tint val="69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FIZIKA'!$E$7:$E$30</c:f>
              <c:numCache>
                <c:formatCode>#,##0_ ;\-#,##0\ </c:formatCode>
                <c:ptCount val="24"/>
                <c:pt idx="0">
                  <c:v>25</c:v>
                </c:pt>
                <c:pt idx="1">
                  <c:v>26</c:v>
                </c:pt>
                <c:pt idx="2">
                  <c:v>26</c:v>
                </c:pt>
                <c:pt idx="3">
                  <c:v>27</c:v>
                </c:pt>
                <c:pt idx="4">
                  <c:v>28</c:v>
                </c:pt>
                <c:pt idx="5">
                  <c:v>29</c:v>
                </c:pt>
                <c:pt idx="6">
                  <c:v>31</c:v>
                </c:pt>
                <c:pt idx="7">
                  <c:v>33</c:v>
                </c:pt>
                <c:pt idx="8">
                  <c:v>35</c:v>
                </c:pt>
                <c:pt idx="9">
                  <c:v>40</c:v>
                </c:pt>
                <c:pt idx="10">
                  <c:v>44</c:v>
                </c:pt>
                <c:pt idx="11">
                  <c:v>52</c:v>
                </c:pt>
                <c:pt idx="12">
                  <c:v>61</c:v>
                </c:pt>
                <c:pt idx="13">
                  <c:v>77</c:v>
                </c:pt>
                <c:pt idx="14">
                  <c:v>100</c:v>
                </c:pt>
                <c:pt idx="15">
                  <c:v>137</c:v>
                </c:pt>
                <c:pt idx="16">
                  <c:v>173</c:v>
                </c:pt>
                <c:pt idx="17">
                  <c:v>243</c:v>
                </c:pt>
                <c:pt idx="18">
                  <c:v>310</c:v>
                </c:pt>
                <c:pt idx="19">
                  <c:v>375</c:v>
                </c:pt>
                <c:pt idx="20">
                  <c:v>650</c:v>
                </c:pt>
                <c:pt idx="21">
                  <c:v>1100</c:v>
                </c:pt>
                <c:pt idx="22">
                  <c:v>1350</c:v>
                </c:pt>
                <c:pt idx="23">
                  <c:v>1500</c:v>
                </c:pt>
              </c:numCache>
            </c:numRef>
          </c:yVal>
          <c:smooth val="0"/>
          <c:extLst>
            <c:ext xmlns:c16="http://schemas.microsoft.com/office/drawing/2014/chart" uri="{C3380CC4-5D6E-409C-BE32-E72D297353CC}">
              <c16:uniqueId val="{00000002-C7CA-4949-AEAE-FC01F8875C7C}"/>
            </c:ext>
          </c:extLst>
        </c:ser>
        <c:ser>
          <c:idx val="4"/>
          <c:order val="4"/>
          <c:tx>
            <c:strRef>
              <c:f>'GRADBENA FIZIKA'!$G$4</c:f>
              <c:strCache>
                <c:ptCount val="1"/>
                <c:pt idx="0">
                  <c:v>CENOVNI RAZRED III</c:v>
                </c:pt>
              </c:strCache>
            </c:strRef>
          </c:tx>
          <c:spPr>
            <a:ln w="19050" cap="rnd">
              <a:solidFill>
                <a:schemeClr val="accent1">
                  <a:tint val="94000"/>
                </a:schemeClr>
              </a:solidFill>
              <a:round/>
            </a:ln>
            <a:effectLst/>
          </c:spPr>
          <c:marker>
            <c:symbol val="circle"/>
            <c:size val="5"/>
            <c:spPr>
              <a:solidFill>
                <a:schemeClr val="accent1">
                  <a:tint val="94000"/>
                </a:schemeClr>
              </a:solidFill>
              <a:ln w="9525">
                <a:solidFill>
                  <a:schemeClr val="accent1">
                    <a:tint val="94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FIZIKA'!$G$7:$G$30</c:f>
              <c:numCache>
                <c:formatCode>#,##0_ ;\-#,##0\ </c:formatCode>
                <c:ptCount val="24"/>
                <c:pt idx="0">
                  <c:v>30</c:v>
                </c:pt>
                <c:pt idx="1">
                  <c:v>31</c:v>
                </c:pt>
                <c:pt idx="2">
                  <c:v>31</c:v>
                </c:pt>
                <c:pt idx="3">
                  <c:v>32</c:v>
                </c:pt>
                <c:pt idx="4">
                  <c:v>33</c:v>
                </c:pt>
                <c:pt idx="5">
                  <c:v>35</c:v>
                </c:pt>
                <c:pt idx="6">
                  <c:v>37</c:v>
                </c:pt>
                <c:pt idx="7">
                  <c:v>39</c:v>
                </c:pt>
                <c:pt idx="8">
                  <c:v>42</c:v>
                </c:pt>
                <c:pt idx="9">
                  <c:v>47</c:v>
                </c:pt>
                <c:pt idx="10">
                  <c:v>52</c:v>
                </c:pt>
                <c:pt idx="11">
                  <c:v>62</c:v>
                </c:pt>
                <c:pt idx="12">
                  <c:v>72</c:v>
                </c:pt>
                <c:pt idx="13">
                  <c:v>91</c:v>
                </c:pt>
                <c:pt idx="14">
                  <c:v>118</c:v>
                </c:pt>
                <c:pt idx="15">
                  <c:v>162</c:v>
                </c:pt>
                <c:pt idx="16">
                  <c:v>205</c:v>
                </c:pt>
                <c:pt idx="17">
                  <c:v>287</c:v>
                </c:pt>
                <c:pt idx="18">
                  <c:v>367</c:v>
                </c:pt>
                <c:pt idx="19">
                  <c:v>444</c:v>
                </c:pt>
                <c:pt idx="20">
                  <c:v>780</c:v>
                </c:pt>
                <c:pt idx="21">
                  <c:v>1320</c:v>
                </c:pt>
                <c:pt idx="22">
                  <c:v>1620</c:v>
                </c:pt>
                <c:pt idx="23">
                  <c:v>1800</c:v>
                </c:pt>
              </c:numCache>
            </c:numRef>
          </c:yVal>
          <c:smooth val="0"/>
          <c:extLst>
            <c:ext xmlns:c16="http://schemas.microsoft.com/office/drawing/2014/chart" uri="{C3380CC4-5D6E-409C-BE32-E72D297353CC}">
              <c16:uniqueId val="{00000004-C7CA-4949-AEAE-FC01F8875C7C}"/>
            </c:ext>
          </c:extLst>
        </c:ser>
        <c:ser>
          <c:idx val="6"/>
          <c:order val="6"/>
          <c:tx>
            <c:strRef>
              <c:f>'GRADBENA FIZIKA'!$I$4</c:f>
              <c:strCache>
                <c:ptCount val="1"/>
                <c:pt idx="0">
                  <c:v>CENOVNI RAZRED IV</c:v>
                </c:pt>
              </c:strCache>
            </c:strRef>
          </c:tx>
          <c:spPr>
            <a:ln w="19050" cap="rnd">
              <a:solidFill>
                <a:schemeClr val="accent1">
                  <a:shade val="80000"/>
                </a:schemeClr>
              </a:solidFill>
              <a:round/>
            </a:ln>
            <a:effectLst/>
          </c:spPr>
          <c:marker>
            <c:symbol val="circle"/>
            <c:size val="5"/>
            <c:spPr>
              <a:solidFill>
                <a:schemeClr val="accent1">
                  <a:shade val="80000"/>
                </a:schemeClr>
              </a:solidFill>
              <a:ln w="9525">
                <a:solidFill>
                  <a:schemeClr val="accent1">
                    <a:shade val="80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FIZIKA'!$I$7:$I$30</c:f>
              <c:numCache>
                <c:formatCode>#,##0_ ;\-#,##0\ </c:formatCode>
                <c:ptCount val="24"/>
                <c:pt idx="0">
                  <c:v>37</c:v>
                </c:pt>
                <c:pt idx="1">
                  <c:v>37</c:v>
                </c:pt>
                <c:pt idx="2">
                  <c:v>38</c:v>
                </c:pt>
                <c:pt idx="3">
                  <c:v>39</c:v>
                </c:pt>
                <c:pt idx="4">
                  <c:v>40</c:v>
                </c:pt>
                <c:pt idx="5">
                  <c:v>43</c:v>
                </c:pt>
                <c:pt idx="6">
                  <c:v>45</c:v>
                </c:pt>
                <c:pt idx="7">
                  <c:v>47</c:v>
                </c:pt>
                <c:pt idx="8">
                  <c:v>51</c:v>
                </c:pt>
                <c:pt idx="9">
                  <c:v>57</c:v>
                </c:pt>
                <c:pt idx="10">
                  <c:v>64</c:v>
                </c:pt>
                <c:pt idx="11">
                  <c:v>76</c:v>
                </c:pt>
                <c:pt idx="12">
                  <c:v>88</c:v>
                </c:pt>
                <c:pt idx="13">
                  <c:v>111</c:v>
                </c:pt>
                <c:pt idx="14">
                  <c:v>145</c:v>
                </c:pt>
                <c:pt idx="15">
                  <c:v>199</c:v>
                </c:pt>
                <c:pt idx="16">
                  <c:v>251</c:v>
                </c:pt>
                <c:pt idx="17">
                  <c:v>351</c:v>
                </c:pt>
                <c:pt idx="18">
                  <c:v>448</c:v>
                </c:pt>
                <c:pt idx="19">
                  <c:v>543</c:v>
                </c:pt>
                <c:pt idx="20">
                  <c:v>962</c:v>
                </c:pt>
                <c:pt idx="21">
                  <c:v>1628</c:v>
                </c:pt>
                <c:pt idx="22">
                  <c:v>1998</c:v>
                </c:pt>
                <c:pt idx="23">
                  <c:v>2220</c:v>
                </c:pt>
              </c:numCache>
            </c:numRef>
          </c:yVal>
          <c:smooth val="0"/>
          <c:extLst>
            <c:ext xmlns:c16="http://schemas.microsoft.com/office/drawing/2014/chart" uri="{C3380CC4-5D6E-409C-BE32-E72D297353CC}">
              <c16:uniqueId val="{00000006-C7CA-4949-AEAE-FC01F8875C7C}"/>
            </c:ext>
          </c:extLst>
        </c:ser>
        <c:ser>
          <c:idx val="8"/>
          <c:order val="8"/>
          <c:tx>
            <c:strRef>
              <c:f>'GRADBENA FIZIKA'!$K$4</c:f>
              <c:strCache>
                <c:ptCount val="1"/>
                <c:pt idx="0">
                  <c:v>CENOVNI RAZRED V</c:v>
                </c:pt>
              </c:strCache>
            </c:strRef>
          </c:tx>
          <c:spPr>
            <a:ln w="19050" cap="rnd">
              <a:solidFill>
                <a:schemeClr val="accent1">
                  <a:shade val="55000"/>
                </a:schemeClr>
              </a:solidFill>
              <a:round/>
            </a:ln>
            <a:effectLst/>
          </c:spPr>
          <c:marker>
            <c:symbol val="circle"/>
            <c:size val="5"/>
            <c:spPr>
              <a:solidFill>
                <a:schemeClr val="accent1">
                  <a:shade val="55000"/>
                </a:schemeClr>
              </a:solidFill>
              <a:ln w="9525">
                <a:solidFill>
                  <a:schemeClr val="accent1">
                    <a:shade val="55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FIZIKA'!$K$7:$K$30</c:f>
              <c:numCache>
                <c:formatCode>#,##0_ ;\-#,##0\ </c:formatCode>
                <c:ptCount val="24"/>
                <c:pt idx="0">
                  <c:v>41</c:v>
                </c:pt>
                <c:pt idx="1">
                  <c:v>42</c:v>
                </c:pt>
                <c:pt idx="2">
                  <c:v>43</c:v>
                </c:pt>
                <c:pt idx="3">
                  <c:v>44</c:v>
                </c:pt>
                <c:pt idx="4">
                  <c:v>46</c:v>
                </c:pt>
                <c:pt idx="5">
                  <c:v>48</c:v>
                </c:pt>
                <c:pt idx="6">
                  <c:v>50</c:v>
                </c:pt>
                <c:pt idx="7">
                  <c:v>53</c:v>
                </c:pt>
                <c:pt idx="8">
                  <c:v>57</c:v>
                </c:pt>
                <c:pt idx="9">
                  <c:v>65</c:v>
                </c:pt>
                <c:pt idx="10">
                  <c:v>72</c:v>
                </c:pt>
                <c:pt idx="11">
                  <c:v>85</c:v>
                </c:pt>
                <c:pt idx="12">
                  <c:v>99</c:v>
                </c:pt>
                <c:pt idx="13">
                  <c:v>125</c:v>
                </c:pt>
                <c:pt idx="14">
                  <c:v>163</c:v>
                </c:pt>
                <c:pt idx="15">
                  <c:v>224</c:v>
                </c:pt>
                <c:pt idx="16">
                  <c:v>283</c:v>
                </c:pt>
                <c:pt idx="17">
                  <c:v>396</c:v>
                </c:pt>
                <c:pt idx="18">
                  <c:v>505</c:v>
                </c:pt>
                <c:pt idx="19">
                  <c:v>612</c:v>
                </c:pt>
                <c:pt idx="20">
                  <c:v>1066</c:v>
                </c:pt>
                <c:pt idx="21">
                  <c:v>1804</c:v>
                </c:pt>
                <c:pt idx="22">
                  <c:v>2214</c:v>
                </c:pt>
                <c:pt idx="23">
                  <c:v>2460</c:v>
                </c:pt>
              </c:numCache>
            </c:numRef>
          </c:yVal>
          <c:smooth val="0"/>
          <c:extLst>
            <c:ext xmlns:c16="http://schemas.microsoft.com/office/drawing/2014/chart" uri="{C3380CC4-5D6E-409C-BE32-E72D297353CC}">
              <c16:uniqueId val="{00000008-C7CA-4949-AEAE-FC01F8875C7C}"/>
            </c:ext>
          </c:extLst>
        </c:ser>
        <c:ser>
          <c:idx val="9"/>
          <c:order val="9"/>
          <c:tx>
            <c:v>CENOVNI RAZRED V VISOKA</c:v>
          </c:tx>
          <c:spPr>
            <a:ln w="19050" cap="rnd">
              <a:solidFill>
                <a:schemeClr val="accent1">
                  <a:shade val="42000"/>
                </a:schemeClr>
              </a:solidFill>
              <a:round/>
            </a:ln>
            <a:effectLst/>
          </c:spPr>
          <c:marker>
            <c:symbol val="circle"/>
            <c:size val="5"/>
            <c:spPr>
              <a:solidFill>
                <a:schemeClr val="accent1">
                  <a:shade val="42000"/>
                </a:schemeClr>
              </a:solidFill>
              <a:ln w="9525">
                <a:solidFill>
                  <a:schemeClr val="accent1">
                    <a:shade val="42000"/>
                  </a:schemeClr>
                </a:solidFill>
              </a:ln>
              <a:effectLst/>
            </c:spPr>
          </c:marker>
          <c:xVal>
            <c:numRef>
              <c:f>'GRADBENA FIZIKA'!$B$7:$B$30</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FIZIKA'!$L$7:$L$30</c:f>
              <c:numCache>
                <c:formatCode>#,##0_ ;\-#,##0\ </c:formatCode>
                <c:ptCount val="24"/>
                <c:pt idx="0">
                  <c:v>45</c:v>
                </c:pt>
                <c:pt idx="1">
                  <c:v>45</c:v>
                </c:pt>
                <c:pt idx="2">
                  <c:v>46</c:v>
                </c:pt>
                <c:pt idx="3">
                  <c:v>48</c:v>
                </c:pt>
                <c:pt idx="4">
                  <c:v>49</c:v>
                </c:pt>
                <c:pt idx="5">
                  <c:v>52</c:v>
                </c:pt>
                <c:pt idx="6">
                  <c:v>54</c:v>
                </c:pt>
                <c:pt idx="7">
                  <c:v>58</c:v>
                </c:pt>
                <c:pt idx="8">
                  <c:v>62</c:v>
                </c:pt>
                <c:pt idx="9">
                  <c:v>70</c:v>
                </c:pt>
                <c:pt idx="10">
                  <c:v>77</c:v>
                </c:pt>
                <c:pt idx="11">
                  <c:v>92</c:v>
                </c:pt>
                <c:pt idx="12">
                  <c:v>107</c:v>
                </c:pt>
                <c:pt idx="13">
                  <c:v>135</c:v>
                </c:pt>
                <c:pt idx="14">
                  <c:v>176</c:v>
                </c:pt>
                <c:pt idx="15">
                  <c:v>242</c:v>
                </c:pt>
                <c:pt idx="16">
                  <c:v>305</c:v>
                </c:pt>
                <c:pt idx="17">
                  <c:v>428</c:v>
                </c:pt>
                <c:pt idx="18">
                  <c:v>546</c:v>
                </c:pt>
                <c:pt idx="19">
                  <c:v>661</c:v>
                </c:pt>
                <c:pt idx="20">
                  <c:v>1170</c:v>
                </c:pt>
                <c:pt idx="21">
                  <c:v>1980</c:v>
                </c:pt>
                <c:pt idx="22">
                  <c:v>2430</c:v>
                </c:pt>
                <c:pt idx="23">
                  <c:v>2700</c:v>
                </c:pt>
              </c:numCache>
            </c:numRef>
          </c:yVal>
          <c:smooth val="0"/>
          <c:extLst>
            <c:ext xmlns:c16="http://schemas.microsoft.com/office/drawing/2014/chart" uri="{C3380CC4-5D6E-409C-BE32-E72D297353CC}">
              <c16:uniqueId val="{00000009-C7CA-4949-AEAE-FC01F8875C7C}"/>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56000"/>
                      </a:schemeClr>
                    </a:solidFill>
                    <a:round/>
                  </a:ln>
                  <a:effectLst/>
                </c:spPr>
                <c:marker>
                  <c:symbol val="circle"/>
                  <c:size val="5"/>
                  <c:spPr>
                    <a:solidFill>
                      <a:schemeClr val="accent1">
                        <a:tint val="56000"/>
                      </a:schemeClr>
                    </a:solidFill>
                    <a:ln w="9525">
                      <a:solidFill>
                        <a:schemeClr val="accent1">
                          <a:tint val="56000"/>
                        </a:schemeClr>
                      </a:solidFill>
                    </a:ln>
                    <a:effectLst/>
                  </c:spPr>
                </c:marker>
                <c:xVal>
                  <c:numRef>
                    <c:extLst>
                      <c:ex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'GRADBENA FIZIKA'!$D$7:$D$30</c15:sqref>
                        </c15:formulaRef>
                      </c:ext>
                    </c:extLst>
                    <c:numCache>
                      <c:formatCode>#,##0_ ;\-#,##0\ </c:formatCode>
                      <c:ptCount val="24"/>
                      <c:pt idx="0">
                        <c:v>25</c:v>
                      </c:pt>
                      <c:pt idx="1">
                        <c:v>26</c:v>
                      </c:pt>
                      <c:pt idx="2">
                        <c:v>26</c:v>
                      </c:pt>
                      <c:pt idx="3">
                        <c:v>27</c:v>
                      </c:pt>
                      <c:pt idx="4">
                        <c:v>28</c:v>
                      </c:pt>
                      <c:pt idx="5">
                        <c:v>29</c:v>
                      </c:pt>
                      <c:pt idx="6">
                        <c:v>31</c:v>
                      </c:pt>
                      <c:pt idx="7">
                        <c:v>33</c:v>
                      </c:pt>
                      <c:pt idx="8">
                        <c:v>35</c:v>
                      </c:pt>
                      <c:pt idx="9">
                        <c:v>40</c:v>
                      </c:pt>
                      <c:pt idx="10">
                        <c:v>44</c:v>
                      </c:pt>
                      <c:pt idx="11">
                        <c:v>52</c:v>
                      </c:pt>
                      <c:pt idx="12">
                        <c:v>61</c:v>
                      </c:pt>
                      <c:pt idx="13">
                        <c:v>77</c:v>
                      </c:pt>
                      <c:pt idx="14">
                        <c:v>100</c:v>
                      </c:pt>
                      <c:pt idx="15">
                        <c:v>137</c:v>
                      </c:pt>
                      <c:pt idx="16">
                        <c:v>173</c:v>
                      </c:pt>
                      <c:pt idx="17">
                        <c:v>243</c:v>
                      </c:pt>
                      <c:pt idx="18">
                        <c:v>310</c:v>
                      </c:pt>
                      <c:pt idx="19">
                        <c:v>375</c:v>
                      </c:pt>
                      <c:pt idx="20">
                        <c:v>650</c:v>
                      </c:pt>
                      <c:pt idx="21">
                        <c:v>1100</c:v>
                      </c:pt>
                      <c:pt idx="22">
                        <c:v>1350</c:v>
                      </c:pt>
                      <c:pt idx="23">
                        <c:v>1500</c:v>
                      </c:pt>
                    </c:numCache>
                  </c:numRef>
                </c:yVal>
                <c:smooth val="0"/>
                <c:extLst>
                  <c:ext xmlns:c16="http://schemas.microsoft.com/office/drawing/2014/chart" uri="{C3380CC4-5D6E-409C-BE32-E72D297353CC}">
                    <c16:uniqueId val="{00000001-C7CA-4949-AEAE-FC01F8875C7C}"/>
                  </c:ext>
                </c:extLst>
              </c15:ser>
            </c15:filteredScatterSeries>
            <c15:filteredScatterSeries>
              <c15:ser>
                <c:idx val="3"/>
                <c:order val="3"/>
                <c:spPr>
                  <a:ln w="19050" cap="rnd">
                    <a:solidFill>
                      <a:schemeClr val="accent1">
                        <a:tint val="81000"/>
                      </a:schemeClr>
                    </a:solidFill>
                    <a:round/>
                  </a:ln>
                  <a:effectLst/>
                </c:spPr>
                <c:marker>
                  <c:symbol val="circle"/>
                  <c:size val="5"/>
                  <c:spPr>
                    <a:solidFill>
                      <a:schemeClr val="accent1">
                        <a:tint val="81000"/>
                      </a:schemeClr>
                    </a:solidFill>
                    <a:ln w="9525">
                      <a:solidFill>
                        <a:schemeClr val="accent1">
                          <a:tint val="81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FIZIKA'!$F$7:$F$30</c15:sqref>
                        </c15:formulaRef>
                      </c:ext>
                    </c:extLst>
                    <c:numCache>
                      <c:formatCode>#,##0_ ;\-#,##0\ </c:formatCode>
                      <c:ptCount val="24"/>
                      <c:pt idx="0">
                        <c:v>30</c:v>
                      </c:pt>
                      <c:pt idx="1">
                        <c:v>31</c:v>
                      </c:pt>
                      <c:pt idx="2">
                        <c:v>31</c:v>
                      </c:pt>
                      <c:pt idx="3">
                        <c:v>32</c:v>
                      </c:pt>
                      <c:pt idx="4">
                        <c:v>33</c:v>
                      </c:pt>
                      <c:pt idx="5">
                        <c:v>35</c:v>
                      </c:pt>
                      <c:pt idx="6">
                        <c:v>37</c:v>
                      </c:pt>
                      <c:pt idx="7">
                        <c:v>39</c:v>
                      </c:pt>
                      <c:pt idx="8">
                        <c:v>42</c:v>
                      </c:pt>
                      <c:pt idx="9">
                        <c:v>47</c:v>
                      </c:pt>
                      <c:pt idx="10">
                        <c:v>52</c:v>
                      </c:pt>
                      <c:pt idx="11">
                        <c:v>62</c:v>
                      </c:pt>
                      <c:pt idx="12">
                        <c:v>72</c:v>
                      </c:pt>
                      <c:pt idx="13">
                        <c:v>91</c:v>
                      </c:pt>
                      <c:pt idx="14">
                        <c:v>118</c:v>
                      </c:pt>
                      <c:pt idx="15">
                        <c:v>162</c:v>
                      </c:pt>
                      <c:pt idx="16">
                        <c:v>205</c:v>
                      </c:pt>
                      <c:pt idx="17">
                        <c:v>287</c:v>
                      </c:pt>
                      <c:pt idx="18">
                        <c:v>367</c:v>
                      </c:pt>
                      <c:pt idx="19">
                        <c:v>444</c:v>
                      </c:pt>
                      <c:pt idx="20">
                        <c:v>780</c:v>
                      </c:pt>
                      <c:pt idx="21">
                        <c:v>1320</c:v>
                      </c:pt>
                      <c:pt idx="22">
                        <c:v>1620</c:v>
                      </c:pt>
                      <c:pt idx="23">
                        <c:v>1800</c:v>
                      </c:pt>
                    </c:numCache>
                  </c:numRef>
                </c:yVal>
                <c:smooth val="0"/>
                <c:extLst xmlns:c15="http://schemas.microsoft.com/office/drawing/2012/chart">
                  <c:ext xmlns:c16="http://schemas.microsoft.com/office/drawing/2014/chart" uri="{C3380CC4-5D6E-409C-BE32-E72D297353CC}">
                    <c16:uniqueId val="{00000003-C7CA-4949-AEAE-FC01F8875C7C}"/>
                  </c:ext>
                </c:extLst>
              </c15:ser>
            </c15:filteredScatterSeries>
            <c15:filteredScatterSeries>
              <c15:ser>
                <c:idx val="5"/>
                <c:order val="5"/>
                <c:spPr>
                  <a:ln w="19050" cap="rnd">
                    <a:solidFill>
                      <a:schemeClr val="accent1">
                        <a:shade val="93000"/>
                      </a:schemeClr>
                    </a:solidFill>
                    <a:round/>
                  </a:ln>
                  <a:effectLst/>
                </c:spPr>
                <c:marker>
                  <c:symbol val="circle"/>
                  <c:size val="5"/>
                  <c:spPr>
                    <a:solidFill>
                      <a:schemeClr val="accent1">
                        <a:shade val="93000"/>
                      </a:schemeClr>
                    </a:solidFill>
                    <a:ln w="9525">
                      <a:solidFill>
                        <a:schemeClr val="accent1">
                          <a:shade val="93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FIZIKA'!$H$7:$H$30</c15:sqref>
                        </c15:formulaRef>
                      </c:ext>
                    </c:extLst>
                    <c:numCache>
                      <c:formatCode>#,##0_ ;\-#,##0\ </c:formatCode>
                      <c:ptCount val="24"/>
                      <c:pt idx="0">
                        <c:v>37</c:v>
                      </c:pt>
                      <c:pt idx="1">
                        <c:v>37</c:v>
                      </c:pt>
                      <c:pt idx="2">
                        <c:v>38</c:v>
                      </c:pt>
                      <c:pt idx="3">
                        <c:v>39</c:v>
                      </c:pt>
                      <c:pt idx="4">
                        <c:v>40</c:v>
                      </c:pt>
                      <c:pt idx="5">
                        <c:v>43</c:v>
                      </c:pt>
                      <c:pt idx="6">
                        <c:v>45</c:v>
                      </c:pt>
                      <c:pt idx="7">
                        <c:v>47</c:v>
                      </c:pt>
                      <c:pt idx="8">
                        <c:v>51</c:v>
                      </c:pt>
                      <c:pt idx="9">
                        <c:v>57</c:v>
                      </c:pt>
                      <c:pt idx="10">
                        <c:v>64</c:v>
                      </c:pt>
                      <c:pt idx="11">
                        <c:v>76</c:v>
                      </c:pt>
                      <c:pt idx="12">
                        <c:v>88</c:v>
                      </c:pt>
                      <c:pt idx="13">
                        <c:v>111</c:v>
                      </c:pt>
                      <c:pt idx="14">
                        <c:v>145</c:v>
                      </c:pt>
                      <c:pt idx="15">
                        <c:v>199</c:v>
                      </c:pt>
                      <c:pt idx="16">
                        <c:v>251</c:v>
                      </c:pt>
                      <c:pt idx="17">
                        <c:v>351</c:v>
                      </c:pt>
                      <c:pt idx="18">
                        <c:v>448</c:v>
                      </c:pt>
                      <c:pt idx="19">
                        <c:v>543</c:v>
                      </c:pt>
                      <c:pt idx="20">
                        <c:v>962</c:v>
                      </c:pt>
                      <c:pt idx="21">
                        <c:v>1628</c:v>
                      </c:pt>
                      <c:pt idx="22">
                        <c:v>1998</c:v>
                      </c:pt>
                      <c:pt idx="23">
                        <c:v>2220</c:v>
                      </c:pt>
                    </c:numCache>
                  </c:numRef>
                </c:yVal>
                <c:smooth val="0"/>
                <c:extLst xmlns:c15="http://schemas.microsoft.com/office/drawing/2012/chart">
                  <c:ext xmlns:c16="http://schemas.microsoft.com/office/drawing/2014/chart" uri="{C3380CC4-5D6E-409C-BE32-E72D297353CC}">
                    <c16:uniqueId val="{00000005-C7CA-4949-AEAE-FC01F8875C7C}"/>
                  </c:ext>
                </c:extLst>
              </c15:ser>
            </c15:filteredScatterSeries>
            <c15:filteredScatterSeries>
              <c15:ser>
                <c:idx val="7"/>
                <c:order val="7"/>
                <c:spPr>
                  <a:ln w="19050" cap="rnd">
                    <a:solidFill>
                      <a:schemeClr val="accent1">
                        <a:shade val="68000"/>
                      </a:schemeClr>
                    </a:solidFill>
                    <a:round/>
                  </a:ln>
                  <a:effectLst/>
                </c:spPr>
                <c:marker>
                  <c:symbol val="circle"/>
                  <c:size val="5"/>
                  <c:spPr>
                    <a:solidFill>
                      <a:schemeClr val="accent1">
                        <a:shade val="68000"/>
                      </a:schemeClr>
                    </a:solidFill>
                    <a:ln w="9525">
                      <a:solidFill>
                        <a:schemeClr val="accent1">
                          <a:shade val="68000"/>
                        </a:schemeClr>
                      </a:solidFill>
                    </a:ln>
                    <a:effectLst/>
                  </c:spPr>
                </c:marker>
                <c:xVal>
                  <c:numRef>
                    <c:extLst xmlns:c15="http://schemas.microsoft.com/office/drawing/2012/chart">
                      <c:ext xmlns:c15="http://schemas.microsoft.com/office/drawing/2012/chart" uri="{02D57815-91ED-43cb-92C2-25804820EDAC}">
                        <c15:formulaRef>
                          <c15:sqref>'GRADBENA FIZIKA'!$B$7:$B$30</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FIZIKA'!$J$7:$J$30</c15:sqref>
                        </c15:formulaRef>
                      </c:ext>
                    </c:extLst>
                    <c:numCache>
                      <c:formatCode>#,##0_ ;\-#,##0\ </c:formatCode>
                      <c:ptCount val="24"/>
                      <c:pt idx="0">
                        <c:v>41</c:v>
                      </c:pt>
                      <c:pt idx="1">
                        <c:v>42</c:v>
                      </c:pt>
                      <c:pt idx="2">
                        <c:v>43</c:v>
                      </c:pt>
                      <c:pt idx="3">
                        <c:v>44</c:v>
                      </c:pt>
                      <c:pt idx="4">
                        <c:v>46</c:v>
                      </c:pt>
                      <c:pt idx="5">
                        <c:v>48</c:v>
                      </c:pt>
                      <c:pt idx="6">
                        <c:v>50</c:v>
                      </c:pt>
                      <c:pt idx="7">
                        <c:v>53</c:v>
                      </c:pt>
                      <c:pt idx="8">
                        <c:v>57</c:v>
                      </c:pt>
                      <c:pt idx="9">
                        <c:v>65</c:v>
                      </c:pt>
                      <c:pt idx="10">
                        <c:v>72</c:v>
                      </c:pt>
                      <c:pt idx="11">
                        <c:v>85</c:v>
                      </c:pt>
                      <c:pt idx="12">
                        <c:v>99</c:v>
                      </c:pt>
                      <c:pt idx="13">
                        <c:v>125</c:v>
                      </c:pt>
                      <c:pt idx="14">
                        <c:v>163</c:v>
                      </c:pt>
                      <c:pt idx="15">
                        <c:v>224</c:v>
                      </c:pt>
                      <c:pt idx="16">
                        <c:v>283</c:v>
                      </c:pt>
                      <c:pt idx="17">
                        <c:v>396</c:v>
                      </c:pt>
                      <c:pt idx="18">
                        <c:v>505</c:v>
                      </c:pt>
                      <c:pt idx="19">
                        <c:v>612</c:v>
                      </c:pt>
                      <c:pt idx="20">
                        <c:v>1066</c:v>
                      </c:pt>
                      <c:pt idx="21">
                        <c:v>1804</c:v>
                      </c:pt>
                      <c:pt idx="22">
                        <c:v>2214</c:v>
                      </c:pt>
                      <c:pt idx="23">
                        <c:v>2460</c:v>
                      </c:pt>
                    </c:numCache>
                  </c:numRef>
                </c:yVal>
                <c:smooth val="0"/>
                <c:extLst xmlns:c15="http://schemas.microsoft.com/office/drawing/2012/chart">
                  <c:ext xmlns:c16="http://schemas.microsoft.com/office/drawing/2014/chart" uri="{C3380CC4-5D6E-409C-BE32-E72D297353CC}">
                    <c16:uniqueId val="{00000007-C7CA-4949-AEAE-FC01F8875C7C}"/>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2318876107611632"/>
          <c:y val="2.4747217668418118E-2"/>
          <c:w val="0.71189729181323402"/>
          <c:h val="0.77844843870229363"/>
        </c:manualLayout>
      </c:layout>
      <c:scatterChart>
        <c:scatterStyle val="lineMarker"/>
        <c:varyColors val="0"/>
        <c:ser>
          <c:idx val="0"/>
          <c:order val="0"/>
          <c:tx>
            <c:strRef>
              <c:f>'GRADBENA FIZIKA'!$C$37</c:f>
              <c:strCache>
                <c:ptCount val="1"/>
                <c:pt idx="0">
                  <c:v>CENOVNI RAZRED I</c:v>
                </c:pt>
              </c:strCache>
            </c:strRef>
          </c:tx>
          <c:spPr>
            <a:ln w="19050" cap="rnd">
              <a:solidFill>
                <a:schemeClr val="accent1">
                  <a:tint val="50000"/>
                </a:schemeClr>
              </a:solidFill>
              <a:round/>
            </a:ln>
            <a:effectLst/>
          </c:spPr>
          <c:marker>
            <c:symbol val="circle"/>
            <c:size val="5"/>
            <c:spPr>
              <a:solidFill>
                <a:schemeClr val="accent1">
                  <a:tint val="50000"/>
                </a:schemeClr>
              </a:solidFill>
              <a:ln w="9525">
                <a:solidFill>
                  <a:schemeClr val="accent1">
                    <a:tint val="5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FIZIKA'!$C$40:$C$63</c:f>
              <c:numCache>
                <c:formatCode>#,##0_ ;\-#,##0\ </c:formatCode>
                <c:ptCount val="24"/>
                <c:pt idx="0">
                  <c:v>22</c:v>
                </c:pt>
                <c:pt idx="1">
                  <c:v>23</c:v>
                </c:pt>
                <c:pt idx="2">
                  <c:v>24</c:v>
                </c:pt>
                <c:pt idx="3">
                  <c:v>27</c:v>
                </c:pt>
                <c:pt idx="4">
                  <c:v>29</c:v>
                </c:pt>
                <c:pt idx="5">
                  <c:v>34</c:v>
                </c:pt>
                <c:pt idx="6">
                  <c:v>38</c:v>
                </c:pt>
                <c:pt idx="7">
                  <c:v>44</c:v>
                </c:pt>
                <c:pt idx="8">
                  <c:v>54</c:v>
                </c:pt>
                <c:pt idx="9">
                  <c:v>62</c:v>
                </c:pt>
                <c:pt idx="10">
                  <c:v>70</c:v>
                </c:pt>
                <c:pt idx="11">
                  <c:v>85</c:v>
                </c:pt>
                <c:pt idx="12">
                  <c:v>98</c:v>
                </c:pt>
                <c:pt idx="13">
                  <c:v>122</c:v>
                </c:pt>
                <c:pt idx="14">
                  <c:v>154</c:v>
                </c:pt>
                <c:pt idx="15">
                  <c:v>201</c:v>
                </c:pt>
                <c:pt idx="16">
                  <c:v>243</c:v>
                </c:pt>
                <c:pt idx="17">
                  <c:v>318</c:v>
                </c:pt>
                <c:pt idx="18">
                  <c:v>384</c:v>
                </c:pt>
                <c:pt idx="19">
                  <c:v>445</c:v>
                </c:pt>
                <c:pt idx="20">
                  <c:v>748</c:v>
                </c:pt>
                <c:pt idx="21">
                  <c:v>1144</c:v>
                </c:pt>
                <c:pt idx="22">
                  <c:v>1320</c:v>
                </c:pt>
                <c:pt idx="23">
                  <c:v>1408</c:v>
                </c:pt>
              </c:numCache>
            </c:numRef>
          </c:yVal>
          <c:smooth val="0"/>
          <c:extLst>
            <c:ext xmlns:c16="http://schemas.microsoft.com/office/drawing/2014/chart" uri="{C3380CC4-5D6E-409C-BE32-E72D297353CC}">
              <c16:uniqueId val="{00000000-C022-4AC6-A0BC-71F617B696CD}"/>
            </c:ext>
          </c:extLst>
        </c:ser>
        <c:ser>
          <c:idx val="2"/>
          <c:order val="2"/>
          <c:tx>
            <c:strRef>
              <c:f>'GRADBENA FIZIKA'!$E$37</c:f>
              <c:strCache>
                <c:ptCount val="1"/>
                <c:pt idx="0">
                  <c:v>CENOVNI RAZRED II</c:v>
                </c:pt>
              </c:strCache>
            </c:strRef>
          </c:tx>
          <c:spPr>
            <a:ln w="19050" cap="rnd">
              <a:solidFill>
                <a:schemeClr val="accent1">
                  <a:tint val="90000"/>
                </a:schemeClr>
              </a:solidFill>
              <a:round/>
            </a:ln>
            <a:effectLst/>
          </c:spPr>
          <c:marker>
            <c:symbol val="circle"/>
            <c:size val="5"/>
            <c:spPr>
              <a:solidFill>
                <a:schemeClr val="accent1">
                  <a:tint val="90000"/>
                </a:schemeClr>
              </a:solidFill>
              <a:ln w="9525">
                <a:solidFill>
                  <a:schemeClr val="accent1">
                    <a:tint val="9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FIZIKA'!$E$40:$E$63</c:f>
              <c:numCache>
                <c:formatCode>#,##0_ ;\-#,##0\ </c:formatCode>
                <c:ptCount val="24"/>
                <c:pt idx="0">
                  <c:v>25</c:v>
                </c:pt>
                <c:pt idx="1">
                  <c:v>26</c:v>
                </c:pt>
                <c:pt idx="2">
                  <c:v>28</c:v>
                </c:pt>
                <c:pt idx="3">
                  <c:v>31</c:v>
                </c:pt>
                <c:pt idx="4">
                  <c:v>34</c:v>
                </c:pt>
                <c:pt idx="5">
                  <c:v>39</c:v>
                </c:pt>
                <c:pt idx="6">
                  <c:v>44</c:v>
                </c:pt>
                <c:pt idx="7">
                  <c:v>51</c:v>
                </c:pt>
                <c:pt idx="8">
                  <c:v>62</c:v>
                </c:pt>
                <c:pt idx="9">
                  <c:v>71</c:v>
                </c:pt>
                <c:pt idx="10">
                  <c:v>80</c:v>
                </c:pt>
                <c:pt idx="11">
                  <c:v>97</c:v>
                </c:pt>
                <c:pt idx="12">
                  <c:v>112</c:v>
                </c:pt>
                <c:pt idx="13">
                  <c:v>140</c:v>
                </c:pt>
                <c:pt idx="14">
                  <c:v>177</c:v>
                </c:pt>
                <c:pt idx="15">
                  <c:v>231</c:v>
                </c:pt>
                <c:pt idx="16">
                  <c:v>279</c:v>
                </c:pt>
                <c:pt idx="17">
                  <c:v>365</c:v>
                </c:pt>
                <c:pt idx="18">
                  <c:v>441</c:v>
                </c:pt>
                <c:pt idx="19">
                  <c:v>511</c:v>
                </c:pt>
                <c:pt idx="20">
                  <c:v>850.00000000000011</c:v>
                </c:pt>
                <c:pt idx="21">
                  <c:v>1300</c:v>
                </c:pt>
                <c:pt idx="22">
                  <c:v>1500</c:v>
                </c:pt>
                <c:pt idx="23">
                  <c:v>1600</c:v>
                </c:pt>
              </c:numCache>
            </c:numRef>
          </c:yVal>
          <c:smooth val="0"/>
          <c:extLst>
            <c:ext xmlns:c16="http://schemas.microsoft.com/office/drawing/2014/chart" uri="{C3380CC4-5D6E-409C-BE32-E72D297353CC}">
              <c16:uniqueId val="{00000002-C022-4AC6-A0BC-71F617B696CD}"/>
            </c:ext>
          </c:extLst>
        </c:ser>
        <c:ser>
          <c:idx val="4"/>
          <c:order val="4"/>
          <c:tx>
            <c:strRef>
              <c:f>'GRADBENA FIZIKA'!$G$37</c:f>
              <c:strCache>
                <c:ptCount val="1"/>
                <c:pt idx="0">
                  <c:v>CENOVNI RAZRED III</c:v>
                </c:pt>
              </c:strCache>
            </c:strRef>
          </c:tx>
          <c:spPr>
            <a:ln w="19050" cap="rnd">
              <a:solidFill>
                <a:schemeClr val="accent1">
                  <a:shade val="70000"/>
                </a:schemeClr>
              </a:solidFill>
              <a:round/>
            </a:ln>
            <a:effectLst/>
          </c:spPr>
          <c:marker>
            <c:symbol val="circle"/>
            <c:size val="5"/>
            <c:spPr>
              <a:solidFill>
                <a:schemeClr val="accent1">
                  <a:shade val="70000"/>
                </a:schemeClr>
              </a:solidFill>
              <a:ln w="9525">
                <a:solidFill>
                  <a:schemeClr val="accent1">
                    <a:shade val="7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FIZIKA'!$G$40:$G$63</c:f>
              <c:numCache>
                <c:formatCode>#,##0_ ;\-#,##0\ </c:formatCode>
                <c:ptCount val="24"/>
                <c:pt idx="0">
                  <c:v>29</c:v>
                </c:pt>
                <c:pt idx="1">
                  <c:v>30</c:v>
                </c:pt>
                <c:pt idx="2">
                  <c:v>32</c:v>
                </c:pt>
                <c:pt idx="3">
                  <c:v>36</c:v>
                </c:pt>
                <c:pt idx="4">
                  <c:v>39</c:v>
                </c:pt>
                <c:pt idx="5">
                  <c:v>45</c:v>
                </c:pt>
                <c:pt idx="6">
                  <c:v>51</c:v>
                </c:pt>
                <c:pt idx="7">
                  <c:v>59</c:v>
                </c:pt>
                <c:pt idx="8">
                  <c:v>71</c:v>
                </c:pt>
                <c:pt idx="9">
                  <c:v>82</c:v>
                </c:pt>
                <c:pt idx="10">
                  <c:v>92</c:v>
                </c:pt>
                <c:pt idx="11">
                  <c:v>112</c:v>
                </c:pt>
                <c:pt idx="12">
                  <c:v>129</c:v>
                </c:pt>
                <c:pt idx="13">
                  <c:v>161</c:v>
                </c:pt>
                <c:pt idx="14">
                  <c:v>204</c:v>
                </c:pt>
                <c:pt idx="15">
                  <c:v>266</c:v>
                </c:pt>
                <c:pt idx="16">
                  <c:v>321</c:v>
                </c:pt>
                <c:pt idx="17">
                  <c:v>420</c:v>
                </c:pt>
                <c:pt idx="18">
                  <c:v>507</c:v>
                </c:pt>
                <c:pt idx="19">
                  <c:v>588</c:v>
                </c:pt>
                <c:pt idx="20">
                  <c:v>986.00000000000011</c:v>
                </c:pt>
                <c:pt idx="21">
                  <c:v>1508</c:v>
                </c:pt>
                <c:pt idx="22">
                  <c:v>1740</c:v>
                </c:pt>
                <c:pt idx="23">
                  <c:v>1856</c:v>
                </c:pt>
              </c:numCache>
            </c:numRef>
          </c:yVal>
          <c:smooth val="0"/>
          <c:extLst>
            <c:ext xmlns:c16="http://schemas.microsoft.com/office/drawing/2014/chart" uri="{C3380CC4-5D6E-409C-BE32-E72D297353CC}">
              <c16:uniqueId val="{00000004-C022-4AC6-A0BC-71F617B696CD}"/>
            </c:ext>
          </c:extLst>
        </c:ser>
        <c:ser>
          <c:idx val="5"/>
          <c:order val="5"/>
          <c:tx>
            <c:v>CENOVNI RAZRED III VISOKA</c:v>
          </c:tx>
          <c:spPr>
            <a:ln w="19050" cap="rnd">
              <a:solidFill>
                <a:schemeClr val="accent1">
                  <a:shade val="50000"/>
                </a:schemeClr>
              </a:solidFill>
              <a:round/>
            </a:ln>
            <a:effectLst/>
          </c:spPr>
          <c:marker>
            <c:symbol val="circle"/>
            <c:size val="5"/>
            <c:spPr>
              <a:solidFill>
                <a:schemeClr val="accent1">
                  <a:shade val="50000"/>
                </a:schemeClr>
              </a:solidFill>
              <a:ln w="9525">
                <a:solidFill>
                  <a:schemeClr val="accent1">
                    <a:shade val="50000"/>
                  </a:schemeClr>
                </a:solidFill>
              </a:ln>
              <a:effectLst/>
            </c:spPr>
          </c:marker>
          <c:xVal>
            <c:numRef>
              <c:f>'GRADBENA FIZIKA'!$B$40:$B$63</c:f>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f>'GRADBENA FIZIKA'!$H$40:$H$63</c:f>
              <c:numCache>
                <c:formatCode>#,##0_ ;\-#,##0\ </c:formatCode>
                <c:ptCount val="24"/>
                <c:pt idx="0">
                  <c:v>33</c:v>
                </c:pt>
                <c:pt idx="1">
                  <c:v>35</c:v>
                </c:pt>
                <c:pt idx="2">
                  <c:v>37</c:v>
                </c:pt>
                <c:pt idx="3">
                  <c:v>41</c:v>
                </c:pt>
                <c:pt idx="4">
                  <c:v>45</c:v>
                </c:pt>
                <c:pt idx="5">
                  <c:v>52</c:v>
                </c:pt>
                <c:pt idx="6">
                  <c:v>58</c:v>
                </c:pt>
                <c:pt idx="7">
                  <c:v>67</c:v>
                </c:pt>
                <c:pt idx="8">
                  <c:v>81</c:v>
                </c:pt>
                <c:pt idx="9">
                  <c:v>94</c:v>
                </c:pt>
                <c:pt idx="10">
                  <c:v>106</c:v>
                </c:pt>
                <c:pt idx="11">
                  <c:v>128</c:v>
                </c:pt>
                <c:pt idx="12">
                  <c:v>149</c:v>
                </c:pt>
                <c:pt idx="13">
                  <c:v>185</c:v>
                </c:pt>
                <c:pt idx="14">
                  <c:v>234</c:v>
                </c:pt>
                <c:pt idx="15">
                  <c:v>306</c:v>
                </c:pt>
                <c:pt idx="16">
                  <c:v>370</c:v>
                </c:pt>
                <c:pt idx="17">
                  <c:v>483</c:v>
                </c:pt>
                <c:pt idx="18">
                  <c:v>583</c:v>
                </c:pt>
                <c:pt idx="19">
                  <c:v>675</c:v>
                </c:pt>
                <c:pt idx="20">
                  <c:v>1122</c:v>
                </c:pt>
                <c:pt idx="21">
                  <c:v>1716</c:v>
                </c:pt>
                <c:pt idx="22">
                  <c:v>1980</c:v>
                </c:pt>
                <c:pt idx="23">
                  <c:v>2112</c:v>
                </c:pt>
              </c:numCache>
            </c:numRef>
          </c:yVal>
          <c:smooth val="0"/>
          <c:extLst xmlns:c15="http://schemas.microsoft.com/office/drawing/2012/chart">
            <c:ext xmlns:c16="http://schemas.microsoft.com/office/drawing/2014/chart" uri="{C3380CC4-5D6E-409C-BE32-E72D297353CC}">
              <c16:uniqueId val="{00000005-C022-4AC6-A0BC-71F617B696CD}"/>
            </c:ext>
          </c:extLst>
        </c:ser>
        <c:dLbls>
          <c:showLegendKey val="0"/>
          <c:showVal val="0"/>
          <c:showCatName val="0"/>
          <c:showSerName val="0"/>
          <c:showPercent val="0"/>
          <c:showBubbleSize val="0"/>
        </c:dLbls>
        <c:axId val="616101352"/>
        <c:axId val="616098728"/>
        <c:extLst>
          <c:ext xmlns:c15="http://schemas.microsoft.com/office/drawing/2012/chart" uri="{02D57815-91ED-43cb-92C2-25804820EDAC}">
            <c15:filteredScatterSeries>
              <c15:ser>
                <c:idx val="1"/>
                <c:order val="1"/>
                <c:spPr>
                  <a:ln w="19050" cap="rnd">
                    <a:solidFill>
                      <a:schemeClr val="accent1">
                        <a:tint val="70000"/>
                      </a:schemeClr>
                    </a:solidFill>
                    <a:round/>
                  </a:ln>
                  <a:effectLst/>
                </c:spPr>
                <c:marker>
                  <c:symbol val="circle"/>
                  <c:size val="5"/>
                  <c:spPr>
                    <a:solidFill>
                      <a:schemeClr val="accent1">
                        <a:tint val="70000"/>
                      </a:schemeClr>
                    </a:solidFill>
                    <a:ln w="9525">
                      <a:solidFill>
                        <a:schemeClr val="accent1">
                          <a:tint val="70000"/>
                        </a:schemeClr>
                      </a:solidFill>
                    </a:ln>
                    <a:effectLst/>
                  </c:spPr>
                </c:marker>
                <c:xVal>
                  <c:numRef>
                    <c:extLst>
                      <c:ext uri="{02D57815-91ED-43cb-92C2-25804820EDAC}">
                        <c15:formulaRef>
                          <c15:sqref>'GRADBENA FIZIKA'!$B$40:$B$63</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c:ext uri="{02D57815-91ED-43cb-92C2-25804820EDAC}">
                        <c15:formulaRef>
                          <c15:sqref>'GRADBENA FIZIKA'!$D$40:$D$63</c15:sqref>
                        </c15:formulaRef>
                      </c:ext>
                    </c:extLst>
                    <c:numCache>
                      <c:formatCode>#,##0_ ;\-#,##0\ </c:formatCode>
                      <c:ptCount val="24"/>
                      <c:pt idx="0">
                        <c:v>25</c:v>
                      </c:pt>
                      <c:pt idx="1">
                        <c:v>26</c:v>
                      </c:pt>
                      <c:pt idx="2">
                        <c:v>28</c:v>
                      </c:pt>
                      <c:pt idx="3">
                        <c:v>31</c:v>
                      </c:pt>
                      <c:pt idx="4">
                        <c:v>34</c:v>
                      </c:pt>
                      <c:pt idx="5">
                        <c:v>39</c:v>
                      </c:pt>
                      <c:pt idx="6">
                        <c:v>44</c:v>
                      </c:pt>
                      <c:pt idx="7">
                        <c:v>51</c:v>
                      </c:pt>
                      <c:pt idx="8">
                        <c:v>62</c:v>
                      </c:pt>
                      <c:pt idx="9">
                        <c:v>71</c:v>
                      </c:pt>
                      <c:pt idx="10">
                        <c:v>80</c:v>
                      </c:pt>
                      <c:pt idx="11">
                        <c:v>97</c:v>
                      </c:pt>
                      <c:pt idx="12">
                        <c:v>112</c:v>
                      </c:pt>
                      <c:pt idx="13">
                        <c:v>140</c:v>
                      </c:pt>
                      <c:pt idx="14">
                        <c:v>177</c:v>
                      </c:pt>
                      <c:pt idx="15">
                        <c:v>231</c:v>
                      </c:pt>
                      <c:pt idx="16">
                        <c:v>279</c:v>
                      </c:pt>
                      <c:pt idx="17">
                        <c:v>365</c:v>
                      </c:pt>
                      <c:pt idx="18">
                        <c:v>441</c:v>
                      </c:pt>
                      <c:pt idx="19">
                        <c:v>511</c:v>
                      </c:pt>
                      <c:pt idx="20">
                        <c:v>850.00000000000011</c:v>
                      </c:pt>
                      <c:pt idx="21">
                        <c:v>1300</c:v>
                      </c:pt>
                      <c:pt idx="22">
                        <c:v>1500</c:v>
                      </c:pt>
                      <c:pt idx="23">
                        <c:v>1600</c:v>
                      </c:pt>
                    </c:numCache>
                  </c:numRef>
                </c:yVal>
                <c:smooth val="0"/>
                <c:extLst>
                  <c:ext xmlns:c16="http://schemas.microsoft.com/office/drawing/2014/chart" uri="{C3380CC4-5D6E-409C-BE32-E72D297353CC}">
                    <c16:uniqueId val="{00000001-C022-4AC6-A0BC-71F617B696CD}"/>
                  </c:ext>
                </c:extLst>
              </c15:ser>
            </c15:filteredScatterSeries>
            <c15:filteredScatterSeries>
              <c15:ser>
                <c:idx val="3"/>
                <c:order val="3"/>
                <c:spPr>
                  <a:ln w="19050" cap="rnd">
                    <a:solidFill>
                      <a:schemeClr val="accent1">
                        <a:shade val="90000"/>
                      </a:schemeClr>
                    </a:solidFill>
                    <a:round/>
                  </a:ln>
                  <a:effectLst/>
                </c:spPr>
                <c:marker>
                  <c:symbol val="circle"/>
                  <c:size val="5"/>
                  <c:spPr>
                    <a:solidFill>
                      <a:schemeClr val="accent1">
                        <a:shade val="90000"/>
                      </a:schemeClr>
                    </a:solidFill>
                    <a:ln w="9525">
                      <a:solidFill>
                        <a:schemeClr val="accent1">
                          <a:shade val="90000"/>
                        </a:schemeClr>
                      </a:solidFill>
                    </a:ln>
                    <a:effectLst/>
                  </c:spPr>
                </c:marker>
                <c:xVal>
                  <c:numRef>
                    <c:extLst xmlns:c15="http://schemas.microsoft.com/office/drawing/2012/chart">
                      <c:ext xmlns:c15="http://schemas.microsoft.com/office/drawing/2012/chart" uri="{02D57815-91ED-43cb-92C2-25804820EDAC}">
                        <c15:formulaRef>
                          <c15:sqref>'GRADBENA FIZIKA'!$B$40:$B$63</c15:sqref>
                        </c15:formulaRef>
                      </c:ext>
                    </c:extLst>
                    <c:numCache>
                      <c:formatCode>#,##0_ ;\-#,##0\ </c:formatCode>
                      <c:ptCount val="24"/>
                      <c:pt idx="0">
                        <c:v>250000</c:v>
                      </c:pt>
                      <c:pt idx="1">
                        <c:v>275000</c:v>
                      </c:pt>
                      <c:pt idx="2">
                        <c:v>300000</c:v>
                      </c:pt>
                      <c:pt idx="3">
                        <c:v>350000</c:v>
                      </c:pt>
                      <c:pt idx="4">
                        <c:v>400000</c:v>
                      </c:pt>
                      <c:pt idx="5">
                        <c:v>500000</c:v>
                      </c:pt>
                      <c:pt idx="6">
                        <c:v>600000</c:v>
                      </c:pt>
                      <c:pt idx="7">
                        <c:v>750000</c:v>
                      </c:pt>
                      <c:pt idx="8">
                        <c:v>1000000</c:v>
                      </c:pt>
                      <c:pt idx="9">
                        <c:v>1250000</c:v>
                      </c:pt>
                      <c:pt idx="10">
                        <c:v>1500000</c:v>
                      </c:pt>
                      <c:pt idx="11">
                        <c:v>2000000</c:v>
                      </c:pt>
                      <c:pt idx="12">
                        <c:v>2500000</c:v>
                      </c:pt>
                      <c:pt idx="13">
                        <c:v>3500000</c:v>
                      </c:pt>
                      <c:pt idx="14">
                        <c:v>5000000</c:v>
                      </c:pt>
                      <c:pt idx="15">
                        <c:v>7500000</c:v>
                      </c:pt>
                      <c:pt idx="16">
                        <c:v>10000000</c:v>
                      </c:pt>
                      <c:pt idx="17">
                        <c:v>15000000</c:v>
                      </c:pt>
                      <c:pt idx="18">
                        <c:v>20000000</c:v>
                      </c:pt>
                      <c:pt idx="19">
                        <c:v>25000000</c:v>
                      </c:pt>
                      <c:pt idx="20">
                        <c:v>50000000</c:v>
                      </c:pt>
                      <c:pt idx="21">
                        <c:v>100000000</c:v>
                      </c:pt>
                      <c:pt idx="22">
                        <c:v>150000000</c:v>
                      </c:pt>
                      <c:pt idx="23">
                        <c:v>200000000</c:v>
                      </c:pt>
                    </c:numCache>
                  </c:numRef>
                </c:xVal>
                <c:yVal>
                  <c:numRef>
                    <c:extLst xmlns:c15="http://schemas.microsoft.com/office/drawing/2012/chart">
                      <c:ext xmlns:c15="http://schemas.microsoft.com/office/drawing/2012/chart" uri="{02D57815-91ED-43cb-92C2-25804820EDAC}">
                        <c15:formulaRef>
                          <c15:sqref>'GRADBENA FIZIKA'!$F$40:$F$63</c15:sqref>
                        </c15:formulaRef>
                      </c:ext>
                    </c:extLst>
                    <c:numCache>
                      <c:formatCode>#,##0_ ;\-#,##0\ </c:formatCode>
                      <c:ptCount val="24"/>
                      <c:pt idx="0">
                        <c:v>29</c:v>
                      </c:pt>
                      <c:pt idx="1">
                        <c:v>30</c:v>
                      </c:pt>
                      <c:pt idx="2">
                        <c:v>32</c:v>
                      </c:pt>
                      <c:pt idx="3">
                        <c:v>36</c:v>
                      </c:pt>
                      <c:pt idx="4">
                        <c:v>39</c:v>
                      </c:pt>
                      <c:pt idx="5">
                        <c:v>45</c:v>
                      </c:pt>
                      <c:pt idx="6">
                        <c:v>51</c:v>
                      </c:pt>
                      <c:pt idx="7">
                        <c:v>59</c:v>
                      </c:pt>
                      <c:pt idx="8">
                        <c:v>71</c:v>
                      </c:pt>
                      <c:pt idx="9">
                        <c:v>82</c:v>
                      </c:pt>
                      <c:pt idx="10">
                        <c:v>92</c:v>
                      </c:pt>
                      <c:pt idx="11">
                        <c:v>112</c:v>
                      </c:pt>
                      <c:pt idx="12">
                        <c:v>129</c:v>
                      </c:pt>
                      <c:pt idx="13">
                        <c:v>161</c:v>
                      </c:pt>
                      <c:pt idx="14">
                        <c:v>204</c:v>
                      </c:pt>
                      <c:pt idx="15">
                        <c:v>266</c:v>
                      </c:pt>
                      <c:pt idx="16">
                        <c:v>321</c:v>
                      </c:pt>
                      <c:pt idx="17">
                        <c:v>420</c:v>
                      </c:pt>
                      <c:pt idx="18">
                        <c:v>507</c:v>
                      </c:pt>
                      <c:pt idx="19">
                        <c:v>588</c:v>
                      </c:pt>
                      <c:pt idx="20">
                        <c:v>986.00000000000011</c:v>
                      </c:pt>
                      <c:pt idx="21">
                        <c:v>1508</c:v>
                      </c:pt>
                      <c:pt idx="22">
                        <c:v>1740</c:v>
                      </c:pt>
                      <c:pt idx="23">
                        <c:v>1856</c:v>
                      </c:pt>
                    </c:numCache>
                  </c:numRef>
                </c:yVal>
                <c:smooth val="0"/>
                <c:extLst xmlns:c15="http://schemas.microsoft.com/office/drawing/2012/chart">
                  <c:ext xmlns:c16="http://schemas.microsoft.com/office/drawing/2014/chart" uri="{C3380CC4-5D6E-409C-BE32-E72D297353CC}">
                    <c16:uniqueId val="{00000003-C022-4AC6-A0BC-71F617B696CD}"/>
                  </c:ext>
                </c:extLst>
              </c15:ser>
            </c15:filteredScatterSeries>
          </c:ext>
        </c:extLst>
      </c:scatterChart>
      <c:valAx>
        <c:axId val="6161013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098728"/>
        <c:crosses val="autoZero"/>
        <c:crossBetween val="midCat"/>
        <c:dispUnits>
          <c:builtInUnit val="millions"/>
          <c:dispUnitsLbl>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dispUnitsLbl>
        </c:dispUnits>
      </c:valAx>
      <c:valAx>
        <c:axId val="616098728"/>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crossAx val="61610135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ter Light" panose="020B0502030000000004" pitchFamily="34" charset="0"/>
              <a:ea typeface="Inter Light" panose="020B0502030000000004" pitchFamily="34" charset="0"/>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10.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Reversed" id="21">
  <a:schemeClr val="accent1"/>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fmlaLink="$G$237" lockText="1" noThreeD="1"/>
</file>

<file path=xl/ctrlProps/ctrlProp10.xml><?xml version="1.0" encoding="utf-8"?>
<formControlPr xmlns="http://schemas.microsoft.com/office/spreadsheetml/2009/9/main" objectType="CheckBox" checked="Checked" fmlaLink="$G$241" lockText="1" noThreeD="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CheckBox" checked="Checked" fmlaLink="$G$69" lockText="1" noThreeD="1"/>
</file>

<file path=xl/ctrlProps/ctrlProp102.xml><?xml version="1.0" encoding="utf-8"?>
<formControlPr xmlns="http://schemas.microsoft.com/office/spreadsheetml/2009/9/main" objectType="CheckBox" checked="Checked" fmlaLink="$G$95" lockText="1" noThreeD="1"/>
</file>

<file path=xl/ctrlProps/ctrlProp103.xml><?xml version="1.0" encoding="utf-8"?>
<formControlPr xmlns="http://schemas.microsoft.com/office/spreadsheetml/2009/9/main" objectType="CheckBox" fmlaLink="$G$111" lockText="1" noThreeD="1"/>
</file>

<file path=xl/ctrlProps/ctrlProp104.xml><?xml version="1.0" encoding="utf-8"?>
<formControlPr xmlns="http://schemas.microsoft.com/office/spreadsheetml/2009/9/main" objectType="CheckBox" fmlaLink="#REF!" lockText="1" noThreeD="1"/>
</file>

<file path=xl/ctrlProps/ctrlProp105.xml><?xml version="1.0" encoding="utf-8"?>
<formControlPr xmlns="http://schemas.microsoft.com/office/spreadsheetml/2009/9/main" objectType="CheckBox" checked="Checked" fmlaLink="$G$42"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CheckBox" checked="Checked" fmlaLink="$G$44" lockText="1" noThreeD="1"/>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checked="Checked" fmlaLink="$G$43" lockText="1" noThreeD="1"/>
</file>

<file path=xl/ctrlProps/ctrlProp11.xml><?xml version="1.0" encoding="utf-8"?>
<formControlPr xmlns="http://schemas.microsoft.com/office/spreadsheetml/2009/9/main" objectType="CheckBox" fmlaLink="$D$264" lockText="1" noThreeD="1"/>
</file>

<file path=xl/ctrlProps/ctrlProp110.xml><?xml version="1.0" encoding="utf-8"?>
<formControlPr xmlns="http://schemas.microsoft.com/office/spreadsheetml/2009/9/main" objectType="CheckBox" fmlaLink="#REF!" lockText="1" noThreeD="1"/>
</file>

<file path=xl/ctrlProps/ctrlProp111.xml><?xml version="1.0" encoding="utf-8"?>
<formControlPr xmlns="http://schemas.microsoft.com/office/spreadsheetml/2009/9/main" objectType="CheckBox" checked="Checked" fmlaLink="$G$46"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checked="Checked" fmlaLink="$G$78" lockText="1" noThreeD="1"/>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checked="Checked" fmlaLink="$G$79"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checked="Checked" fmlaLink="$G$39"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checked="Checked" fmlaLink="$G$53" lockText="1" noThreeD="1"/>
</file>

<file path=xl/ctrlProps/ctrlProp12.xml><?xml version="1.0" encoding="utf-8"?>
<formControlPr xmlns="http://schemas.microsoft.com/office/spreadsheetml/2009/9/main" objectType="CheckBox" checked="Checked" fmlaLink="$D$263"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checked="Checked" fmlaLink="$G$7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checked="Checked" fmlaLink="$G$80"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checked="Checked" fmlaLink="$G$107"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checked="Checked" fmlaLink="$G$108"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checked="Checked" fmlaLink="$G$109" lockText="1" noThreeD="1"/>
</file>

<file path=xl/ctrlProps/ctrlProp13.xml><?xml version="1.0" encoding="utf-8"?>
<formControlPr xmlns="http://schemas.microsoft.com/office/spreadsheetml/2009/9/main" objectType="CheckBox" checked="Checked" fmlaLink="$G$248" lockText="1" noThreeD="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CheckBox" checked="Checked" fmlaLink="$G$45"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checked="Checked" fmlaLink="$G$62"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checked="Checked" fmlaLink="$G$76" lockText="1" noThreeD="1"/>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CheckBox" checked="Checked" fmlaLink="$G$29" lockText="1" noThreeD="1"/>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CheckBox" checked="Checked" fmlaLink="$G$31" lockText="1" noThreeD="1"/>
</file>

<file path=xl/ctrlProps/ctrlProp14.xml><?xml version="1.0" encoding="utf-8"?>
<formControlPr xmlns="http://schemas.microsoft.com/office/spreadsheetml/2009/9/main" objectType="CheckBox" checked="Checked" fmlaLink="$G$249" lockText="1" noThreeD="1"/>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CheckBox" checked="Checked" fmlaLink="$G$101" lockText="1" noThreeD="1"/>
</file>

<file path=xl/ctrlProps/ctrlProp142.xml><?xml version="1.0" encoding="utf-8"?>
<formControlPr xmlns="http://schemas.microsoft.com/office/spreadsheetml/2009/9/main" objectType="CheckBox" fmlaLink="$G$82" lockText="1" noThreeD="1"/>
</file>

<file path=xl/ctrlProps/ctrlProp143.xml><?xml version="1.0" encoding="utf-8"?>
<formControlPr xmlns="http://schemas.microsoft.com/office/spreadsheetml/2009/9/main" objectType="CheckBox" checked="Checked" fmlaLink="$G$87" lockText="1" noThreeD="1"/>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CheckBox" checked="Checked" fmlaLink="$G$89" lockText="1" noThreeD="1"/>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CheckBox" checked="Checked" fmlaLink="$G$88" lockText="1" noThreeD="1"/>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CheckBox" checked="Checked" fmlaLink="$G$91" lockText="1" noThreeD="1"/>
</file>

<file path=xl/ctrlProps/ctrlProp15.xml><?xml version="1.0" encoding="utf-8"?>
<formControlPr xmlns="http://schemas.microsoft.com/office/spreadsheetml/2009/9/main" objectType="CheckBox" checked="Checked" fmlaLink="$G$250"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CheckBox" checked="Checked" fmlaLink="$G$92" lockText="1" noThreeD="1"/>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CheckBox" checked="Checked" fmlaLink="$G$93"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checked="Checked" fmlaLink="$G$90" lockText="1" noThreeD="1"/>
</file>

<file path=xl/ctrlProps/ctrlProp16.xml><?xml version="1.0" encoding="utf-8"?>
<formControlPr xmlns="http://schemas.microsoft.com/office/spreadsheetml/2009/9/main" objectType="CheckBox" fmlaLink="$E$259" lockText="1" noThreeD="1"/>
</file>

<file path=xl/ctrlProps/ctrlProp17.xml><?xml version="1.0" encoding="utf-8"?>
<formControlPr xmlns="http://schemas.microsoft.com/office/spreadsheetml/2009/9/main" objectType="CheckBox" checked="Checked" fmlaLink="$D$262" lockText="1" noThreeD="1"/>
</file>

<file path=xl/ctrlProps/ctrlProp18.xml><?xml version="1.0" encoding="utf-8"?>
<formControlPr xmlns="http://schemas.microsoft.com/office/spreadsheetml/2009/9/main" objectType="CheckBox" checked="Checked" fmlaLink="$D$261" lockText="1" noThreeD="1"/>
</file>

<file path=xl/ctrlProps/ctrlProp19.xml><?xml version="1.0" encoding="utf-8"?>
<formControlPr xmlns="http://schemas.microsoft.com/office/spreadsheetml/2009/9/main" objectType="CheckBox" fmlaLink="$G$22" lockText="1" noThreeD="1"/>
</file>

<file path=xl/ctrlProps/ctrlProp2.xml><?xml version="1.0" encoding="utf-8"?>
<formControlPr xmlns="http://schemas.microsoft.com/office/spreadsheetml/2009/9/main" objectType="CheckBox" checked="Checked" fmlaLink="$G$238" lockText="1" noThreeD="1"/>
</file>

<file path=xl/ctrlProps/ctrlProp20.xml><?xml version="1.0" encoding="utf-8"?>
<formControlPr xmlns="http://schemas.microsoft.com/office/spreadsheetml/2009/9/main" objectType="CheckBox" fmlaLink="$G$23" lockText="1" noThreeD="1"/>
</file>

<file path=xl/ctrlProps/ctrlProp21.xml><?xml version="1.0" encoding="utf-8"?>
<formControlPr xmlns="http://schemas.microsoft.com/office/spreadsheetml/2009/9/main" objectType="CheckBox" fmlaLink="$G$24"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checked="Checked" fmlaLink="$G$55"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checked="Checked" fmlaLink="$G$28"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checked="Checked" fmlaLink="$G$30" lockText="1" noThreeD="1"/>
</file>

<file path=xl/ctrlProps/ctrlProp28.xml><?xml version="1.0" encoding="utf-8"?>
<formControlPr xmlns="http://schemas.microsoft.com/office/spreadsheetml/2009/9/main" objectType="CheckBox" checked="Checked" fmlaLink="$G$32"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checked="Checked" fmlaLink="$G$239" lockText="1" noThreeD="1"/>
</file>

<file path=xl/ctrlProps/ctrlProp30.xml><?xml version="1.0" encoding="utf-8"?>
<formControlPr xmlns="http://schemas.microsoft.com/office/spreadsheetml/2009/9/main" objectType="CheckBox" checked="Checked" fmlaLink="$G$33"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checked="Checked" fmlaLink="$G$35"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checked="Checked" fmlaLink="$G$36"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checked="Checked" fmlaLink="$G$67"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checked="Checked" fmlaLink="$G$68"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checked="Checked" fmlaLink="$G$243" lockText="1" noThreeD="1"/>
</file>

<file path=xl/ctrlProps/ctrlProp40.xml><?xml version="1.0" encoding="utf-8"?>
<formControlPr xmlns="http://schemas.microsoft.com/office/spreadsheetml/2009/9/main" objectType="CheckBox" checked="Checked" fmlaLink="$G$42"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checked="Checked" fmlaLink="$G$44"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checked="Checked" fmlaLink="$G$43"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checked="Checked" fmlaLink="$G$46"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checked="Checked" fmlaLink="$G$47"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checked="Checked" fmlaLink="$G$244" lockText="1" noThreeD="1"/>
</file>

<file path=xl/ctrlProps/ctrlProp50.xml><?xml version="1.0" encoding="utf-8"?>
<formControlPr xmlns="http://schemas.microsoft.com/office/spreadsheetml/2009/9/main" objectType="CheckBox" checked="Checked" fmlaLink="$G$48"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checked="Checked" fmlaLink="$G$49"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checked="Checked" fmlaLink="$G$50" lockText="1" noThreeD="1"/>
</file>

<file path=xl/ctrlProps/ctrlProp55.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CheckBox" checked="Checked" fmlaLink="$G$59" lockText="1" noThreeD="1"/>
</file>

<file path=xl/ctrlProps/ctrlProp57.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checked="Checked" fmlaLink="$G$61" lockText="1" noThreeD="1"/>
</file>

<file path=xl/ctrlProps/ctrlProp5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checked="Checked" fmlaLink="$G$245" lockText="1" noThreeD="1"/>
</file>

<file path=xl/ctrlProps/ctrlProp60.xml><?xml version="1.0" encoding="utf-8"?>
<formControlPr xmlns="http://schemas.microsoft.com/office/spreadsheetml/2009/9/main" objectType="CheckBox" checked="Checked" fmlaLink="$G$60" lockText="1" noThreeD="1"/>
</file>

<file path=xl/ctrlProps/ctrlProp61.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checked="Checked" fmlaLink="$G$63" lockText="1" noThreeD="1"/>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checked="Checked" fmlaLink="$G$64" lockText="1" noThreeD="1"/>
</file>

<file path=xl/ctrlProps/ctrlProp65.xml><?xml version="1.0" encoding="utf-8"?>
<formControlPr xmlns="http://schemas.microsoft.com/office/spreadsheetml/2009/9/main" objectType="CheckBox" fmlaLink="#REF!" lockText="1" noThreeD="1"/>
</file>

<file path=xl/ctrlProps/ctrlProp66.xml><?xml version="1.0" encoding="utf-8"?>
<formControlPr xmlns="http://schemas.microsoft.com/office/spreadsheetml/2009/9/main" objectType="CheckBox" checked="Checked" fmlaLink="$G$65"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checked="Checked" fmlaLink="$G$66" lockText="1" noThreeD="1"/>
</file>

<file path=xl/ctrlProps/ctrlProp69.xml><?xml version="1.0" encoding="utf-8"?>
<formControlPr xmlns="http://schemas.microsoft.com/office/spreadsheetml/2009/9/main" objectType="CheckBox" fmlaLink="$G$83" lockText="1" noThreeD="1"/>
</file>

<file path=xl/ctrlProps/ctrlProp7.xml><?xml version="1.0" encoding="utf-8"?>
<formControlPr xmlns="http://schemas.microsoft.com/office/spreadsheetml/2009/9/main" objectType="CheckBox" checked="Checked" fmlaLink="$G$246" lockText="1" noThreeD="1"/>
</file>

<file path=xl/ctrlProps/ctrlProp70.xml><?xml version="1.0" encoding="utf-8"?>
<formControlPr xmlns="http://schemas.microsoft.com/office/spreadsheetml/2009/9/main" objectType="CheckBox" fmlaLink="$G$112" lockText="1" noThreeD="1"/>
</file>

<file path=xl/ctrlProps/ctrlProp71.xml><?xml version="1.0" encoding="utf-8"?>
<formControlPr xmlns="http://schemas.microsoft.com/office/spreadsheetml/2009/9/main" objectType="CheckBox" fmlaLink="#REF!" lockText="1" noThreeD="1"/>
</file>

<file path=xl/ctrlProps/ctrlProp72.xml><?xml version="1.0" encoding="utf-8"?>
<formControlPr xmlns="http://schemas.microsoft.com/office/spreadsheetml/2009/9/main" objectType="CheckBox" checked="Checked" fmlaLink="$G$56"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CheckBox" checked="Checked" fmlaLink="$G$37" lockText="1" noThreeD="1"/>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checked="Checked" fmlaLink="$G$38" lockText="1" noThreeD="1"/>
</file>

<file path=xl/ctrlProps/ctrlProp77.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checked="Checked" fmlaLink="$G$51"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checked="Checked" fmlaLink="$G$247" lockText="1" noThreeD="1"/>
</file>

<file path=xl/ctrlProps/ctrlProp80.xml><?xml version="1.0" encoding="utf-8"?>
<formControlPr xmlns="http://schemas.microsoft.com/office/spreadsheetml/2009/9/main" objectType="CheckBox" checked="Checked" fmlaLink="$G$52" lockText="1" noThreeD="1"/>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checked="Checked" fmlaLink="$G$34" lockText="1" noThreeD="1"/>
</file>

<file path=xl/ctrlProps/ctrlProp83.xml><?xml version="1.0" encoding="utf-8"?>
<formControlPr xmlns="http://schemas.microsoft.com/office/spreadsheetml/2009/9/main" objectType="CheckBox" checked="Checked" fmlaLink="$G$85" lockText="1" noThreeD="1"/>
</file>

<file path=xl/ctrlProps/ctrlProp84.xml><?xml version="1.0" encoding="utf-8"?>
<formControlPr xmlns="http://schemas.microsoft.com/office/spreadsheetml/2009/9/main" objectType="CheckBox" checked="Checked" fmlaLink="$G$94"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CheckBox" checked="Checked" fmlaLink="$G$98" lockText="1" noThreeD="1"/>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checked="Checked" fmlaLink="$G$100" lockText="1" noThreeD="1"/>
</file>

<file path=xl/ctrlProps/ctrlProp89.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checked="Checked" fmlaLink="$G$240" lockText="1" noThreeD="1"/>
</file>

<file path=xl/ctrlProps/ctrlProp90.xml><?xml version="1.0" encoding="utf-8"?>
<formControlPr xmlns="http://schemas.microsoft.com/office/spreadsheetml/2009/9/main" objectType="CheckBox" checked="Checked" fmlaLink="$G$99" lockText="1" noThreeD="1"/>
</file>

<file path=xl/ctrlProps/ctrlProp91.xml><?xml version="1.0" encoding="utf-8"?>
<formControlPr xmlns="http://schemas.microsoft.com/office/spreadsheetml/2009/9/main" objectType="CheckBox" checked="Checked" fmlaLink="$G$102" lockText="1" noThreeD="1"/>
</file>

<file path=xl/ctrlProps/ctrlProp92.xml><?xml version="1.0" encoding="utf-8"?>
<formControlPr xmlns="http://schemas.microsoft.com/office/spreadsheetml/2009/9/main" objectType="CheckBox" fmlaLink="#REF!" lockText="1" noThreeD="1"/>
</file>

<file path=xl/ctrlProps/ctrlProp93.xml><?xml version="1.0" encoding="utf-8"?>
<formControlPr xmlns="http://schemas.microsoft.com/office/spreadsheetml/2009/9/main" objectType="CheckBox" checked="Checked" fmlaLink="$G$103"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CheckBox" checked="Checked" fmlaLink="$G$104" lockText="1" noThreeD="1"/>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checked="Checked" fmlaLink="$G$105"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checked="Checked" fmlaLink="$G$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718095</xdr:colOff>
      <xdr:row>2</xdr:row>
      <xdr:rowOff>173265</xdr:rowOff>
    </xdr:to>
    <xdr:pic>
      <xdr:nvPicPr>
        <xdr:cNvPr id="3" name="Picture 2">
          <a:extLst>
            <a:ext uri="{FF2B5EF4-FFF2-40B4-BE49-F238E27FC236}">
              <a16:creationId xmlns:a16="http://schemas.microsoft.com/office/drawing/2014/main" id="{00000000-0008-0000-0000-000003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36</xdr:row>
      <xdr:rowOff>0</xdr:rowOff>
    </xdr:from>
    <xdr:to>
      <xdr:col>15</xdr:col>
      <xdr:colOff>400050</xdr:colOff>
      <xdr:row>52</xdr:row>
      <xdr:rowOff>152400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8</xdr:row>
      <xdr:rowOff>47624</xdr:rowOff>
    </xdr:from>
    <xdr:to>
      <xdr:col>12</xdr:col>
      <xdr:colOff>66675</xdr:colOff>
      <xdr:row>25</xdr:row>
      <xdr:rowOff>76200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295354</xdr:colOff>
      <xdr:row>8</xdr:row>
      <xdr:rowOff>112058</xdr:rowOff>
    </xdr:from>
    <xdr:to>
      <xdr:col>23</xdr:col>
      <xdr:colOff>349783</xdr:colOff>
      <xdr:row>27</xdr:row>
      <xdr:rowOff>131189</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862852</xdr:colOff>
      <xdr:row>40</xdr:row>
      <xdr:rowOff>33618</xdr:rowOff>
    </xdr:from>
    <xdr:to>
      <xdr:col>18</xdr:col>
      <xdr:colOff>312164</xdr:colOff>
      <xdr:row>58</xdr:row>
      <xdr:rowOff>89647</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168087</xdr:colOff>
      <xdr:row>71</xdr:row>
      <xdr:rowOff>56029</xdr:rowOff>
    </xdr:from>
    <xdr:to>
      <xdr:col>24</xdr:col>
      <xdr:colOff>549088</xdr:colOff>
      <xdr:row>92</xdr:row>
      <xdr:rowOff>145677</xdr:rowOff>
    </xdr:to>
    <xdr:graphicFrame macro="">
      <xdr:nvGraphicFramePr>
        <xdr:cNvPr id="4" name="Chart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236</xdr:row>
          <xdr:rowOff>19050</xdr:rowOff>
        </xdr:from>
        <xdr:to>
          <xdr:col>6</xdr:col>
          <xdr:colOff>323850</xdr:colOff>
          <xdr:row>236</xdr:row>
          <xdr:rowOff>180975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237</xdr:row>
          <xdr:rowOff>19050</xdr:rowOff>
        </xdr:from>
        <xdr:to>
          <xdr:col>6</xdr:col>
          <xdr:colOff>323850</xdr:colOff>
          <xdr:row>237</xdr:row>
          <xdr:rowOff>180975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238</xdr:row>
          <xdr:rowOff>19050</xdr:rowOff>
        </xdr:from>
        <xdr:to>
          <xdr:col>6</xdr:col>
          <xdr:colOff>323850</xdr:colOff>
          <xdr:row>238</xdr:row>
          <xdr:rowOff>180975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242</xdr:row>
          <xdr:rowOff>19050</xdr:rowOff>
        </xdr:from>
        <xdr:to>
          <xdr:col>6</xdr:col>
          <xdr:colOff>323850</xdr:colOff>
          <xdr:row>242</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243</xdr:row>
          <xdr:rowOff>19050</xdr:rowOff>
        </xdr:from>
        <xdr:to>
          <xdr:col>6</xdr:col>
          <xdr:colOff>323850</xdr:colOff>
          <xdr:row>243</xdr:row>
          <xdr:rowOff>180975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244</xdr:row>
          <xdr:rowOff>19050</xdr:rowOff>
        </xdr:from>
        <xdr:to>
          <xdr:col>6</xdr:col>
          <xdr:colOff>323850</xdr:colOff>
          <xdr:row>244</xdr:row>
          <xdr:rowOff>180975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245</xdr:row>
          <xdr:rowOff>19050</xdr:rowOff>
        </xdr:from>
        <xdr:to>
          <xdr:col>6</xdr:col>
          <xdr:colOff>323850</xdr:colOff>
          <xdr:row>245</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246</xdr:row>
          <xdr:rowOff>19050</xdr:rowOff>
        </xdr:from>
        <xdr:to>
          <xdr:col>6</xdr:col>
          <xdr:colOff>323850</xdr:colOff>
          <xdr:row>246</xdr:row>
          <xdr:rowOff>180975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3720</xdr:colOff>
      <xdr:row>2</xdr:row>
      <xdr:rowOff>262800</xdr:rowOff>
    </xdr:to>
    <xdr:pic>
      <xdr:nvPicPr>
        <xdr:cNvPr id="13" name="Picture 12">
          <a:extLst>
            <a:ext uri="{FF2B5EF4-FFF2-40B4-BE49-F238E27FC236}">
              <a16:creationId xmlns:a16="http://schemas.microsoft.com/office/drawing/2014/main" id="{00000000-0008-0000-0100-00000D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76200</xdr:colOff>
          <xdr:row>239</xdr:row>
          <xdr:rowOff>19050</xdr:rowOff>
        </xdr:from>
        <xdr:to>
          <xdr:col>6</xdr:col>
          <xdr:colOff>323850</xdr:colOff>
          <xdr:row>239</xdr:row>
          <xdr:rowOff>180975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240</xdr:row>
          <xdr:rowOff>19050</xdr:rowOff>
        </xdr:from>
        <xdr:to>
          <xdr:col>6</xdr:col>
          <xdr:colOff>323850</xdr:colOff>
          <xdr:row>240</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258</xdr:row>
          <xdr:rowOff>0</xdr:rowOff>
        </xdr:from>
        <xdr:to>
          <xdr:col>4</xdr:col>
          <xdr:colOff>342900</xdr:colOff>
          <xdr:row>258</xdr:row>
          <xdr:rowOff>219075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262</xdr:row>
          <xdr:rowOff>314325</xdr:rowOff>
        </xdr:from>
        <xdr:to>
          <xdr:col>4</xdr:col>
          <xdr:colOff>342900</xdr:colOff>
          <xdr:row>264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262</xdr:row>
          <xdr:rowOff>47625</xdr:rowOff>
        </xdr:from>
        <xdr:to>
          <xdr:col>4</xdr:col>
          <xdr:colOff>342900</xdr:colOff>
          <xdr:row>262</xdr:row>
          <xdr:rowOff>266700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247</xdr:row>
          <xdr:rowOff>19050</xdr:rowOff>
        </xdr:from>
        <xdr:to>
          <xdr:col>6</xdr:col>
          <xdr:colOff>323850</xdr:colOff>
          <xdr:row>247</xdr:row>
          <xdr:rowOff>180975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248</xdr:row>
          <xdr:rowOff>19050</xdr:rowOff>
        </xdr:from>
        <xdr:to>
          <xdr:col>6</xdr:col>
          <xdr:colOff>323850</xdr:colOff>
          <xdr:row>248</xdr:row>
          <xdr:rowOff>180975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249</xdr:row>
          <xdr:rowOff>19050</xdr:rowOff>
        </xdr:from>
        <xdr:to>
          <xdr:col>6</xdr:col>
          <xdr:colOff>323850</xdr:colOff>
          <xdr:row>249</xdr:row>
          <xdr:rowOff>180975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260</xdr:row>
          <xdr:rowOff>304800</xdr:rowOff>
        </xdr:from>
        <xdr:to>
          <xdr:col>4</xdr:col>
          <xdr:colOff>342900</xdr:colOff>
          <xdr:row>262</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260</xdr:row>
          <xdr:rowOff>47625</xdr:rowOff>
        </xdr:from>
        <xdr:to>
          <xdr:col>4</xdr:col>
          <xdr:colOff>342900</xdr:colOff>
          <xdr:row>260</xdr:row>
          <xdr:rowOff>266700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20</xdr:row>
          <xdr:rowOff>171450</xdr:rowOff>
        </xdr:from>
        <xdr:to>
          <xdr:col>6</xdr:col>
          <xdr:colOff>323850</xdr:colOff>
          <xdr:row>22</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152400</xdr:rowOff>
        </xdr:from>
        <xdr:to>
          <xdr:col>6</xdr:col>
          <xdr:colOff>323850</xdr:colOff>
          <xdr:row>23</xdr:row>
          <xdr:rowOff>28575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23</xdr:row>
          <xdr:rowOff>0</xdr:rowOff>
        </xdr:from>
        <xdr:to>
          <xdr:col>6</xdr:col>
          <xdr:colOff>323850</xdr:colOff>
          <xdr:row>24</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323850</xdr:colOff>
          <xdr:row>55</xdr:row>
          <xdr:rowOff>19050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19050</xdr:rowOff>
        </xdr:from>
        <xdr:to>
          <xdr:col>6</xdr:col>
          <xdr:colOff>323850</xdr:colOff>
          <xdr:row>55</xdr:row>
          <xdr:rowOff>19050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19050</xdr:rowOff>
        </xdr:from>
        <xdr:to>
          <xdr:col>6</xdr:col>
          <xdr:colOff>323850</xdr:colOff>
          <xdr:row>28</xdr:row>
          <xdr:rowOff>19050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27</xdr:row>
          <xdr:rowOff>19050</xdr:rowOff>
        </xdr:from>
        <xdr:to>
          <xdr:col>6</xdr:col>
          <xdr:colOff>323850</xdr:colOff>
          <xdr:row>28</xdr:row>
          <xdr:rowOff>19050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19050</xdr:rowOff>
        </xdr:from>
        <xdr:to>
          <xdr:col>6</xdr:col>
          <xdr:colOff>323850</xdr:colOff>
          <xdr:row>30</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29</xdr:row>
          <xdr:rowOff>19050</xdr:rowOff>
        </xdr:from>
        <xdr:to>
          <xdr:col>6</xdr:col>
          <xdr:colOff>323850</xdr:colOff>
          <xdr:row>30</xdr:row>
          <xdr:rowOff>19050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31</xdr:row>
          <xdr:rowOff>19050</xdr:rowOff>
        </xdr:from>
        <xdr:to>
          <xdr:col>6</xdr:col>
          <xdr:colOff>323850</xdr:colOff>
          <xdr:row>32</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19050</xdr:rowOff>
        </xdr:from>
        <xdr:to>
          <xdr:col>6</xdr:col>
          <xdr:colOff>323850</xdr:colOff>
          <xdr:row>33</xdr:row>
          <xdr:rowOff>19050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32</xdr:row>
          <xdr:rowOff>19050</xdr:rowOff>
        </xdr:from>
        <xdr:to>
          <xdr:col>6</xdr:col>
          <xdr:colOff>323850</xdr:colOff>
          <xdr:row>33</xdr:row>
          <xdr:rowOff>19050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19050</xdr:rowOff>
        </xdr:from>
        <xdr:to>
          <xdr:col>6</xdr:col>
          <xdr:colOff>323850</xdr:colOff>
          <xdr:row>35</xdr:row>
          <xdr:rowOff>19050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19050</xdr:rowOff>
        </xdr:from>
        <xdr:to>
          <xdr:col>6</xdr:col>
          <xdr:colOff>323850</xdr:colOff>
          <xdr:row>35</xdr:row>
          <xdr:rowOff>19050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19050</xdr:rowOff>
        </xdr:from>
        <xdr:to>
          <xdr:col>6</xdr:col>
          <xdr:colOff>323850</xdr:colOff>
          <xdr:row>36</xdr:row>
          <xdr:rowOff>19050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35</xdr:row>
          <xdr:rowOff>19050</xdr:rowOff>
        </xdr:from>
        <xdr:to>
          <xdr:col>6</xdr:col>
          <xdr:colOff>323850</xdr:colOff>
          <xdr:row>36</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323850</xdr:colOff>
          <xdr:row>67</xdr:row>
          <xdr:rowOff>19050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66</xdr:row>
          <xdr:rowOff>19050</xdr:rowOff>
        </xdr:from>
        <xdr:to>
          <xdr:col>6</xdr:col>
          <xdr:colOff>323850</xdr:colOff>
          <xdr:row>67</xdr:row>
          <xdr:rowOff>19050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323850</xdr:colOff>
          <xdr:row>68</xdr:row>
          <xdr:rowOff>19050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67</xdr:row>
          <xdr:rowOff>19050</xdr:rowOff>
        </xdr:from>
        <xdr:to>
          <xdr:col>6</xdr:col>
          <xdr:colOff>323850</xdr:colOff>
          <xdr:row>68</xdr:row>
          <xdr:rowOff>19050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6</xdr:col>
          <xdr:colOff>323850</xdr:colOff>
          <xdr:row>42</xdr:row>
          <xdr:rowOff>19050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6</xdr:col>
          <xdr:colOff>323850</xdr:colOff>
          <xdr:row>42</xdr:row>
          <xdr:rowOff>19050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19050</xdr:rowOff>
        </xdr:from>
        <xdr:to>
          <xdr:col>6</xdr:col>
          <xdr:colOff>323850</xdr:colOff>
          <xdr:row>44</xdr:row>
          <xdr:rowOff>19050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43</xdr:row>
          <xdr:rowOff>19050</xdr:rowOff>
        </xdr:from>
        <xdr:to>
          <xdr:col>6</xdr:col>
          <xdr:colOff>323850</xdr:colOff>
          <xdr:row>44</xdr:row>
          <xdr:rowOff>19050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19050</xdr:rowOff>
        </xdr:from>
        <xdr:to>
          <xdr:col>6</xdr:col>
          <xdr:colOff>323850</xdr:colOff>
          <xdr:row>43</xdr:row>
          <xdr:rowOff>19050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42</xdr:row>
          <xdr:rowOff>19050</xdr:rowOff>
        </xdr:from>
        <xdr:to>
          <xdr:col>6</xdr:col>
          <xdr:colOff>323850</xdr:colOff>
          <xdr:row>43</xdr:row>
          <xdr:rowOff>19050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19050</xdr:rowOff>
        </xdr:from>
        <xdr:to>
          <xdr:col>6</xdr:col>
          <xdr:colOff>323850</xdr:colOff>
          <xdr:row>46</xdr:row>
          <xdr:rowOff>19050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45</xdr:row>
          <xdr:rowOff>19050</xdr:rowOff>
        </xdr:from>
        <xdr:to>
          <xdr:col>6</xdr:col>
          <xdr:colOff>323850</xdr:colOff>
          <xdr:row>46</xdr:row>
          <xdr:rowOff>19050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19050</xdr:rowOff>
        </xdr:from>
        <xdr:to>
          <xdr:col>6</xdr:col>
          <xdr:colOff>323850</xdr:colOff>
          <xdr:row>47</xdr:row>
          <xdr:rowOff>19050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46</xdr:row>
          <xdr:rowOff>19050</xdr:rowOff>
        </xdr:from>
        <xdr:to>
          <xdr:col>6</xdr:col>
          <xdr:colOff>323850</xdr:colOff>
          <xdr:row>47</xdr:row>
          <xdr:rowOff>19050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19050</xdr:rowOff>
        </xdr:from>
        <xdr:to>
          <xdr:col>6</xdr:col>
          <xdr:colOff>323850</xdr:colOff>
          <xdr:row>48</xdr:row>
          <xdr:rowOff>19050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47</xdr:row>
          <xdr:rowOff>19050</xdr:rowOff>
        </xdr:from>
        <xdr:to>
          <xdr:col>6</xdr:col>
          <xdr:colOff>323850</xdr:colOff>
          <xdr:row>48</xdr:row>
          <xdr:rowOff>19050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19050</xdr:rowOff>
        </xdr:from>
        <xdr:to>
          <xdr:col>6</xdr:col>
          <xdr:colOff>323850</xdr:colOff>
          <xdr:row>49</xdr:row>
          <xdr:rowOff>19050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19050</xdr:rowOff>
        </xdr:from>
        <xdr:to>
          <xdr:col>6</xdr:col>
          <xdr:colOff>323850</xdr:colOff>
          <xdr:row>49</xdr:row>
          <xdr:rowOff>19050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19050</xdr:rowOff>
        </xdr:from>
        <xdr:to>
          <xdr:col>6</xdr:col>
          <xdr:colOff>323850</xdr:colOff>
          <xdr:row>50</xdr:row>
          <xdr:rowOff>19050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19050</xdr:rowOff>
        </xdr:from>
        <xdr:to>
          <xdr:col>6</xdr:col>
          <xdr:colOff>323850</xdr:colOff>
          <xdr:row>50</xdr:row>
          <xdr:rowOff>19050</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3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323850</xdr:colOff>
          <xdr:row>59</xdr:row>
          <xdr:rowOff>19050</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58</xdr:row>
          <xdr:rowOff>19050</xdr:rowOff>
        </xdr:from>
        <xdr:to>
          <xdr:col>6</xdr:col>
          <xdr:colOff>323850</xdr:colOff>
          <xdr:row>59</xdr:row>
          <xdr:rowOff>19050</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323850</xdr:colOff>
          <xdr:row>61</xdr:row>
          <xdr:rowOff>19050</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60</xdr:row>
          <xdr:rowOff>19050</xdr:rowOff>
        </xdr:from>
        <xdr:to>
          <xdr:col>6</xdr:col>
          <xdr:colOff>323850</xdr:colOff>
          <xdr:row>61</xdr:row>
          <xdr:rowOff>19050</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323850</xdr:colOff>
          <xdr:row>60</xdr:row>
          <xdr:rowOff>19050</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59</xdr:row>
          <xdr:rowOff>19050</xdr:rowOff>
        </xdr:from>
        <xdr:to>
          <xdr:col>6</xdr:col>
          <xdr:colOff>323850</xdr:colOff>
          <xdr:row>60</xdr:row>
          <xdr:rowOff>19050</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323850</xdr:colOff>
          <xdr:row>63</xdr:row>
          <xdr:rowOff>19050</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62</xdr:row>
          <xdr:rowOff>19050</xdr:rowOff>
        </xdr:from>
        <xdr:to>
          <xdr:col>6</xdr:col>
          <xdr:colOff>323850</xdr:colOff>
          <xdr:row>63</xdr:row>
          <xdr:rowOff>19050</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3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323850</xdr:colOff>
          <xdr:row>64</xdr:row>
          <xdr:rowOff>19050</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63</xdr:row>
          <xdr:rowOff>19050</xdr:rowOff>
        </xdr:from>
        <xdr:to>
          <xdr:col>6</xdr:col>
          <xdr:colOff>323850</xdr:colOff>
          <xdr:row>64</xdr:row>
          <xdr:rowOff>19050</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3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323850</xdr:colOff>
          <xdr:row>65</xdr:row>
          <xdr:rowOff>19050</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64</xdr:row>
          <xdr:rowOff>19050</xdr:rowOff>
        </xdr:from>
        <xdr:to>
          <xdr:col>6</xdr:col>
          <xdr:colOff>323850</xdr:colOff>
          <xdr:row>65</xdr:row>
          <xdr:rowOff>19050</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323850</xdr:colOff>
          <xdr:row>66</xdr:row>
          <xdr:rowOff>19050</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65</xdr:row>
          <xdr:rowOff>19050</xdr:rowOff>
        </xdr:from>
        <xdr:to>
          <xdr:col>6</xdr:col>
          <xdr:colOff>323850</xdr:colOff>
          <xdr:row>66</xdr:row>
          <xdr:rowOff>19050</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82</xdr:row>
          <xdr:rowOff>0</xdr:rowOff>
        </xdr:from>
        <xdr:to>
          <xdr:col>6</xdr:col>
          <xdr:colOff>323850</xdr:colOff>
          <xdr:row>83</xdr:row>
          <xdr:rowOff>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3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111</xdr:row>
          <xdr:rowOff>0</xdr:rowOff>
        </xdr:from>
        <xdr:to>
          <xdr:col>6</xdr:col>
          <xdr:colOff>323850</xdr:colOff>
          <xdr:row>112</xdr:row>
          <xdr:rowOff>0</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3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19050</xdr:rowOff>
        </xdr:from>
        <xdr:to>
          <xdr:col>6</xdr:col>
          <xdr:colOff>323850</xdr:colOff>
          <xdr:row>56</xdr:row>
          <xdr:rowOff>19050</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3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55</xdr:row>
          <xdr:rowOff>19050</xdr:rowOff>
        </xdr:from>
        <xdr:to>
          <xdr:col>6</xdr:col>
          <xdr:colOff>323850</xdr:colOff>
          <xdr:row>56</xdr:row>
          <xdr:rowOff>19050</xdr:rowOff>
        </xdr:to>
        <xdr:sp macro="" textlink="">
          <xdr:nvSpPr>
            <xdr:cNvPr id="18567" name="Check Box 135" hidden="1">
              <a:extLst>
                <a:ext uri="{63B3BB69-23CF-44E3-9099-C40C66FF867C}">
                  <a14:compatExt spid="_x0000_s18567"/>
                </a:ext>
                <a:ext uri="{FF2B5EF4-FFF2-40B4-BE49-F238E27FC236}">
                  <a16:creationId xmlns:a16="http://schemas.microsoft.com/office/drawing/2014/main" id="{00000000-0008-0000-0300-00008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19050</xdr:rowOff>
        </xdr:from>
        <xdr:to>
          <xdr:col>6</xdr:col>
          <xdr:colOff>323850</xdr:colOff>
          <xdr:row>37</xdr:row>
          <xdr:rowOff>19050</xdr:rowOff>
        </xdr:to>
        <xdr:sp macro="" textlink="">
          <xdr:nvSpPr>
            <xdr:cNvPr id="18568" name="Check Box 136" hidden="1">
              <a:extLst>
                <a:ext uri="{63B3BB69-23CF-44E3-9099-C40C66FF867C}">
                  <a14:compatExt spid="_x0000_s18568"/>
                </a:ext>
                <a:ext uri="{FF2B5EF4-FFF2-40B4-BE49-F238E27FC236}">
                  <a16:creationId xmlns:a16="http://schemas.microsoft.com/office/drawing/2014/main" id="{00000000-0008-0000-0300-00008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19050</xdr:rowOff>
        </xdr:from>
        <xdr:to>
          <xdr:col>6</xdr:col>
          <xdr:colOff>323850</xdr:colOff>
          <xdr:row>37</xdr:row>
          <xdr:rowOff>19050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3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19050</xdr:rowOff>
        </xdr:from>
        <xdr:to>
          <xdr:col>6</xdr:col>
          <xdr:colOff>323850</xdr:colOff>
          <xdr:row>38</xdr:row>
          <xdr:rowOff>19050</xdr:rowOff>
        </xdr:to>
        <xdr:sp macro="" textlink="">
          <xdr:nvSpPr>
            <xdr:cNvPr id="18570" name="Check Box 138" hidden="1">
              <a:extLst>
                <a:ext uri="{63B3BB69-23CF-44E3-9099-C40C66FF867C}">
                  <a14:compatExt spid="_x0000_s18570"/>
                </a:ext>
                <a:ext uri="{FF2B5EF4-FFF2-40B4-BE49-F238E27FC236}">
                  <a16:creationId xmlns:a16="http://schemas.microsoft.com/office/drawing/2014/main" id="{00000000-0008-0000-0300-00008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37</xdr:row>
          <xdr:rowOff>19050</xdr:rowOff>
        </xdr:from>
        <xdr:to>
          <xdr:col>6</xdr:col>
          <xdr:colOff>323850</xdr:colOff>
          <xdr:row>38</xdr:row>
          <xdr:rowOff>19050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19050</xdr:rowOff>
        </xdr:from>
        <xdr:to>
          <xdr:col>6</xdr:col>
          <xdr:colOff>323850</xdr:colOff>
          <xdr:row>51</xdr:row>
          <xdr:rowOff>19050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3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19050</xdr:rowOff>
        </xdr:from>
        <xdr:to>
          <xdr:col>6</xdr:col>
          <xdr:colOff>323850</xdr:colOff>
          <xdr:row>51</xdr:row>
          <xdr:rowOff>19050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19050</xdr:rowOff>
        </xdr:from>
        <xdr:to>
          <xdr:col>6</xdr:col>
          <xdr:colOff>323850</xdr:colOff>
          <xdr:row>52</xdr:row>
          <xdr:rowOff>19050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19050</xdr:rowOff>
        </xdr:from>
        <xdr:to>
          <xdr:col>6</xdr:col>
          <xdr:colOff>323850</xdr:colOff>
          <xdr:row>52</xdr:row>
          <xdr:rowOff>19050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19050</xdr:rowOff>
        </xdr:from>
        <xdr:to>
          <xdr:col>6</xdr:col>
          <xdr:colOff>323850</xdr:colOff>
          <xdr:row>34</xdr:row>
          <xdr:rowOff>19050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33</xdr:row>
          <xdr:rowOff>19050</xdr:rowOff>
        </xdr:from>
        <xdr:to>
          <xdr:col>6</xdr:col>
          <xdr:colOff>323850</xdr:colOff>
          <xdr:row>34</xdr:row>
          <xdr:rowOff>19050</xdr:rowOff>
        </xdr:to>
        <xdr:sp macro="" textlink="">
          <xdr:nvSpPr>
            <xdr:cNvPr id="18577" name="Check Box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83</xdr:row>
          <xdr:rowOff>171450</xdr:rowOff>
        </xdr:from>
        <xdr:to>
          <xdr:col>6</xdr:col>
          <xdr:colOff>323850</xdr:colOff>
          <xdr:row>84</xdr:row>
          <xdr:rowOff>152400</xdr:rowOff>
        </xdr:to>
        <xdr:sp macro="" textlink="">
          <xdr:nvSpPr>
            <xdr:cNvPr id="18608" name="Check Box 176" hidden="1">
              <a:extLst>
                <a:ext uri="{63B3BB69-23CF-44E3-9099-C40C66FF867C}">
                  <a14:compatExt spid="_x0000_s18608"/>
                </a:ext>
                <a:ext uri="{FF2B5EF4-FFF2-40B4-BE49-F238E27FC236}">
                  <a16:creationId xmlns:a16="http://schemas.microsoft.com/office/drawing/2014/main" id="{00000000-0008-0000-0300-0000B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93</xdr:row>
          <xdr:rowOff>0</xdr:rowOff>
        </xdr:from>
        <xdr:to>
          <xdr:col>6</xdr:col>
          <xdr:colOff>323850</xdr:colOff>
          <xdr:row>94</xdr:row>
          <xdr:rowOff>0</xdr:rowOff>
        </xdr:to>
        <xdr:sp macro="" textlink="">
          <xdr:nvSpPr>
            <xdr:cNvPr id="18609" name="Check Box 177" hidden="1">
              <a:extLst>
                <a:ext uri="{63B3BB69-23CF-44E3-9099-C40C66FF867C}">
                  <a14:compatExt spid="_x0000_s18609"/>
                </a:ext>
                <a:ext uri="{FF2B5EF4-FFF2-40B4-BE49-F238E27FC236}">
                  <a16:creationId xmlns:a16="http://schemas.microsoft.com/office/drawing/2014/main" id="{00000000-0008-0000-0300-0000B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97</xdr:row>
          <xdr:rowOff>19050</xdr:rowOff>
        </xdr:from>
        <xdr:to>
          <xdr:col>6</xdr:col>
          <xdr:colOff>323850</xdr:colOff>
          <xdr:row>98</xdr:row>
          <xdr:rowOff>19050</xdr:rowOff>
        </xdr:to>
        <xdr:sp macro="" textlink="">
          <xdr:nvSpPr>
            <xdr:cNvPr id="18615" name="Check Box 183" hidden="1">
              <a:extLst>
                <a:ext uri="{63B3BB69-23CF-44E3-9099-C40C66FF867C}">
                  <a14:compatExt spid="_x0000_s18615"/>
                </a:ext>
                <a:ext uri="{FF2B5EF4-FFF2-40B4-BE49-F238E27FC236}">
                  <a16:creationId xmlns:a16="http://schemas.microsoft.com/office/drawing/2014/main" id="{00000000-0008-0000-0300-0000B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97</xdr:row>
          <xdr:rowOff>19050</xdr:rowOff>
        </xdr:from>
        <xdr:to>
          <xdr:col>6</xdr:col>
          <xdr:colOff>323850</xdr:colOff>
          <xdr:row>98</xdr:row>
          <xdr:rowOff>19050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99</xdr:row>
          <xdr:rowOff>19050</xdr:rowOff>
        </xdr:from>
        <xdr:to>
          <xdr:col>6</xdr:col>
          <xdr:colOff>323850</xdr:colOff>
          <xdr:row>100</xdr:row>
          <xdr:rowOff>19050</xdr:rowOff>
        </xdr:to>
        <xdr:sp macro="" textlink="">
          <xdr:nvSpPr>
            <xdr:cNvPr id="18617" name="Check Box 185" hidden="1">
              <a:extLst>
                <a:ext uri="{63B3BB69-23CF-44E3-9099-C40C66FF867C}">
                  <a14:compatExt spid="_x0000_s18617"/>
                </a:ext>
                <a:ext uri="{FF2B5EF4-FFF2-40B4-BE49-F238E27FC236}">
                  <a16:creationId xmlns:a16="http://schemas.microsoft.com/office/drawing/2014/main" id="{00000000-0008-0000-0300-0000B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99</xdr:row>
          <xdr:rowOff>19050</xdr:rowOff>
        </xdr:from>
        <xdr:to>
          <xdr:col>6</xdr:col>
          <xdr:colOff>323850</xdr:colOff>
          <xdr:row>100</xdr:row>
          <xdr:rowOff>19050</xdr:rowOff>
        </xdr:to>
        <xdr:sp macro="" textlink="">
          <xdr:nvSpPr>
            <xdr:cNvPr id="18618" name="Check Box 186" hidden="1">
              <a:extLst>
                <a:ext uri="{63B3BB69-23CF-44E3-9099-C40C66FF867C}">
                  <a14:compatExt spid="_x0000_s18618"/>
                </a:ext>
                <a:ext uri="{FF2B5EF4-FFF2-40B4-BE49-F238E27FC236}">
                  <a16:creationId xmlns:a16="http://schemas.microsoft.com/office/drawing/2014/main" id="{00000000-0008-0000-0300-0000B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98</xdr:row>
          <xdr:rowOff>19050</xdr:rowOff>
        </xdr:from>
        <xdr:to>
          <xdr:col>6</xdr:col>
          <xdr:colOff>323850</xdr:colOff>
          <xdr:row>99</xdr:row>
          <xdr:rowOff>19050</xdr:rowOff>
        </xdr:to>
        <xdr:sp macro="" textlink="">
          <xdr:nvSpPr>
            <xdr:cNvPr id="18619" name="Check Box 187" hidden="1">
              <a:extLst>
                <a:ext uri="{63B3BB69-23CF-44E3-9099-C40C66FF867C}">
                  <a14:compatExt spid="_x0000_s18619"/>
                </a:ext>
                <a:ext uri="{FF2B5EF4-FFF2-40B4-BE49-F238E27FC236}">
                  <a16:creationId xmlns:a16="http://schemas.microsoft.com/office/drawing/2014/main" id="{00000000-0008-0000-0300-0000B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98</xdr:row>
          <xdr:rowOff>19050</xdr:rowOff>
        </xdr:from>
        <xdr:to>
          <xdr:col>6</xdr:col>
          <xdr:colOff>323850</xdr:colOff>
          <xdr:row>99</xdr:row>
          <xdr:rowOff>19050</xdr:rowOff>
        </xdr:to>
        <xdr:sp macro="" textlink="">
          <xdr:nvSpPr>
            <xdr:cNvPr id="18620" name="Check Box 188" hidden="1">
              <a:extLst>
                <a:ext uri="{63B3BB69-23CF-44E3-9099-C40C66FF867C}">
                  <a14:compatExt spid="_x0000_s18620"/>
                </a:ext>
                <a:ext uri="{FF2B5EF4-FFF2-40B4-BE49-F238E27FC236}">
                  <a16:creationId xmlns:a16="http://schemas.microsoft.com/office/drawing/2014/main" id="{00000000-0008-0000-0300-0000B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101</xdr:row>
          <xdr:rowOff>19050</xdr:rowOff>
        </xdr:from>
        <xdr:to>
          <xdr:col>6</xdr:col>
          <xdr:colOff>323850</xdr:colOff>
          <xdr:row>102</xdr:row>
          <xdr:rowOff>19050</xdr:rowOff>
        </xdr:to>
        <xdr:sp macro="" textlink="">
          <xdr:nvSpPr>
            <xdr:cNvPr id="18621" name="Check Box 189" hidden="1">
              <a:extLst>
                <a:ext uri="{63B3BB69-23CF-44E3-9099-C40C66FF867C}">
                  <a14:compatExt spid="_x0000_s18621"/>
                </a:ext>
                <a:ext uri="{FF2B5EF4-FFF2-40B4-BE49-F238E27FC236}">
                  <a16:creationId xmlns:a16="http://schemas.microsoft.com/office/drawing/2014/main" id="{00000000-0008-0000-0300-0000B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102</xdr:row>
          <xdr:rowOff>19050</xdr:rowOff>
        </xdr:from>
        <xdr:to>
          <xdr:col>6</xdr:col>
          <xdr:colOff>323850</xdr:colOff>
          <xdr:row>103</xdr:row>
          <xdr:rowOff>19050</xdr:rowOff>
        </xdr:to>
        <xdr:sp macro="" textlink="">
          <xdr:nvSpPr>
            <xdr:cNvPr id="18623" name="Check Box 191" hidden="1">
              <a:extLst>
                <a:ext uri="{63B3BB69-23CF-44E3-9099-C40C66FF867C}">
                  <a14:compatExt spid="_x0000_s18623"/>
                </a:ext>
                <a:ext uri="{FF2B5EF4-FFF2-40B4-BE49-F238E27FC236}">
                  <a16:creationId xmlns:a16="http://schemas.microsoft.com/office/drawing/2014/main" id="{00000000-0008-0000-0300-0000B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102</xdr:row>
          <xdr:rowOff>19050</xdr:rowOff>
        </xdr:from>
        <xdr:to>
          <xdr:col>6</xdr:col>
          <xdr:colOff>323850</xdr:colOff>
          <xdr:row>103</xdr:row>
          <xdr:rowOff>19050</xdr:rowOff>
        </xdr:to>
        <xdr:sp macro="" textlink="">
          <xdr:nvSpPr>
            <xdr:cNvPr id="18624" name="Check Box 192" hidden="1">
              <a:extLst>
                <a:ext uri="{63B3BB69-23CF-44E3-9099-C40C66FF867C}">
                  <a14:compatExt spid="_x0000_s18624"/>
                </a:ext>
                <a:ext uri="{FF2B5EF4-FFF2-40B4-BE49-F238E27FC236}">
                  <a16:creationId xmlns:a16="http://schemas.microsoft.com/office/drawing/2014/main" id="{00000000-0008-0000-0300-0000C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103</xdr:row>
          <xdr:rowOff>19050</xdr:rowOff>
        </xdr:from>
        <xdr:to>
          <xdr:col>6</xdr:col>
          <xdr:colOff>323850</xdr:colOff>
          <xdr:row>104</xdr:row>
          <xdr:rowOff>19050</xdr:rowOff>
        </xdr:to>
        <xdr:sp macro="" textlink="">
          <xdr:nvSpPr>
            <xdr:cNvPr id="18625" name="Check Box 193" hidden="1">
              <a:extLst>
                <a:ext uri="{63B3BB69-23CF-44E3-9099-C40C66FF867C}">
                  <a14:compatExt spid="_x0000_s18625"/>
                </a:ext>
                <a:ext uri="{FF2B5EF4-FFF2-40B4-BE49-F238E27FC236}">
                  <a16:creationId xmlns:a16="http://schemas.microsoft.com/office/drawing/2014/main" id="{00000000-0008-0000-0300-0000C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103</xdr:row>
          <xdr:rowOff>19050</xdr:rowOff>
        </xdr:from>
        <xdr:to>
          <xdr:col>6</xdr:col>
          <xdr:colOff>323850</xdr:colOff>
          <xdr:row>104</xdr:row>
          <xdr:rowOff>19050</xdr:rowOff>
        </xdr:to>
        <xdr:sp macro="" textlink="">
          <xdr:nvSpPr>
            <xdr:cNvPr id="18626" name="Check Box 194" hidden="1">
              <a:extLst>
                <a:ext uri="{63B3BB69-23CF-44E3-9099-C40C66FF867C}">
                  <a14:compatExt spid="_x0000_s18626"/>
                </a:ext>
                <a:ext uri="{FF2B5EF4-FFF2-40B4-BE49-F238E27FC236}">
                  <a16:creationId xmlns:a16="http://schemas.microsoft.com/office/drawing/2014/main" id="{00000000-0008-0000-0300-0000C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104</xdr:row>
          <xdr:rowOff>19050</xdr:rowOff>
        </xdr:from>
        <xdr:to>
          <xdr:col>6</xdr:col>
          <xdr:colOff>323850</xdr:colOff>
          <xdr:row>105</xdr:row>
          <xdr:rowOff>19050</xdr:rowOff>
        </xdr:to>
        <xdr:sp macro="" textlink="">
          <xdr:nvSpPr>
            <xdr:cNvPr id="18627" name="Check Box 195" hidden="1">
              <a:extLst>
                <a:ext uri="{63B3BB69-23CF-44E3-9099-C40C66FF867C}">
                  <a14:compatExt spid="_x0000_s18627"/>
                </a:ext>
                <a:ext uri="{FF2B5EF4-FFF2-40B4-BE49-F238E27FC236}">
                  <a16:creationId xmlns:a16="http://schemas.microsoft.com/office/drawing/2014/main" id="{00000000-0008-0000-0300-0000C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104</xdr:row>
          <xdr:rowOff>19050</xdr:rowOff>
        </xdr:from>
        <xdr:to>
          <xdr:col>6</xdr:col>
          <xdr:colOff>323850</xdr:colOff>
          <xdr:row>105</xdr:row>
          <xdr:rowOff>19050</xdr:rowOff>
        </xdr:to>
        <xdr:sp macro="" textlink="">
          <xdr:nvSpPr>
            <xdr:cNvPr id="18628" name="Check Box 196" hidden="1">
              <a:extLst>
                <a:ext uri="{63B3BB69-23CF-44E3-9099-C40C66FF867C}">
                  <a14:compatExt spid="_x0000_s18628"/>
                </a:ext>
                <a:ext uri="{FF2B5EF4-FFF2-40B4-BE49-F238E27FC236}">
                  <a16:creationId xmlns:a16="http://schemas.microsoft.com/office/drawing/2014/main" id="{00000000-0008-0000-0300-0000C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105</xdr:row>
          <xdr:rowOff>19050</xdr:rowOff>
        </xdr:from>
        <xdr:to>
          <xdr:col>6</xdr:col>
          <xdr:colOff>323850</xdr:colOff>
          <xdr:row>106</xdr:row>
          <xdr:rowOff>19050</xdr:rowOff>
        </xdr:to>
        <xdr:sp macro="" textlink="">
          <xdr:nvSpPr>
            <xdr:cNvPr id="18629" name="Check Box 197" hidden="1">
              <a:extLst>
                <a:ext uri="{63B3BB69-23CF-44E3-9099-C40C66FF867C}">
                  <a14:compatExt spid="_x0000_s18629"/>
                </a:ext>
                <a:ext uri="{FF2B5EF4-FFF2-40B4-BE49-F238E27FC236}">
                  <a16:creationId xmlns:a16="http://schemas.microsoft.com/office/drawing/2014/main" id="{00000000-0008-0000-0300-0000C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105</xdr:row>
          <xdr:rowOff>19050</xdr:rowOff>
        </xdr:from>
        <xdr:to>
          <xdr:col>6</xdr:col>
          <xdr:colOff>323850</xdr:colOff>
          <xdr:row>106</xdr:row>
          <xdr:rowOff>19050</xdr:rowOff>
        </xdr:to>
        <xdr:sp macro="" textlink="">
          <xdr:nvSpPr>
            <xdr:cNvPr id="18630" name="Check Box 198" hidden="1">
              <a:extLst>
                <a:ext uri="{63B3BB69-23CF-44E3-9099-C40C66FF867C}">
                  <a14:compatExt spid="_x0000_s18630"/>
                </a:ext>
                <a:ext uri="{FF2B5EF4-FFF2-40B4-BE49-F238E27FC236}">
                  <a16:creationId xmlns:a16="http://schemas.microsoft.com/office/drawing/2014/main" id="{00000000-0008-0000-0300-0000C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323850</xdr:colOff>
          <xdr:row>69</xdr:row>
          <xdr:rowOff>19050</xdr:rowOff>
        </xdr:to>
        <xdr:sp macro="" textlink="">
          <xdr:nvSpPr>
            <xdr:cNvPr id="18651" name="Check Box 219" hidden="1">
              <a:extLst>
                <a:ext uri="{63B3BB69-23CF-44E3-9099-C40C66FF867C}">
                  <a14:compatExt spid="_x0000_s18651"/>
                </a:ext>
                <a:ext uri="{FF2B5EF4-FFF2-40B4-BE49-F238E27FC236}">
                  <a16:creationId xmlns:a16="http://schemas.microsoft.com/office/drawing/2014/main" id="{00000000-0008-0000-0300-0000D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68</xdr:row>
          <xdr:rowOff>19050</xdr:rowOff>
        </xdr:from>
        <xdr:to>
          <xdr:col>6</xdr:col>
          <xdr:colOff>323850</xdr:colOff>
          <xdr:row>69</xdr:row>
          <xdr:rowOff>19050</xdr:rowOff>
        </xdr:to>
        <xdr:sp macro="" textlink="">
          <xdr:nvSpPr>
            <xdr:cNvPr id="18652" name="Check Box 220" hidden="1">
              <a:extLst>
                <a:ext uri="{63B3BB69-23CF-44E3-9099-C40C66FF867C}">
                  <a14:compatExt spid="_x0000_s18652"/>
                </a:ext>
                <a:ext uri="{FF2B5EF4-FFF2-40B4-BE49-F238E27FC236}">
                  <a16:creationId xmlns:a16="http://schemas.microsoft.com/office/drawing/2014/main" id="{00000000-0008-0000-0300-0000D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94</xdr:row>
          <xdr:rowOff>0</xdr:rowOff>
        </xdr:from>
        <xdr:to>
          <xdr:col>6</xdr:col>
          <xdr:colOff>323850</xdr:colOff>
          <xdr:row>95</xdr:row>
          <xdr:rowOff>0</xdr:rowOff>
        </xdr:to>
        <xdr:sp macro="" textlink="">
          <xdr:nvSpPr>
            <xdr:cNvPr id="18655" name="Check Box 223" hidden="1">
              <a:extLst>
                <a:ext uri="{63B3BB69-23CF-44E3-9099-C40C66FF867C}">
                  <a14:compatExt spid="_x0000_s18655"/>
                </a:ext>
                <a:ext uri="{FF2B5EF4-FFF2-40B4-BE49-F238E27FC236}">
                  <a16:creationId xmlns:a16="http://schemas.microsoft.com/office/drawing/2014/main" id="{00000000-0008-0000-0300-0000D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110</xdr:row>
          <xdr:rowOff>0</xdr:rowOff>
        </xdr:from>
        <xdr:to>
          <xdr:col>6</xdr:col>
          <xdr:colOff>323850</xdr:colOff>
          <xdr:row>111</xdr:row>
          <xdr:rowOff>0</xdr:rowOff>
        </xdr:to>
        <xdr:sp macro="" textlink="">
          <xdr:nvSpPr>
            <xdr:cNvPr id="18656" name="Check Box 224" hidden="1">
              <a:extLst>
                <a:ext uri="{63B3BB69-23CF-44E3-9099-C40C66FF867C}">
                  <a14:compatExt spid="_x0000_s18656"/>
                </a:ext>
                <a:ext uri="{FF2B5EF4-FFF2-40B4-BE49-F238E27FC236}">
                  <a16:creationId xmlns:a16="http://schemas.microsoft.com/office/drawing/2014/main" id="{00000000-0008-0000-0300-0000E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323850</xdr:colOff>
          <xdr:row>73</xdr:row>
          <xdr:rowOff>19050</xdr:rowOff>
        </xdr:to>
        <xdr:sp macro="" textlink="">
          <xdr:nvSpPr>
            <xdr:cNvPr id="18667" name="Check Box 235" hidden="1">
              <a:extLst>
                <a:ext uri="{63B3BB69-23CF-44E3-9099-C40C66FF867C}">
                  <a14:compatExt spid="_x0000_s18667"/>
                </a:ext>
                <a:ext uri="{FF2B5EF4-FFF2-40B4-BE49-F238E27FC236}">
                  <a16:creationId xmlns:a16="http://schemas.microsoft.com/office/drawing/2014/main" id="{00000000-0008-0000-0300-0000E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72</xdr:row>
          <xdr:rowOff>19050</xdr:rowOff>
        </xdr:from>
        <xdr:to>
          <xdr:col>6</xdr:col>
          <xdr:colOff>323850</xdr:colOff>
          <xdr:row>73</xdr:row>
          <xdr:rowOff>19050</xdr:rowOff>
        </xdr:to>
        <xdr:sp macro="" textlink="">
          <xdr:nvSpPr>
            <xdr:cNvPr id="18668" name="Check Box 236" hidden="1">
              <a:extLst>
                <a:ext uri="{63B3BB69-23CF-44E3-9099-C40C66FF867C}">
                  <a14:compatExt spid="_x0000_s18668"/>
                </a:ext>
                <a:ext uri="{FF2B5EF4-FFF2-40B4-BE49-F238E27FC236}">
                  <a16:creationId xmlns:a16="http://schemas.microsoft.com/office/drawing/2014/main" id="{00000000-0008-0000-0300-0000E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323850</xdr:colOff>
          <xdr:row>75</xdr:row>
          <xdr:rowOff>19050</xdr:rowOff>
        </xdr:to>
        <xdr:sp macro="" textlink="">
          <xdr:nvSpPr>
            <xdr:cNvPr id="18669" name="Check Box 237" hidden="1">
              <a:extLst>
                <a:ext uri="{63B3BB69-23CF-44E3-9099-C40C66FF867C}">
                  <a14:compatExt spid="_x0000_s18669"/>
                </a:ext>
                <a:ext uri="{FF2B5EF4-FFF2-40B4-BE49-F238E27FC236}">
                  <a16:creationId xmlns:a16="http://schemas.microsoft.com/office/drawing/2014/main" id="{00000000-0008-0000-0300-0000E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74</xdr:row>
          <xdr:rowOff>19050</xdr:rowOff>
        </xdr:from>
        <xdr:to>
          <xdr:col>6</xdr:col>
          <xdr:colOff>323850</xdr:colOff>
          <xdr:row>75</xdr:row>
          <xdr:rowOff>19050</xdr:rowOff>
        </xdr:to>
        <xdr:sp macro="" textlink="">
          <xdr:nvSpPr>
            <xdr:cNvPr id="18670" name="Check Box 238" hidden="1">
              <a:extLst>
                <a:ext uri="{63B3BB69-23CF-44E3-9099-C40C66FF867C}">
                  <a14:compatExt spid="_x0000_s18670"/>
                </a:ext>
                <a:ext uri="{FF2B5EF4-FFF2-40B4-BE49-F238E27FC236}">
                  <a16:creationId xmlns:a16="http://schemas.microsoft.com/office/drawing/2014/main" id="{00000000-0008-0000-0300-0000E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323850</xdr:colOff>
          <xdr:row>74</xdr:row>
          <xdr:rowOff>19050</xdr:rowOff>
        </xdr:to>
        <xdr:sp macro="" textlink="">
          <xdr:nvSpPr>
            <xdr:cNvPr id="18671" name="Check Box 239" hidden="1">
              <a:extLst>
                <a:ext uri="{63B3BB69-23CF-44E3-9099-C40C66FF867C}">
                  <a14:compatExt spid="_x0000_s18671"/>
                </a:ext>
                <a:ext uri="{FF2B5EF4-FFF2-40B4-BE49-F238E27FC236}">
                  <a16:creationId xmlns:a16="http://schemas.microsoft.com/office/drawing/2014/main" id="{00000000-0008-0000-0300-0000E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73</xdr:row>
          <xdr:rowOff>19050</xdr:rowOff>
        </xdr:from>
        <xdr:to>
          <xdr:col>6</xdr:col>
          <xdr:colOff>323850</xdr:colOff>
          <xdr:row>74</xdr:row>
          <xdr:rowOff>19050</xdr:rowOff>
        </xdr:to>
        <xdr:sp macro="" textlink="">
          <xdr:nvSpPr>
            <xdr:cNvPr id="18672" name="Check Box 240" hidden="1">
              <a:extLst>
                <a:ext uri="{63B3BB69-23CF-44E3-9099-C40C66FF867C}">
                  <a14:compatExt spid="_x0000_s18672"/>
                </a:ext>
                <a:ext uri="{FF2B5EF4-FFF2-40B4-BE49-F238E27FC236}">
                  <a16:creationId xmlns:a16="http://schemas.microsoft.com/office/drawing/2014/main" id="{00000000-0008-0000-0300-0000F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323850</xdr:colOff>
          <xdr:row>77</xdr:row>
          <xdr:rowOff>19050</xdr:rowOff>
        </xdr:to>
        <xdr:sp macro="" textlink="">
          <xdr:nvSpPr>
            <xdr:cNvPr id="18673" name="Check Box 241" hidden="1">
              <a:extLst>
                <a:ext uri="{63B3BB69-23CF-44E3-9099-C40C66FF867C}">
                  <a14:compatExt spid="_x0000_s18673"/>
                </a:ext>
                <a:ext uri="{FF2B5EF4-FFF2-40B4-BE49-F238E27FC236}">
                  <a16:creationId xmlns:a16="http://schemas.microsoft.com/office/drawing/2014/main" id="{00000000-0008-0000-0300-0000F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76</xdr:row>
          <xdr:rowOff>19050</xdr:rowOff>
        </xdr:from>
        <xdr:to>
          <xdr:col>6</xdr:col>
          <xdr:colOff>323850</xdr:colOff>
          <xdr:row>77</xdr:row>
          <xdr:rowOff>19050</xdr:rowOff>
        </xdr:to>
        <xdr:sp macro="" textlink="">
          <xdr:nvSpPr>
            <xdr:cNvPr id="18674" name="Check Box 242" hidden="1">
              <a:extLst>
                <a:ext uri="{63B3BB69-23CF-44E3-9099-C40C66FF867C}">
                  <a14:compatExt spid="_x0000_s18674"/>
                </a:ext>
                <a:ext uri="{FF2B5EF4-FFF2-40B4-BE49-F238E27FC236}">
                  <a16:creationId xmlns:a16="http://schemas.microsoft.com/office/drawing/2014/main" id="{00000000-0008-0000-0300-0000F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323850</xdr:colOff>
          <xdr:row>78</xdr:row>
          <xdr:rowOff>19050</xdr:rowOff>
        </xdr:to>
        <xdr:sp macro="" textlink="">
          <xdr:nvSpPr>
            <xdr:cNvPr id="18675" name="Check Box 243" hidden="1">
              <a:extLst>
                <a:ext uri="{63B3BB69-23CF-44E3-9099-C40C66FF867C}">
                  <a14:compatExt spid="_x0000_s18675"/>
                </a:ext>
                <a:ext uri="{FF2B5EF4-FFF2-40B4-BE49-F238E27FC236}">
                  <a16:creationId xmlns:a16="http://schemas.microsoft.com/office/drawing/2014/main" id="{00000000-0008-0000-0300-0000F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77</xdr:row>
          <xdr:rowOff>19050</xdr:rowOff>
        </xdr:from>
        <xdr:to>
          <xdr:col>6</xdr:col>
          <xdr:colOff>323850</xdr:colOff>
          <xdr:row>78</xdr:row>
          <xdr:rowOff>19050</xdr:rowOff>
        </xdr:to>
        <xdr:sp macro="" textlink="">
          <xdr:nvSpPr>
            <xdr:cNvPr id="18676" name="Check Box 244" hidden="1">
              <a:extLst>
                <a:ext uri="{63B3BB69-23CF-44E3-9099-C40C66FF867C}">
                  <a14:compatExt spid="_x0000_s18676"/>
                </a:ext>
                <a:ext uri="{FF2B5EF4-FFF2-40B4-BE49-F238E27FC236}">
                  <a16:creationId xmlns:a16="http://schemas.microsoft.com/office/drawing/2014/main" id="{00000000-0008-0000-0300-0000F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323850</xdr:colOff>
          <xdr:row>79</xdr:row>
          <xdr:rowOff>19050</xdr:rowOff>
        </xdr:to>
        <xdr:sp macro="" textlink="">
          <xdr:nvSpPr>
            <xdr:cNvPr id="18677" name="Check Box 245" hidden="1">
              <a:extLst>
                <a:ext uri="{63B3BB69-23CF-44E3-9099-C40C66FF867C}">
                  <a14:compatExt spid="_x0000_s18677"/>
                </a:ext>
                <a:ext uri="{FF2B5EF4-FFF2-40B4-BE49-F238E27FC236}">
                  <a16:creationId xmlns:a16="http://schemas.microsoft.com/office/drawing/2014/main" id="{00000000-0008-0000-0300-0000F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78</xdr:row>
          <xdr:rowOff>19050</xdr:rowOff>
        </xdr:from>
        <xdr:to>
          <xdr:col>6</xdr:col>
          <xdr:colOff>323850</xdr:colOff>
          <xdr:row>79</xdr:row>
          <xdr:rowOff>19050</xdr:rowOff>
        </xdr:to>
        <xdr:sp macro="" textlink="">
          <xdr:nvSpPr>
            <xdr:cNvPr id="18678" name="Check Box 246" hidden="1">
              <a:extLst>
                <a:ext uri="{63B3BB69-23CF-44E3-9099-C40C66FF867C}">
                  <a14:compatExt spid="_x0000_s18678"/>
                </a:ext>
                <a:ext uri="{FF2B5EF4-FFF2-40B4-BE49-F238E27FC236}">
                  <a16:creationId xmlns:a16="http://schemas.microsoft.com/office/drawing/2014/main" id="{00000000-0008-0000-0300-0000F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0</xdr:colOff>
      <xdr:row>0</xdr:row>
      <xdr:rowOff>0</xdr:rowOff>
    </xdr:from>
    <xdr:to>
      <xdr:col>1</xdr:col>
      <xdr:colOff>5625</xdr:colOff>
      <xdr:row>2</xdr:row>
      <xdr:rowOff>262800</xdr:rowOff>
    </xdr:to>
    <xdr:pic>
      <xdr:nvPicPr>
        <xdr:cNvPr id="140" name="Picture 139">
          <a:extLst>
            <a:ext uri="{FF2B5EF4-FFF2-40B4-BE49-F238E27FC236}">
              <a16:creationId xmlns:a16="http://schemas.microsoft.com/office/drawing/2014/main" id="{00000000-0008-0000-0300-00008C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76200</xdr:colOff>
          <xdr:row>38</xdr:row>
          <xdr:rowOff>19050</xdr:rowOff>
        </xdr:from>
        <xdr:to>
          <xdr:col>6</xdr:col>
          <xdr:colOff>323850</xdr:colOff>
          <xdr:row>39</xdr:row>
          <xdr:rowOff>19050</xdr:rowOff>
        </xdr:to>
        <xdr:sp macro="" textlink="">
          <xdr:nvSpPr>
            <xdr:cNvPr id="18695" name="Check Box 263" hidden="1">
              <a:extLst>
                <a:ext uri="{63B3BB69-23CF-44E3-9099-C40C66FF867C}">
                  <a14:compatExt spid="_x0000_s18695"/>
                </a:ext>
                <a:ext uri="{FF2B5EF4-FFF2-40B4-BE49-F238E27FC236}">
                  <a16:creationId xmlns:a16="http://schemas.microsoft.com/office/drawing/2014/main" id="{00000000-0008-0000-0300-00000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19050</xdr:rowOff>
        </xdr:from>
        <xdr:to>
          <xdr:col>6</xdr:col>
          <xdr:colOff>323850</xdr:colOff>
          <xdr:row>39</xdr:row>
          <xdr:rowOff>19050</xdr:rowOff>
        </xdr:to>
        <xdr:sp macro="" textlink="">
          <xdr:nvSpPr>
            <xdr:cNvPr id="18696" name="Check Box 264" hidden="1">
              <a:extLst>
                <a:ext uri="{63B3BB69-23CF-44E3-9099-C40C66FF867C}">
                  <a14:compatExt spid="_x0000_s18696"/>
                </a:ext>
                <a:ext uri="{FF2B5EF4-FFF2-40B4-BE49-F238E27FC236}">
                  <a16:creationId xmlns:a16="http://schemas.microsoft.com/office/drawing/2014/main" id="{00000000-0008-0000-0300-00000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19050</xdr:rowOff>
        </xdr:from>
        <xdr:to>
          <xdr:col>6</xdr:col>
          <xdr:colOff>323850</xdr:colOff>
          <xdr:row>53</xdr:row>
          <xdr:rowOff>19050</xdr:rowOff>
        </xdr:to>
        <xdr:sp macro="" textlink="">
          <xdr:nvSpPr>
            <xdr:cNvPr id="18697" name="Check Box 265" hidden="1">
              <a:extLst>
                <a:ext uri="{63B3BB69-23CF-44E3-9099-C40C66FF867C}">
                  <a14:compatExt spid="_x0000_s18697"/>
                </a:ext>
                <a:ext uri="{FF2B5EF4-FFF2-40B4-BE49-F238E27FC236}">
                  <a16:creationId xmlns:a16="http://schemas.microsoft.com/office/drawing/2014/main" id="{00000000-0008-0000-0300-00000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19050</xdr:rowOff>
        </xdr:from>
        <xdr:to>
          <xdr:col>6</xdr:col>
          <xdr:colOff>323850</xdr:colOff>
          <xdr:row>53</xdr:row>
          <xdr:rowOff>19050</xdr:rowOff>
        </xdr:to>
        <xdr:sp macro="" textlink="">
          <xdr:nvSpPr>
            <xdr:cNvPr id="18698" name="Check Box 266" hidden="1">
              <a:extLst>
                <a:ext uri="{63B3BB69-23CF-44E3-9099-C40C66FF867C}">
                  <a14:compatExt spid="_x0000_s18698"/>
                </a:ext>
                <a:ext uri="{FF2B5EF4-FFF2-40B4-BE49-F238E27FC236}">
                  <a16:creationId xmlns:a16="http://schemas.microsoft.com/office/drawing/2014/main" id="{00000000-0008-0000-0300-00000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323850</xdr:colOff>
          <xdr:row>70</xdr:row>
          <xdr:rowOff>19050</xdr:rowOff>
        </xdr:to>
        <xdr:sp macro="" textlink="">
          <xdr:nvSpPr>
            <xdr:cNvPr id="18699" name="Check Box 267" hidden="1">
              <a:extLst>
                <a:ext uri="{63B3BB69-23CF-44E3-9099-C40C66FF867C}">
                  <a14:compatExt spid="_x0000_s18699"/>
                </a:ext>
                <a:ext uri="{FF2B5EF4-FFF2-40B4-BE49-F238E27FC236}">
                  <a16:creationId xmlns:a16="http://schemas.microsoft.com/office/drawing/2014/main" id="{00000000-0008-0000-0300-00000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69</xdr:row>
          <xdr:rowOff>19050</xdr:rowOff>
        </xdr:from>
        <xdr:to>
          <xdr:col>6</xdr:col>
          <xdr:colOff>323850</xdr:colOff>
          <xdr:row>70</xdr:row>
          <xdr:rowOff>19050</xdr:rowOff>
        </xdr:to>
        <xdr:sp macro="" textlink="">
          <xdr:nvSpPr>
            <xdr:cNvPr id="18700" name="Check Box 268" hidden="1">
              <a:extLst>
                <a:ext uri="{63B3BB69-23CF-44E3-9099-C40C66FF867C}">
                  <a14:compatExt spid="_x0000_s18700"/>
                </a:ext>
                <a:ext uri="{FF2B5EF4-FFF2-40B4-BE49-F238E27FC236}">
                  <a16:creationId xmlns:a16="http://schemas.microsoft.com/office/drawing/2014/main" id="{00000000-0008-0000-0300-00000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323850</xdr:colOff>
          <xdr:row>80</xdr:row>
          <xdr:rowOff>19050</xdr:rowOff>
        </xdr:to>
        <xdr:sp macro="" textlink="">
          <xdr:nvSpPr>
            <xdr:cNvPr id="18701" name="Check Box 269" hidden="1">
              <a:extLst>
                <a:ext uri="{63B3BB69-23CF-44E3-9099-C40C66FF867C}">
                  <a14:compatExt spid="_x0000_s18701"/>
                </a:ext>
                <a:ext uri="{FF2B5EF4-FFF2-40B4-BE49-F238E27FC236}">
                  <a16:creationId xmlns:a16="http://schemas.microsoft.com/office/drawing/2014/main" id="{00000000-0008-0000-0300-00000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79</xdr:row>
          <xdr:rowOff>19050</xdr:rowOff>
        </xdr:from>
        <xdr:to>
          <xdr:col>6</xdr:col>
          <xdr:colOff>323850</xdr:colOff>
          <xdr:row>80</xdr:row>
          <xdr:rowOff>19050</xdr:rowOff>
        </xdr:to>
        <xdr:sp macro="" textlink="">
          <xdr:nvSpPr>
            <xdr:cNvPr id="18702" name="Check Box 270" hidden="1">
              <a:extLst>
                <a:ext uri="{63B3BB69-23CF-44E3-9099-C40C66FF867C}">
                  <a14:compatExt spid="_x0000_s18702"/>
                </a:ext>
                <a:ext uri="{FF2B5EF4-FFF2-40B4-BE49-F238E27FC236}">
                  <a16:creationId xmlns:a16="http://schemas.microsoft.com/office/drawing/2014/main" id="{00000000-0008-0000-0300-00000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106</xdr:row>
          <xdr:rowOff>19050</xdr:rowOff>
        </xdr:from>
        <xdr:to>
          <xdr:col>6</xdr:col>
          <xdr:colOff>323850</xdr:colOff>
          <xdr:row>107</xdr:row>
          <xdr:rowOff>19050</xdr:rowOff>
        </xdr:to>
        <xdr:sp macro="" textlink="">
          <xdr:nvSpPr>
            <xdr:cNvPr id="18703" name="Check Box 271" hidden="1">
              <a:extLst>
                <a:ext uri="{63B3BB69-23CF-44E3-9099-C40C66FF867C}">
                  <a14:compatExt spid="_x0000_s18703"/>
                </a:ext>
                <a:ext uri="{FF2B5EF4-FFF2-40B4-BE49-F238E27FC236}">
                  <a16:creationId xmlns:a16="http://schemas.microsoft.com/office/drawing/2014/main" id="{00000000-0008-0000-0300-00000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106</xdr:row>
          <xdr:rowOff>19050</xdr:rowOff>
        </xdr:from>
        <xdr:to>
          <xdr:col>6</xdr:col>
          <xdr:colOff>323850</xdr:colOff>
          <xdr:row>107</xdr:row>
          <xdr:rowOff>19050</xdr:rowOff>
        </xdr:to>
        <xdr:sp macro="" textlink="">
          <xdr:nvSpPr>
            <xdr:cNvPr id="18704" name="Check Box 272" hidden="1">
              <a:extLst>
                <a:ext uri="{63B3BB69-23CF-44E3-9099-C40C66FF867C}">
                  <a14:compatExt spid="_x0000_s18704"/>
                </a:ext>
                <a:ext uri="{FF2B5EF4-FFF2-40B4-BE49-F238E27FC236}">
                  <a16:creationId xmlns:a16="http://schemas.microsoft.com/office/drawing/2014/main" id="{00000000-0008-0000-0300-00001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107</xdr:row>
          <xdr:rowOff>19050</xdr:rowOff>
        </xdr:from>
        <xdr:to>
          <xdr:col>6</xdr:col>
          <xdr:colOff>323850</xdr:colOff>
          <xdr:row>108</xdr:row>
          <xdr:rowOff>19050</xdr:rowOff>
        </xdr:to>
        <xdr:sp macro="" textlink="">
          <xdr:nvSpPr>
            <xdr:cNvPr id="18705" name="Check Box 273" hidden="1">
              <a:extLst>
                <a:ext uri="{63B3BB69-23CF-44E3-9099-C40C66FF867C}">
                  <a14:compatExt spid="_x0000_s18705"/>
                </a:ext>
                <a:ext uri="{FF2B5EF4-FFF2-40B4-BE49-F238E27FC236}">
                  <a16:creationId xmlns:a16="http://schemas.microsoft.com/office/drawing/2014/main" id="{00000000-0008-0000-0300-00001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107</xdr:row>
          <xdr:rowOff>19050</xdr:rowOff>
        </xdr:from>
        <xdr:to>
          <xdr:col>6</xdr:col>
          <xdr:colOff>323850</xdr:colOff>
          <xdr:row>108</xdr:row>
          <xdr:rowOff>19050</xdr:rowOff>
        </xdr:to>
        <xdr:sp macro="" textlink="">
          <xdr:nvSpPr>
            <xdr:cNvPr id="18706" name="Check Box 274" hidden="1">
              <a:extLst>
                <a:ext uri="{63B3BB69-23CF-44E3-9099-C40C66FF867C}">
                  <a14:compatExt spid="_x0000_s18706"/>
                </a:ext>
                <a:ext uri="{FF2B5EF4-FFF2-40B4-BE49-F238E27FC236}">
                  <a16:creationId xmlns:a16="http://schemas.microsoft.com/office/drawing/2014/main" id="{00000000-0008-0000-0300-00001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108</xdr:row>
          <xdr:rowOff>19050</xdr:rowOff>
        </xdr:from>
        <xdr:to>
          <xdr:col>6</xdr:col>
          <xdr:colOff>323850</xdr:colOff>
          <xdr:row>109</xdr:row>
          <xdr:rowOff>19050</xdr:rowOff>
        </xdr:to>
        <xdr:sp macro="" textlink="">
          <xdr:nvSpPr>
            <xdr:cNvPr id="18707" name="Check Box 275" hidden="1">
              <a:extLst>
                <a:ext uri="{63B3BB69-23CF-44E3-9099-C40C66FF867C}">
                  <a14:compatExt spid="_x0000_s18707"/>
                </a:ext>
                <a:ext uri="{FF2B5EF4-FFF2-40B4-BE49-F238E27FC236}">
                  <a16:creationId xmlns:a16="http://schemas.microsoft.com/office/drawing/2014/main" id="{00000000-0008-0000-0300-00001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108</xdr:row>
          <xdr:rowOff>19050</xdr:rowOff>
        </xdr:from>
        <xdr:to>
          <xdr:col>6</xdr:col>
          <xdr:colOff>323850</xdr:colOff>
          <xdr:row>109</xdr:row>
          <xdr:rowOff>19050</xdr:rowOff>
        </xdr:to>
        <xdr:sp macro="" textlink="">
          <xdr:nvSpPr>
            <xdr:cNvPr id="18708" name="Check Box 276" hidden="1">
              <a:extLst>
                <a:ext uri="{63B3BB69-23CF-44E3-9099-C40C66FF867C}">
                  <a14:compatExt spid="_x0000_s18708"/>
                </a:ext>
                <a:ext uri="{FF2B5EF4-FFF2-40B4-BE49-F238E27FC236}">
                  <a16:creationId xmlns:a16="http://schemas.microsoft.com/office/drawing/2014/main" id="{00000000-0008-0000-0300-00001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19050</xdr:rowOff>
        </xdr:from>
        <xdr:to>
          <xdr:col>6</xdr:col>
          <xdr:colOff>323850</xdr:colOff>
          <xdr:row>45</xdr:row>
          <xdr:rowOff>19050</xdr:rowOff>
        </xdr:to>
        <xdr:sp macro="" textlink="">
          <xdr:nvSpPr>
            <xdr:cNvPr id="18711" name="Check Box 279" hidden="1">
              <a:extLst>
                <a:ext uri="{63B3BB69-23CF-44E3-9099-C40C66FF867C}">
                  <a14:compatExt spid="_x0000_s18711"/>
                </a:ext>
                <a:ext uri="{FF2B5EF4-FFF2-40B4-BE49-F238E27FC236}">
                  <a16:creationId xmlns:a16="http://schemas.microsoft.com/office/drawing/2014/main" id="{00000000-0008-0000-0300-00001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44</xdr:row>
          <xdr:rowOff>19050</xdr:rowOff>
        </xdr:from>
        <xdr:to>
          <xdr:col>6</xdr:col>
          <xdr:colOff>323850</xdr:colOff>
          <xdr:row>45</xdr:row>
          <xdr:rowOff>19050</xdr:rowOff>
        </xdr:to>
        <xdr:sp macro="" textlink="">
          <xdr:nvSpPr>
            <xdr:cNvPr id="18712" name="Check Box 280" hidden="1">
              <a:extLst>
                <a:ext uri="{63B3BB69-23CF-44E3-9099-C40C66FF867C}">
                  <a14:compatExt spid="_x0000_s18712"/>
                </a:ext>
                <a:ext uri="{FF2B5EF4-FFF2-40B4-BE49-F238E27FC236}">
                  <a16:creationId xmlns:a16="http://schemas.microsoft.com/office/drawing/2014/main" id="{00000000-0008-0000-0300-00001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323850</xdr:colOff>
          <xdr:row>62</xdr:row>
          <xdr:rowOff>19050</xdr:rowOff>
        </xdr:to>
        <xdr:sp macro="" textlink="">
          <xdr:nvSpPr>
            <xdr:cNvPr id="18717" name="Check Box 285" hidden="1">
              <a:extLst>
                <a:ext uri="{63B3BB69-23CF-44E3-9099-C40C66FF867C}">
                  <a14:compatExt spid="_x0000_s18717"/>
                </a:ext>
                <a:ext uri="{FF2B5EF4-FFF2-40B4-BE49-F238E27FC236}">
                  <a16:creationId xmlns:a16="http://schemas.microsoft.com/office/drawing/2014/main" id="{00000000-0008-0000-0300-00001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61</xdr:row>
          <xdr:rowOff>19050</xdr:rowOff>
        </xdr:from>
        <xdr:to>
          <xdr:col>6</xdr:col>
          <xdr:colOff>323850</xdr:colOff>
          <xdr:row>62</xdr:row>
          <xdr:rowOff>19050</xdr:rowOff>
        </xdr:to>
        <xdr:sp macro="" textlink="">
          <xdr:nvSpPr>
            <xdr:cNvPr id="18718" name="Check Box 286" hidden="1">
              <a:extLst>
                <a:ext uri="{63B3BB69-23CF-44E3-9099-C40C66FF867C}">
                  <a14:compatExt spid="_x0000_s18718"/>
                </a:ext>
                <a:ext uri="{FF2B5EF4-FFF2-40B4-BE49-F238E27FC236}">
                  <a16:creationId xmlns:a16="http://schemas.microsoft.com/office/drawing/2014/main" id="{00000000-0008-0000-0300-00001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323850</xdr:colOff>
          <xdr:row>76</xdr:row>
          <xdr:rowOff>19050</xdr:rowOff>
        </xdr:to>
        <xdr:sp macro="" textlink="">
          <xdr:nvSpPr>
            <xdr:cNvPr id="18719" name="Check Box 287" hidden="1">
              <a:extLst>
                <a:ext uri="{63B3BB69-23CF-44E3-9099-C40C66FF867C}">
                  <a14:compatExt spid="_x0000_s18719"/>
                </a:ext>
                <a:ext uri="{FF2B5EF4-FFF2-40B4-BE49-F238E27FC236}">
                  <a16:creationId xmlns:a16="http://schemas.microsoft.com/office/drawing/2014/main" id="{00000000-0008-0000-0300-00001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75</xdr:row>
          <xdr:rowOff>19050</xdr:rowOff>
        </xdr:from>
        <xdr:to>
          <xdr:col>6</xdr:col>
          <xdr:colOff>323850</xdr:colOff>
          <xdr:row>76</xdr:row>
          <xdr:rowOff>19050</xdr:rowOff>
        </xdr:to>
        <xdr:sp macro="" textlink="">
          <xdr:nvSpPr>
            <xdr:cNvPr id="18720" name="Check Box 288" hidden="1">
              <a:extLst>
                <a:ext uri="{63B3BB69-23CF-44E3-9099-C40C66FF867C}">
                  <a14:compatExt spid="_x0000_s18720"/>
                </a:ext>
                <a:ext uri="{FF2B5EF4-FFF2-40B4-BE49-F238E27FC236}">
                  <a16:creationId xmlns:a16="http://schemas.microsoft.com/office/drawing/2014/main" id="{00000000-0008-0000-0300-00002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19050</xdr:rowOff>
        </xdr:from>
        <xdr:to>
          <xdr:col>6</xdr:col>
          <xdr:colOff>323850</xdr:colOff>
          <xdr:row>29</xdr:row>
          <xdr:rowOff>19050</xdr:rowOff>
        </xdr:to>
        <xdr:sp macro="" textlink="">
          <xdr:nvSpPr>
            <xdr:cNvPr id="18721" name="Check Box 289" hidden="1">
              <a:extLst>
                <a:ext uri="{63B3BB69-23CF-44E3-9099-C40C66FF867C}">
                  <a14:compatExt spid="_x0000_s18721"/>
                </a:ext>
                <a:ext uri="{FF2B5EF4-FFF2-40B4-BE49-F238E27FC236}">
                  <a16:creationId xmlns:a16="http://schemas.microsoft.com/office/drawing/2014/main" id="{00000000-0008-0000-0300-00002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19050</xdr:rowOff>
        </xdr:from>
        <xdr:to>
          <xdr:col>6</xdr:col>
          <xdr:colOff>323850</xdr:colOff>
          <xdr:row>29</xdr:row>
          <xdr:rowOff>19050</xdr:rowOff>
        </xdr:to>
        <xdr:sp macro="" textlink="">
          <xdr:nvSpPr>
            <xdr:cNvPr id="18722" name="Check Box 290" hidden="1">
              <a:extLst>
                <a:ext uri="{63B3BB69-23CF-44E3-9099-C40C66FF867C}">
                  <a14:compatExt spid="_x0000_s18722"/>
                </a:ext>
                <a:ext uri="{FF2B5EF4-FFF2-40B4-BE49-F238E27FC236}">
                  <a16:creationId xmlns:a16="http://schemas.microsoft.com/office/drawing/2014/main" id="{00000000-0008-0000-0300-00002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19050</xdr:rowOff>
        </xdr:from>
        <xdr:to>
          <xdr:col>6</xdr:col>
          <xdr:colOff>323850</xdr:colOff>
          <xdr:row>31</xdr:row>
          <xdr:rowOff>19050</xdr:rowOff>
        </xdr:to>
        <xdr:sp macro="" textlink="">
          <xdr:nvSpPr>
            <xdr:cNvPr id="18723" name="Check Box 291" hidden="1">
              <a:extLst>
                <a:ext uri="{63B3BB69-23CF-44E3-9099-C40C66FF867C}">
                  <a14:compatExt spid="_x0000_s18723"/>
                </a:ext>
                <a:ext uri="{FF2B5EF4-FFF2-40B4-BE49-F238E27FC236}">
                  <a16:creationId xmlns:a16="http://schemas.microsoft.com/office/drawing/2014/main" id="{00000000-0008-0000-0300-00002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30</xdr:row>
          <xdr:rowOff>19050</xdr:rowOff>
        </xdr:from>
        <xdr:to>
          <xdr:col>6</xdr:col>
          <xdr:colOff>323850</xdr:colOff>
          <xdr:row>31</xdr:row>
          <xdr:rowOff>19050</xdr:rowOff>
        </xdr:to>
        <xdr:sp macro="" textlink="">
          <xdr:nvSpPr>
            <xdr:cNvPr id="18724" name="Check Box 292" hidden="1">
              <a:extLst>
                <a:ext uri="{63B3BB69-23CF-44E3-9099-C40C66FF867C}">
                  <a14:compatExt spid="_x0000_s18724"/>
                </a:ext>
                <a:ext uri="{FF2B5EF4-FFF2-40B4-BE49-F238E27FC236}">
                  <a16:creationId xmlns:a16="http://schemas.microsoft.com/office/drawing/2014/main" id="{00000000-0008-0000-0300-00002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100</xdr:row>
          <xdr:rowOff>19050</xdr:rowOff>
        </xdr:from>
        <xdr:to>
          <xdr:col>6</xdr:col>
          <xdr:colOff>323850</xdr:colOff>
          <xdr:row>101</xdr:row>
          <xdr:rowOff>19050</xdr:rowOff>
        </xdr:to>
        <xdr:sp macro="" textlink="">
          <xdr:nvSpPr>
            <xdr:cNvPr id="18727" name="Check Box 295" hidden="1">
              <a:extLst>
                <a:ext uri="{63B3BB69-23CF-44E3-9099-C40C66FF867C}">
                  <a14:compatExt spid="_x0000_s18727"/>
                </a:ext>
                <a:ext uri="{FF2B5EF4-FFF2-40B4-BE49-F238E27FC236}">
                  <a16:creationId xmlns:a16="http://schemas.microsoft.com/office/drawing/2014/main" id="{00000000-0008-0000-0300-00002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100</xdr:row>
          <xdr:rowOff>19050</xdr:rowOff>
        </xdr:from>
        <xdr:to>
          <xdr:col>6</xdr:col>
          <xdr:colOff>323850</xdr:colOff>
          <xdr:row>101</xdr:row>
          <xdr:rowOff>19050</xdr:rowOff>
        </xdr:to>
        <xdr:sp macro="" textlink="">
          <xdr:nvSpPr>
            <xdr:cNvPr id="18728" name="Check Box 296" hidden="1">
              <a:extLst>
                <a:ext uri="{63B3BB69-23CF-44E3-9099-C40C66FF867C}">
                  <a14:compatExt spid="_x0000_s18728"/>
                </a:ext>
                <a:ext uri="{FF2B5EF4-FFF2-40B4-BE49-F238E27FC236}">
                  <a16:creationId xmlns:a16="http://schemas.microsoft.com/office/drawing/2014/main" id="{00000000-0008-0000-0300-00002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81</xdr:row>
          <xdr:rowOff>0</xdr:rowOff>
        </xdr:from>
        <xdr:to>
          <xdr:col>6</xdr:col>
          <xdr:colOff>323850</xdr:colOff>
          <xdr:row>82</xdr:row>
          <xdr:rowOff>0</xdr:rowOff>
        </xdr:to>
        <xdr:sp macro="" textlink="">
          <xdr:nvSpPr>
            <xdr:cNvPr id="18732" name="Check Box 300" hidden="1">
              <a:extLst>
                <a:ext uri="{63B3BB69-23CF-44E3-9099-C40C66FF867C}">
                  <a14:compatExt spid="_x0000_s18732"/>
                </a:ext>
                <a:ext uri="{FF2B5EF4-FFF2-40B4-BE49-F238E27FC236}">
                  <a16:creationId xmlns:a16="http://schemas.microsoft.com/office/drawing/2014/main" id="{00000000-0008-0000-0300-00002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86</xdr:row>
          <xdr:rowOff>0</xdr:rowOff>
        </xdr:from>
        <xdr:to>
          <xdr:col>6</xdr:col>
          <xdr:colOff>323850</xdr:colOff>
          <xdr:row>87</xdr:row>
          <xdr:rowOff>0</xdr:rowOff>
        </xdr:to>
        <xdr:sp macro="" textlink="">
          <xdr:nvSpPr>
            <xdr:cNvPr id="18734" name="Check Box 302" hidden="1">
              <a:extLst>
                <a:ext uri="{63B3BB69-23CF-44E3-9099-C40C66FF867C}">
                  <a14:compatExt spid="_x0000_s18734"/>
                </a:ext>
                <a:ext uri="{FF2B5EF4-FFF2-40B4-BE49-F238E27FC236}">
                  <a16:creationId xmlns:a16="http://schemas.microsoft.com/office/drawing/2014/main" id="{00000000-0008-0000-0300-00002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19050</xdr:rowOff>
        </xdr:from>
        <xdr:to>
          <xdr:col>6</xdr:col>
          <xdr:colOff>323850</xdr:colOff>
          <xdr:row>89</xdr:row>
          <xdr:rowOff>19050</xdr:rowOff>
        </xdr:to>
        <xdr:sp macro="" textlink="">
          <xdr:nvSpPr>
            <xdr:cNvPr id="18735" name="Check Box 303" hidden="1">
              <a:extLst>
                <a:ext uri="{63B3BB69-23CF-44E3-9099-C40C66FF867C}">
                  <a14:compatExt spid="_x0000_s18735"/>
                </a:ext>
                <a:ext uri="{FF2B5EF4-FFF2-40B4-BE49-F238E27FC236}">
                  <a16:creationId xmlns:a16="http://schemas.microsoft.com/office/drawing/2014/main" id="{00000000-0008-0000-0300-00002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88</xdr:row>
          <xdr:rowOff>19050</xdr:rowOff>
        </xdr:from>
        <xdr:to>
          <xdr:col>6</xdr:col>
          <xdr:colOff>323850</xdr:colOff>
          <xdr:row>89</xdr:row>
          <xdr:rowOff>19050</xdr:rowOff>
        </xdr:to>
        <xdr:sp macro="" textlink="">
          <xdr:nvSpPr>
            <xdr:cNvPr id="18736" name="Check Box 304" hidden="1">
              <a:extLst>
                <a:ext uri="{63B3BB69-23CF-44E3-9099-C40C66FF867C}">
                  <a14:compatExt spid="_x0000_s18736"/>
                </a:ext>
                <a:ext uri="{FF2B5EF4-FFF2-40B4-BE49-F238E27FC236}">
                  <a16:creationId xmlns:a16="http://schemas.microsoft.com/office/drawing/2014/main" id="{00000000-0008-0000-0300-00003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323850</xdr:colOff>
          <xdr:row>88</xdr:row>
          <xdr:rowOff>19050</xdr:rowOff>
        </xdr:to>
        <xdr:sp macro="" textlink="">
          <xdr:nvSpPr>
            <xdr:cNvPr id="18737" name="Check Box 305" hidden="1">
              <a:extLst>
                <a:ext uri="{63B3BB69-23CF-44E3-9099-C40C66FF867C}">
                  <a14:compatExt spid="_x0000_s18737"/>
                </a:ext>
                <a:ext uri="{FF2B5EF4-FFF2-40B4-BE49-F238E27FC236}">
                  <a16:creationId xmlns:a16="http://schemas.microsoft.com/office/drawing/2014/main" id="{00000000-0008-0000-0300-00003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87</xdr:row>
          <xdr:rowOff>19050</xdr:rowOff>
        </xdr:from>
        <xdr:to>
          <xdr:col>6</xdr:col>
          <xdr:colOff>323850</xdr:colOff>
          <xdr:row>88</xdr:row>
          <xdr:rowOff>19050</xdr:rowOff>
        </xdr:to>
        <xdr:sp macro="" textlink="">
          <xdr:nvSpPr>
            <xdr:cNvPr id="18738" name="Check Box 306" hidden="1">
              <a:extLst>
                <a:ext uri="{63B3BB69-23CF-44E3-9099-C40C66FF867C}">
                  <a14:compatExt spid="_x0000_s18738"/>
                </a:ext>
                <a:ext uri="{FF2B5EF4-FFF2-40B4-BE49-F238E27FC236}">
                  <a16:creationId xmlns:a16="http://schemas.microsoft.com/office/drawing/2014/main" id="{00000000-0008-0000-0300-000032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19050</xdr:rowOff>
        </xdr:from>
        <xdr:to>
          <xdr:col>6</xdr:col>
          <xdr:colOff>323850</xdr:colOff>
          <xdr:row>91</xdr:row>
          <xdr:rowOff>19050</xdr:rowOff>
        </xdr:to>
        <xdr:sp macro="" textlink="">
          <xdr:nvSpPr>
            <xdr:cNvPr id="18741" name="Check Box 309" hidden="1">
              <a:extLst>
                <a:ext uri="{63B3BB69-23CF-44E3-9099-C40C66FF867C}">
                  <a14:compatExt spid="_x0000_s18741"/>
                </a:ext>
                <a:ext uri="{FF2B5EF4-FFF2-40B4-BE49-F238E27FC236}">
                  <a16:creationId xmlns:a16="http://schemas.microsoft.com/office/drawing/2014/main" id="{00000000-0008-0000-0300-00003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90</xdr:row>
          <xdr:rowOff>19050</xdr:rowOff>
        </xdr:from>
        <xdr:to>
          <xdr:col>6</xdr:col>
          <xdr:colOff>323850</xdr:colOff>
          <xdr:row>91</xdr:row>
          <xdr:rowOff>19050</xdr:rowOff>
        </xdr:to>
        <xdr:sp macro="" textlink="">
          <xdr:nvSpPr>
            <xdr:cNvPr id="18742" name="Check Box 310" hidden="1">
              <a:extLst>
                <a:ext uri="{63B3BB69-23CF-44E3-9099-C40C66FF867C}">
                  <a14:compatExt spid="_x0000_s18742"/>
                </a:ext>
                <a:ext uri="{FF2B5EF4-FFF2-40B4-BE49-F238E27FC236}">
                  <a16:creationId xmlns:a16="http://schemas.microsoft.com/office/drawing/2014/main" id="{00000000-0008-0000-0300-00003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91</xdr:row>
          <xdr:rowOff>19050</xdr:rowOff>
        </xdr:from>
        <xdr:to>
          <xdr:col>6</xdr:col>
          <xdr:colOff>323850</xdr:colOff>
          <xdr:row>92</xdr:row>
          <xdr:rowOff>19050</xdr:rowOff>
        </xdr:to>
        <xdr:sp macro="" textlink="">
          <xdr:nvSpPr>
            <xdr:cNvPr id="18743" name="Check Box 311" hidden="1">
              <a:extLst>
                <a:ext uri="{63B3BB69-23CF-44E3-9099-C40C66FF867C}">
                  <a14:compatExt spid="_x0000_s18743"/>
                </a:ext>
                <a:ext uri="{FF2B5EF4-FFF2-40B4-BE49-F238E27FC236}">
                  <a16:creationId xmlns:a16="http://schemas.microsoft.com/office/drawing/2014/main" id="{00000000-0008-0000-0300-00003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91</xdr:row>
          <xdr:rowOff>19050</xdr:rowOff>
        </xdr:from>
        <xdr:to>
          <xdr:col>6</xdr:col>
          <xdr:colOff>323850</xdr:colOff>
          <xdr:row>92</xdr:row>
          <xdr:rowOff>19050</xdr:rowOff>
        </xdr:to>
        <xdr:sp macro="" textlink="">
          <xdr:nvSpPr>
            <xdr:cNvPr id="18744" name="Check Box 312" hidden="1">
              <a:extLst>
                <a:ext uri="{63B3BB69-23CF-44E3-9099-C40C66FF867C}">
                  <a14:compatExt spid="_x0000_s18744"/>
                </a:ext>
                <a:ext uri="{FF2B5EF4-FFF2-40B4-BE49-F238E27FC236}">
                  <a16:creationId xmlns:a16="http://schemas.microsoft.com/office/drawing/2014/main" id="{00000000-0008-0000-0300-00003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92</xdr:row>
          <xdr:rowOff>19050</xdr:rowOff>
        </xdr:from>
        <xdr:to>
          <xdr:col>6</xdr:col>
          <xdr:colOff>323850</xdr:colOff>
          <xdr:row>93</xdr:row>
          <xdr:rowOff>19050</xdr:rowOff>
        </xdr:to>
        <xdr:sp macro="" textlink="">
          <xdr:nvSpPr>
            <xdr:cNvPr id="18745" name="Check Box 313" hidden="1">
              <a:extLst>
                <a:ext uri="{63B3BB69-23CF-44E3-9099-C40C66FF867C}">
                  <a14:compatExt spid="_x0000_s18745"/>
                </a:ext>
                <a:ext uri="{FF2B5EF4-FFF2-40B4-BE49-F238E27FC236}">
                  <a16:creationId xmlns:a16="http://schemas.microsoft.com/office/drawing/2014/main" id="{00000000-0008-0000-0300-00003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92</xdr:row>
          <xdr:rowOff>19050</xdr:rowOff>
        </xdr:from>
        <xdr:to>
          <xdr:col>6</xdr:col>
          <xdr:colOff>323850</xdr:colOff>
          <xdr:row>93</xdr:row>
          <xdr:rowOff>19050</xdr:rowOff>
        </xdr:to>
        <xdr:sp macro="" textlink="">
          <xdr:nvSpPr>
            <xdr:cNvPr id="18746" name="Check Box 314" hidden="1">
              <a:extLst>
                <a:ext uri="{63B3BB69-23CF-44E3-9099-C40C66FF867C}">
                  <a14:compatExt spid="_x0000_s18746"/>
                </a:ext>
                <a:ext uri="{FF2B5EF4-FFF2-40B4-BE49-F238E27FC236}">
                  <a16:creationId xmlns:a16="http://schemas.microsoft.com/office/drawing/2014/main" id="{00000000-0008-0000-0300-00003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19050</xdr:rowOff>
        </xdr:from>
        <xdr:to>
          <xdr:col>6</xdr:col>
          <xdr:colOff>323850</xdr:colOff>
          <xdr:row>90</xdr:row>
          <xdr:rowOff>19050</xdr:rowOff>
        </xdr:to>
        <xdr:sp macro="" textlink="">
          <xdr:nvSpPr>
            <xdr:cNvPr id="18747" name="Check Box 315" hidden="1">
              <a:extLst>
                <a:ext uri="{63B3BB69-23CF-44E3-9099-C40C66FF867C}">
                  <a14:compatExt spid="_x0000_s18747"/>
                </a:ext>
                <a:ext uri="{FF2B5EF4-FFF2-40B4-BE49-F238E27FC236}">
                  <a16:creationId xmlns:a16="http://schemas.microsoft.com/office/drawing/2014/main" id="{00000000-0008-0000-0300-00003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89</xdr:row>
          <xdr:rowOff>19050</xdr:rowOff>
        </xdr:from>
        <xdr:to>
          <xdr:col>6</xdr:col>
          <xdr:colOff>323850</xdr:colOff>
          <xdr:row>90</xdr:row>
          <xdr:rowOff>19050</xdr:rowOff>
        </xdr:to>
        <xdr:sp macro="" textlink="">
          <xdr:nvSpPr>
            <xdr:cNvPr id="18748" name="Check Box 316" hidden="1">
              <a:extLst>
                <a:ext uri="{63B3BB69-23CF-44E3-9099-C40C66FF867C}">
                  <a14:compatExt spid="_x0000_s18748"/>
                </a:ext>
                <a:ext uri="{FF2B5EF4-FFF2-40B4-BE49-F238E27FC236}">
                  <a16:creationId xmlns:a16="http://schemas.microsoft.com/office/drawing/2014/main" id="{00000000-0008-0000-0300-00003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3720</xdr:colOff>
      <xdr:row>2</xdr:row>
      <xdr:rowOff>308520</xdr:rowOff>
    </xdr:to>
    <xdr:pic>
      <xdr:nvPicPr>
        <xdr:cNvPr id="2" name="Picture 1">
          <a:extLst>
            <a:ext uri="{FF2B5EF4-FFF2-40B4-BE49-F238E27FC236}">
              <a16:creationId xmlns:a16="http://schemas.microsoft.com/office/drawing/2014/main" id="{00000000-0008-0000-0400-000002000000}"/>
            </a:ext>
          </a:extLst>
        </xdr:cNvPr>
        <xdr:cNvPicPr>
          <a:picLocks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0"/>
          <a:ext cx="72000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847724</xdr:colOff>
      <xdr:row>34</xdr:row>
      <xdr:rowOff>14287</xdr:rowOff>
    </xdr:from>
    <xdr:to>
      <xdr:col>15</xdr:col>
      <xdr:colOff>104774</xdr:colOff>
      <xdr:row>55</xdr:row>
      <xdr:rowOff>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39</xdr:row>
      <xdr:rowOff>0</xdr:rowOff>
    </xdr:from>
    <xdr:to>
      <xdr:col>15</xdr:col>
      <xdr:colOff>400050</xdr:colOff>
      <xdr:row>55</xdr:row>
      <xdr:rowOff>152400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19050</xdr:colOff>
      <xdr:row>50</xdr:row>
      <xdr:rowOff>152400</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19050</xdr:colOff>
      <xdr:row>50</xdr:row>
      <xdr:rowOff>152400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34</xdr:row>
      <xdr:rowOff>0</xdr:rowOff>
    </xdr:from>
    <xdr:to>
      <xdr:col>15</xdr:col>
      <xdr:colOff>400050</xdr:colOff>
      <xdr:row>50</xdr:row>
      <xdr:rowOff>152400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ma/Dropbox/000%20MIMA%20SUHADOLC/PONUDBE%20-%20POGODBE/AIR-S18-07%20LAMOV&#352;EK/Mil-Pron%20Arhigram3%20v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ima/Dropbox/000%20MIMA%20SUHADOLC/PONUDBE%20-%20POGODBE/AIR-S20-04%20BARLE/Arhigram%205%2004%20Bar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
      <sheetName val="NU"/>
      <sheetName val="PODATKI"/>
      <sheetName val="KALKULACIJA OBRAČUNSKE URE"/>
      <sheetName val="KRATKA NAVODILA"/>
      <sheetName val="popust osnovna cena"/>
      <sheetName val="PONUDBA (2)"/>
      <sheetName val="PONUDBA (3)"/>
    </sheetNames>
    <sheetDataSet>
      <sheetData sheetId="0"/>
      <sheetData sheetId="1"/>
      <sheetData sheetId="2">
        <row r="3">
          <cell r="A3" t="str">
            <v>POSLOVNI OBJEKT</v>
          </cell>
          <cell r="I3" t="str">
            <v>IDZ-IDP-PGD-PZI</v>
          </cell>
        </row>
        <row r="4">
          <cell r="A4" t="str">
            <v>BOLNICA</v>
          </cell>
          <cell r="I4" t="str">
            <v>IDZ-PGD-PZI</v>
          </cell>
        </row>
        <row r="5">
          <cell r="A5" t="str">
            <v>OSNOVNA ŠOLA</v>
          </cell>
          <cell r="I5" t="str">
            <v>IDZ-IDP-PZI</v>
          </cell>
        </row>
        <row r="6">
          <cell r="A6" t="str">
            <v>SREDNJA ŠOLA</v>
          </cell>
          <cell r="I6" t="str">
            <v>IDZ-PZI</v>
          </cell>
        </row>
        <row r="7">
          <cell r="A7" t="str">
            <v>OTROŠKI VRTEC</v>
          </cell>
        </row>
        <row r="8">
          <cell r="A8" t="str">
            <v>ŠPORTNA DVORANA</v>
          </cell>
        </row>
        <row r="9">
          <cell r="A9" t="str">
            <v>ENODRUŽINSKA HIŠA</v>
          </cell>
          <cell r="I9" t="str">
            <v>DA</v>
          </cell>
        </row>
        <row r="10">
          <cell r="A10" t="str">
            <v>VRSTNE HIŠE</v>
          </cell>
          <cell r="I10" t="str">
            <v>NE</v>
          </cell>
        </row>
        <row r="11">
          <cell r="A11" t="str">
            <v>VEČSTANOVANJSKI OBJEKT</v>
          </cell>
        </row>
        <row r="12">
          <cell r="A12" t="str">
            <v>HOTEL</v>
          </cell>
        </row>
        <row r="13">
          <cell r="A13" t="str">
            <v>INDUSTRIJSKI OBJEKT</v>
          </cell>
        </row>
        <row r="14">
          <cell r="A14" t="str">
            <v>RAZNO</v>
          </cell>
        </row>
        <row r="18">
          <cell r="A18" t="str">
            <v>I RAZRED</v>
          </cell>
        </row>
        <row r="19">
          <cell r="A19" t="str">
            <v>I-II RAZRED</v>
          </cell>
        </row>
        <row r="20">
          <cell r="A20" t="str">
            <v>II-III RAZRED</v>
          </cell>
        </row>
        <row r="21">
          <cell r="A21" t="str">
            <v>III RAZRED</v>
          </cell>
        </row>
        <row r="24">
          <cell r="A24" t="str">
            <v>I RAZRED</v>
          </cell>
        </row>
        <row r="25">
          <cell r="A25" t="str">
            <v>I-II RAZRED</v>
          </cell>
        </row>
        <row r="26">
          <cell r="A26" t="str">
            <v>II-III RAZRED</v>
          </cell>
        </row>
        <row r="27">
          <cell r="A27" t="str">
            <v>III-IV RAZRED</v>
          </cell>
        </row>
        <row r="28">
          <cell r="A28" t="str">
            <v>IV-V RAZRED</v>
          </cell>
        </row>
        <row r="29">
          <cell r="A29" t="str">
            <v>V RAZRED</v>
          </cell>
        </row>
        <row r="51">
          <cell r="A51" t="str">
            <v xml:space="preserve">ADRENALINSKI PARK </v>
          </cell>
        </row>
        <row r="52">
          <cell r="A52" t="str">
            <v xml:space="preserve">GOLF IGRIŠČE </v>
          </cell>
        </row>
        <row r="53">
          <cell r="A53" t="str">
            <v xml:space="preserve">IGRIŠČE Z RAZNOVRSTNIM PROGRAMOM </v>
          </cell>
        </row>
        <row r="54">
          <cell r="A54" t="str">
            <v xml:space="preserve">IGRIŠČE ZA IGRE Z ŽOGO </v>
          </cell>
        </row>
        <row r="55">
          <cell r="A55" t="str">
            <v xml:space="preserve">KOMERCIALNI KOMPLEKS ŠPORTNIH IGRIŠČ IN NAPRAV </v>
          </cell>
        </row>
        <row r="56">
          <cell r="A56" t="str">
            <v xml:space="preserve">KRAJINSKA UREDITEV OB OBJEKTIH </v>
          </cell>
        </row>
        <row r="57">
          <cell r="A57" t="str">
            <v xml:space="preserve">KRAJINSKA UREDITEV OB VODOTOKIH, PLAZIŠČIH </v>
          </cell>
        </row>
        <row r="58">
          <cell r="A58" t="str">
            <v xml:space="preserve">KRAJINSKA UREDITEV V MESTIH </v>
          </cell>
        </row>
        <row r="59">
          <cell r="A59" t="str">
            <v xml:space="preserve">OZELENITEV BREZ POSEBNE OPREME </v>
          </cell>
        </row>
        <row r="60">
          <cell r="A60" t="str">
            <v xml:space="preserve">PARK </v>
          </cell>
        </row>
        <row r="61">
          <cell r="A61" t="str">
            <v xml:space="preserve">PARKIRIŠČE </v>
          </cell>
        </row>
        <row r="62">
          <cell r="A62" t="str">
            <v xml:space="preserve">OBMOČJE ZA PEŠCE </v>
          </cell>
        </row>
        <row r="63">
          <cell r="A63" t="str">
            <v xml:space="preserve">PEŠPOT, KOLESARSKA POT </v>
          </cell>
        </row>
        <row r="64">
          <cell r="A64" t="str">
            <v xml:space="preserve">POKOPALIŠČE </v>
          </cell>
        </row>
        <row r="65">
          <cell r="A65" t="str">
            <v xml:space="preserve">POVRŠINA ZA TABORJENJE </v>
          </cell>
        </row>
        <row r="66">
          <cell r="A66" t="str">
            <v xml:space="preserve">REKREACIJSKO OBMOČJE </v>
          </cell>
        </row>
        <row r="67">
          <cell r="A67" t="str">
            <v xml:space="preserve">SMUČIŠČE IN SANKALIŠČE </v>
          </cell>
        </row>
        <row r="68">
          <cell r="A68" t="str">
            <v xml:space="preserve">SPOMENIŠKI KOMPLEKS </v>
          </cell>
        </row>
        <row r="69">
          <cell r="A69" t="str">
            <v xml:space="preserve">ŠPORTNE NAPRAVE, IGRIŠČE, STADION IN KOPALIŠČE NA PROSTEM </v>
          </cell>
        </row>
        <row r="70">
          <cell r="A70" t="str">
            <v xml:space="preserve">ŠPORTNO IGRIŠČE </v>
          </cell>
        </row>
        <row r="71">
          <cell r="A71" t="str">
            <v xml:space="preserve">ŠPORTNO IGRIŠČE BREZ TEHNIČNIH UREDITEV </v>
          </cell>
        </row>
        <row r="72">
          <cell r="A72" t="str">
            <v xml:space="preserve">TEMATSKI PARK IN VRT (BOTANIČNI, ŽIVALSKI, ARBORETUM ...) </v>
          </cell>
        </row>
        <row r="73">
          <cell r="A73" t="str">
            <v xml:space="preserve">TRG </v>
          </cell>
        </row>
        <row r="74">
          <cell r="A74" t="str">
            <v xml:space="preserve">TRŽNICA </v>
          </cell>
        </row>
        <row r="75">
          <cell r="A75" t="str">
            <v xml:space="preserve">VRT </v>
          </cell>
        </row>
        <row r="76">
          <cell r="A76" t="str">
            <v xml:space="preserve">ZAHTEVNEJŠA ZAŠČITA BIOTOPOV </v>
          </cell>
        </row>
        <row r="77">
          <cell r="A77" t="str">
            <v xml:space="preserve">ZASADITEV V ODPRTI KRAJINI, NASAD, TRATA </v>
          </cell>
        </row>
        <row r="78">
          <cell r="A78" t="str">
            <v xml:space="preserve">ZELENE POVRŠINE ENOSTAVNE IZVEDBE OKROG STAVB IN OB PROMETNICAH </v>
          </cell>
        </row>
        <row r="79">
          <cell r="A79" t="str">
            <v xml:space="preserve">ZUNANJI PROSTOR OB VEČSTANOVANJSKIH OBJEKTIH </v>
          </cell>
        </row>
        <row r="80">
          <cell r="A80" t="str">
            <v xml:space="preserve">ZUNANJI PROSTOR OSTALIH JAVNIH OBJEKTOV </v>
          </cell>
        </row>
        <row r="81">
          <cell r="A81" t="str">
            <v xml:space="preserve">ZUNANJI PROSTOR ŠOL IN VRTCEV </v>
          </cell>
        </row>
        <row r="84">
          <cell r="A84" t="str">
            <v>NEZAHTEVNA OPREMA</v>
          </cell>
        </row>
        <row r="85">
          <cell r="A85" t="str">
            <v>ZAHTEVNA OPREMA</v>
          </cell>
        </row>
        <row r="86">
          <cell r="A86" t="str">
            <v>ZELO ZAHTEVNA OPREMA</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HIGRAM 5"/>
      <sheetName val="STORITVE"/>
      <sheetName val="IZRAČUN NU PO HOAI"/>
      <sheetName val="OBRAČUNSKI STROŠKI"/>
      <sheetName val="IZRAČUN VREDNOST NU"/>
      <sheetName val="EUR"/>
      <sheetName val="NU"/>
      <sheetName val="PODATKI"/>
      <sheetName val="ARHITEKTURA"/>
      <sheetName val="KRAJINSKA ARHITEKTURA"/>
      <sheetName val="UREDITEV POVRŠIN"/>
      <sheetName val="GRADBENE KONSTRUKCIJE"/>
      <sheetName val="TEHNIČNA OPREMA"/>
      <sheetName val="GI"/>
      <sheetName val="PROMET"/>
      <sheetName val="OVP"/>
      <sheetName val="PONUDBA"/>
    </sheetNames>
    <sheetDataSet>
      <sheetData sheetId="0" refreshError="1"/>
      <sheetData sheetId="1" refreshError="1"/>
      <sheetData sheetId="2" refreshError="1"/>
      <sheetData sheetId="3">
        <row r="90">
          <cell r="I90">
            <v>214</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0084B4"/>
      </a:accent1>
      <a:accent2>
        <a:srgbClr val="00B0F0"/>
      </a:accent2>
      <a:accent3>
        <a:srgbClr val="4BD0FF"/>
      </a:accent3>
      <a:accent4>
        <a:srgbClr val="8DE1FF"/>
      </a:accent4>
      <a:accent5>
        <a:srgbClr val="7BDBFF"/>
      </a:accent5>
      <a:accent6>
        <a:srgbClr val="FF3232"/>
      </a:accent6>
      <a:hlink>
        <a:srgbClr val="00B0F0"/>
      </a:hlink>
      <a:folHlink>
        <a:srgbClr val="53D2FF"/>
      </a:folHlink>
    </a:clrScheme>
    <a:fontScheme name="ZAPS">
      <a:majorFont>
        <a:latin typeface="Inter"/>
        <a:ea typeface=""/>
        <a:cs typeface=""/>
      </a:majorFont>
      <a:minorFont>
        <a:latin typeface="Inter Extra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41.xml"/><Relationship Id="rId117" Type="http://schemas.openxmlformats.org/officeDocument/2006/relationships/ctrlProp" Target="../ctrlProps/ctrlProp132.xml"/><Relationship Id="rId21" Type="http://schemas.openxmlformats.org/officeDocument/2006/relationships/ctrlProp" Target="../ctrlProps/ctrlProp36.xml"/><Relationship Id="rId42" Type="http://schemas.openxmlformats.org/officeDocument/2006/relationships/ctrlProp" Target="../ctrlProps/ctrlProp57.xml"/><Relationship Id="rId47" Type="http://schemas.openxmlformats.org/officeDocument/2006/relationships/ctrlProp" Target="../ctrlProps/ctrlProp62.xml"/><Relationship Id="rId63" Type="http://schemas.openxmlformats.org/officeDocument/2006/relationships/ctrlProp" Target="../ctrlProps/ctrlProp78.xml"/><Relationship Id="rId68" Type="http://schemas.openxmlformats.org/officeDocument/2006/relationships/ctrlProp" Target="../ctrlProps/ctrlProp83.xml"/><Relationship Id="rId84" Type="http://schemas.openxmlformats.org/officeDocument/2006/relationships/ctrlProp" Target="../ctrlProps/ctrlProp99.xml"/><Relationship Id="rId89" Type="http://schemas.openxmlformats.org/officeDocument/2006/relationships/ctrlProp" Target="../ctrlProps/ctrlProp104.xml"/><Relationship Id="rId112" Type="http://schemas.openxmlformats.org/officeDocument/2006/relationships/ctrlProp" Target="../ctrlProps/ctrlProp127.xml"/><Relationship Id="rId133" Type="http://schemas.openxmlformats.org/officeDocument/2006/relationships/ctrlProp" Target="../ctrlProps/ctrlProp148.xml"/><Relationship Id="rId138" Type="http://schemas.openxmlformats.org/officeDocument/2006/relationships/ctrlProp" Target="../ctrlProps/ctrlProp153.xml"/><Relationship Id="rId16" Type="http://schemas.openxmlformats.org/officeDocument/2006/relationships/ctrlProp" Target="../ctrlProps/ctrlProp31.xml"/><Relationship Id="rId107" Type="http://schemas.openxmlformats.org/officeDocument/2006/relationships/ctrlProp" Target="../ctrlProps/ctrlProp122.xml"/><Relationship Id="rId11" Type="http://schemas.openxmlformats.org/officeDocument/2006/relationships/ctrlProp" Target="../ctrlProps/ctrlProp26.xml"/><Relationship Id="rId32" Type="http://schemas.openxmlformats.org/officeDocument/2006/relationships/ctrlProp" Target="../ctrlProps/ctrlProp47.xml"/><Relationship Id="rId37" Type="http://schemas.openxmlformats.org/officeDocument/2006/relationships/ctrlProp" Target="../ctrlProps/ctrlProp52.xml"/><Relationship Id="rId53" Type="http://schemas.openxmlformats.org/officeDocument/2006/relationships/ctrlProp" Target="../ctrlProps/ctrlProp68.xml"/><Relationship Id="rId58" Type="http://schemas.openxmlformats.org/officeDocument/2006/relationships/ctrlProp" Target="../ctrlProps/ctrlProp73.xml"/><Relationship Id="rId74" Type="http://schemas.openxmlformats.org/officeDocument/2006/relationships/ctrlProp" Target="../ctrlProps/ctrlProp89.xml"/><Relationship Id="rId79" Type="http://schemas.openxmlformats.org/officeDocument/2006/relationships/ctrlProp" Target="../ctrlProps/ctrlProp94.xml"/><Relationship Id="rId102" Type="http://schemas.openxmlformats.org/officeDocument/2006/relationships/ctrlProp" Target="../ctrlProps/ctrlProp117.xml"/><Relationship Id="rId123" Type="http://schemas.openxmlformats.org/officeDocument/2006/relationships/ctrlProp" Target="../ctrlProps/ctrlProp138.xml"/><Relationship Id="rId128" Type="http://schemas.openxmlformats.org/officeDocument/2006/relationships/ctrlProp" Target="../ctrlProps/ctrlProp143.xml"/><Relationship Id="rId5" Type="http://schemas.openxmlformats.org/officeDocument/2006/relationships/ctrlProp" Target="../ctrlProps/ctrlProp20.xml"/><Relationship Id="rId90" Type="http://schemas.openxmlformats.org/officeDocument/2006/relationships/ctrlProp" Target="../ctrlProps/ctrlProp105.xml"/><Relationship Id="rId95" Type="http://schemas.openxmlformats.org/officeDocument/2006/relationships/ctrlProp" Target="../ctrlProps/ctrlProp110.xml"/><Relationship Id="rId22" Type="http://schemas.openxmlformats.org/officeDocument/2006/relationships/ctrlProp" Target="../ctrlProps/ctrlProp37.xml"/><Relationship Id="rId27" Type="http://schemas.openxmlformats.org/officeDocument/2006/relationships/ctrlProp" Target="../ctrlProps/ctrlProp42.xml"/><Relationship Id="rId43" Type="http://schemas.openxmlformats.org/officeDocument/2006/relationships/ctrlProp" Target="../ctrlProps/ctrlProp58.xml"/><Relationship Id="rId48" Type="http://schemas.openxmlformats.org/officeDocument/2006/relationships/ctrlProp" Target="../ctrlProps/ctrlProp63.xml"/><Relationship Id="rId64" Type="http://schemas.openxmlformats.org/officeDocument/2006/relationships/ctrlProp" Target="../ctrlProps/ctrlProp79.xml"/><Relationship Id="rId69" Type="http://schemas.openxmlformats.org/officeDocument/2006/relationships/ctrlProp" Target="../ctrlProps/ctrlProp84.xml"/><Relationship Id="rId113" Type="http://schemas.openxmlformats.org/officeDocument/2006/relationships/ctrlProp" Target="../ctrlProps/ctrlProp128.xml"/><Relationship Id="rId118" Type="http://schemas.openxmlformats.org/officeDocument/2006/relationships/ctrlProp" Target="../ctrlProps/ctrlProp133.xml"/><Relationship Id="rId134" Type="http://schemas.openxmlformats.org/officeDocument/2006/relationships/ctrlProp" Target="../ctrlProps/ctrlProp149.xml"/><Relationship Id="rId139" Type="http://schemas.openxmlformats.org/officeDocument/2006/relationships/ctrlProp" Target="../ctrlProps/ctrlProp154.xml"/><Relationship Id="rId8" Type="http://schemas.openxmlformats.org/officeDocument/2006/relationships/ctrlProp" Target="../ctrlProps/ctrlProp23.xml"/><Relationship Id="rId51" Type="http://schemas.openxmlformats.org/officeDocument/2006/relationships/ctrlProp" Target="../ctrlProps/ctrlProp66.xml"/><Relationship Id="rId72" Type="http://schemas.openxmlformats.org/officeDocument/2006/relationships/ctrlProp" Target="../ctrlProps/ctrlProp87.xml"/><Relationship Id="rId80" Type="http://schemas.openxmlformats.org/officeDocument/2006/relationships/ctrlProp" Target="../ctrlProps/ctrlProp95.xml"/><Relationship Id="rId85" Type="http://schemas.openxmlformats.org/officeDocument/2006/relationships/ctrlProp" Target="../ctrlProps/ctrlProp100.xml"/><Relationship Id="rId93" Type="http://schemas.openxmlformats.org/officeDocument/2006/relationships/ctrlProp" Target="../ctrlProps/ctrlProp108.xml"/><Relationship Id="rId98" Type="http://schemas.openxmlformats.org/officeDocument/2006/relationships/ctrlProp" Target="../ctrlProps/ctrlProp113.xml"/><Relationship Id="rId121" Type="http://schemas.openxmlformats.org/officeDocument/2006/relationships/ctrlProp" Target="../ctrlProps/ctrlProp136.xml"/><Relationship Id="rId3"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33" Type="http://schemas.openxmlformats.org/officeDocument/2006/relationships/ctrlProp" Target="../ctrlProps/ctrlProp48.xml"/><Relationship Id="rId38" Type="http://schemas.openxmlformats.org/officeDocument/2006/relationships/ctrlProp" Target="../ctrlProps/ctrlProp53.xml"/><Relationship Id="rId46" Type="http://schemas.openxmlformats.org/officeDocument/2006/relationships/ctrlProp" Target="../ctrlProps/ctrlProp61.xml"/><Relationship Id="rId59" Type="http://schemas.openxmlformats.org/officeDocument/2006/relationships/ctrlProp" Target="../ctrlProps/ctrlProp74.xml"/><Relationship Id="rId67" Type="http://schemas.openxmlformats.org/officeDocument/2006/relationships/ctrlProp" Target="../ctrlProps/ctrlProp82.xml"/><Relationship Id="rId103" Type="http://schemas.openxmlformats.org/officeDocument/2006/relationships/ctrlProp" Target="../ctrlProps/ctrlProp118.xml"/><Relationship Id="rId108" Type="http://schemas.openxmlformats.org/officeDocument/2006/relationships/ctrlProp" Target="../ctrlProps/ctrlProp123.xml"/><Relationship Id="rId116" Type="http://schemas.openxmlformats.org/officeDocument/2006/relationships/ctrlProp" Target="../ctrlProps/ctrlProp131.xml"/><Relationship Id="rId124" Type="http://schemas.openxmlformats.org/officeDocument/2006/relationships/ctrlProp" Target="../ctrlProps/ctrlProp139.xml"/><Relationship Id="rId129" Type="http://schemas.openxmlformats.org/officeDocument/2006/relationships/ctrlProp" Target="../ctrlProps/ctrlProp144.xml"/><Relationship Id="rId137" Type="http://schemas.openxmlformats.org/officeDocument/2006/relationships/ctrlProp" Target="../ctrlProps/ctrlProp152.xml"/><Relationship Id="rId20" Type="http://schemas.openxmlformats.org/officeDocument/2006/relationships/ctrlProp" Target="../ctrlProps/ctrlProp35.xml"/><Relationship Id="rId41" Type="http://schemas.openxmlformats.org/officeDocument/2006/relationships/ctrlProp" Target="../ctrlProps/ctrlProp56.xml"/><Relationship Id="rId54" Type="http://schemas.openxmlformats.org/officeDocument/2006/relationships/ctrlProp" Target="../ctrlProps/ctrlProp69.xml"/><Relationship Id="rId62" Type="http://schemas.openxmlformats.org/officeDocument/2006/relationships/ctrlProp" Target="../ctrlProps/ctrlProp77.xml"/><Relationship Id="rId70" Type="http://schemas.openxmlformats.org/officeDocument/2006/relationships/ctrlProp" Target="../ctrlProps/ctrlProp85.xml"/><Relationship Id="rId75" Type="http://schemas.openxmlformats.org/officeDocument/2006/relationships/ctrlProp" Target="../ctrlProps/ctrlProp90.xml"/><Relationship Id="rId83" Type="http://schemas.openxmlformats.org/officeDocument/2006/relationships/ctrlProp" Target="../ctrlProps/ctrlProp98.xml"/><Relationship Id="rId88" Type="http://schemas.openxmlformats.org/officeDocument/2006/relationships/ctrlProp" Target="../ctrlProps/ctrlProp103.xml"/><Relationship Id="rId91" Type="http://schemas.openxmlformats.org/officeDocument/2006/relationships/ctrlProp" Target="../ctrlProps/ctrlProp106.xml"/><Relationship Id="rId96" Type="http://schemas.openxmlformats.org/officeDocument/2006/relationships/ctrlProp" Target="../ctrlProps/ctrlProp111.xml"/><Relationship Id="rId111" Type="http://schemas.openxmlformats.org/officeDocument/2006/relationships/ctrlProp" Target="../ctrlProps/ctrlProp126.xml"/><Relationship Id="rId132" Type="http://schemas.openxmlformats.org/officeDocument/2006/relationships/ctrlProp" Target="../ctrlProps/ctrlProp147.xml"/><Relationship Id="rId140" Type="http://schemas.openxmlformats.org/officeDocument/2006/relationships/ctrlProp" Target="../ctrlProps/ctrlProp155.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15" Type="http://schemas.openxmlformats.org/officeDocument/2006/relationships/ctrlProp" Target="../ctrlProps/ctrlProp30.xml"/><Relationship Id="rId23" Type="http://schemas.openxmlformats.org/officeDocument/2006/relationships/ctrlProp" Target="../ctrlProps/ctrlProp38.xml"/><Relationship Id="rId28" Type="http://schemas.openxmlformats.org/officeDocument/2006/relationships/ctrlProp" Target="../ctrlProps/ctrlProp43.xml"/><Relationship Id="rId36" Type="http://schemas.openxmlformats.org/officeDocument/2006/relationships/ctrlProp" Target="../ctrlProps/ctrlProp51.xml"/><Relationship Id="rId49" Type="http://schemas.openxmlformats.org/officeDocument/2006/relationships/ctrlProp" Target="../ctrlProps/ctrlProp64.xml"/><Relationship Id="rId57" Type="http://schemas.openxmlformats.org/officeDocument/2006/relationships/ctrlProp" Target="../ctrlProps/ctrlProp72.xml"/><Relationship Id="rId106" Type="http://schemas.openxmlformats.org/officeDocument/2006/relationships/ctrlProp" Target="../ctrlProps/ctrlProp121.xml"/><Relationship Id="rId114" Type="http://schemas.openxmlformats.org/officeDocument/2006/relationships/ctrlProp" Target="../ctrlProps/ctrlProp129.xml"/><Relationship Id="rId119" Type="http://schemas.openxmlformats.org/officeDocument/2006/relationships/ctrlProp" Target="../ctrlProps/ctrlProp134.xml"/><Relationship Id="rId127" Type="http://schemas.openxmlformats.org/officeDocument/2006/relationships/ctrlProp" Target="../ctrlProps/ctrlProp142.xml"/><Relationship Id="rId10" Type="http://schemas.openxmlformats.org/officeDocument/2006/relationships/ctrlProp" Target="../ctrlProps/ctrlProp25.xml"/><Relationship Id="rId31" Type="http://schemas.openxmlformats.org/officeDocument/2006/relationships/ctrlProp" Target="../ctrlProps/ctrlProp46.xml"/><Relationship Id="rId44" Type="http://schemas.openxmlformats.org/officeDocument/2006/relationships/ctrlProp" Target="../ctrlProps/ctrlProp59.xml"/><Relationship Id="rId52" Type="http://schemas.openxmlformats.org/officeDocument/2006/relationships/ctrlProp" Target="../ctrlProps/ctrlProp67.xml"/><Relationship Id="rId60" Type="http://schemas.openxmlformats.org/officeDocument/2006/relationships/ctrlProp" Target="../ctrlProps/ctrlProp75.xml"/><Relationship Id="rId65" Type="http://schemas.openxmlformats.org/officeDocument/2006/relationships/ctrlProp" Target="../ctrlProps/ctrlProp80.xml"/><Relationship Id="rId73" Type="http://schemas.openxmlformats.org/officeDocument/2006/relationships/ctrlProp" Target="../ctrlProps/ctrlProp88.xml"/><Relationship Id="rId78" Type="http://schemas.openxmlformats.org/officeDocument/2006/relationships/ctrlProp" Target="../ctrlProps/ctrlProp93.xml"/><Relationship Id="rId81" Type="http://schemas.openxmlformats.org/officeDocument/2006/relationships/ctrlProp" Target="../ctrlProps/ctrlProp96.xml"/><Relationship Id="rId86" Type="http://schemas.openxmlformats.org/officeDocument/2006/relationships/ctrlProp" Target="../ctrlProps/ctrlProp101.xml"/><Relationship Id="rId94" Type="http://schemas.openxmlformats.org/officeDocument/2006/relationships/ctrlProp" Target="../ctrlProps/ctrlProp109.xml"/><Relationship Id="rId99" Type="http://schemas.openxmlformats.org/officeDocument/2006/relationships/ctrlProp" Target="../ctrlProps/ctrlProp114.xml"/><Relationship Id="rId101" Type="http://schemas.openxmlformats.org/officeDocument/2006/relationships/ctrlProp" Target="../ctrlProps/ctrlProp116.xml"/><Relationship Id="rId122" Type="http://schemas.openxmlformats.org/officeDocument/2006/relationships/ctrlProp" Target="../ctrlProps/ctrlProp137.xml"/><Relationship Id="rId130" Type="http://schemas.openxmlformats.org/officeDocument/2006/relationships/ctrlProp" Target="../ctrlProps/ctrlProp145.xml"/><Relationship Id="rId135" Type="http://schemas.openxmlformats.org/officeDocument/2006/relationships/ctrlProp" Target="../ctrlProps/ctrlProp150.xml"/><Relationship Id="rId4" Type="http://schemas.openxmlformats.org/officeDocument/2006/relationships/ctrlProp" Target="../ctrlProps/ctrlProp19.xml"/><Relationship Id="rId9" Type="http://schemas.openxmlformats.org/officeDocument/2006/relationships/ctrlProp" Target="../ctrlProps/ctrlProp24.xml"/><Relationship Id="rId13" Type="http://schemas.openxmlformats.org/officeDocument/2006/relationships/ctrlProp" Target="../ctrlProps/ctrlProp28.xml"/><Relationship Id="rId18" Type="http://schemas.openxmlformats.org/officeDocument/2006/relationships/ctrlProp" Target="../ctrlProps/ctrlProp33.xml"/><Relationship Id="rId39" Type="http://schemas.openxmlformats.org/officeDocument/2006/relationships/ctrlProp" Target="../ctrlProps/ctrlProp54.xml"/><Relationship Id="rId109" Type="http://schemas.openxmlformats.org/officeDocument/2006/relationships/ctrlProp" Target="../ctrlProps/ctrlProp124.xml"/><Relationship Id="rId34" Type="http://schemas.openxmlformats.org/officeDocument/2006/relationships/ctrlProp" Target="../ctrlProps/ctrlProp49.xml"/><Relationship Id="rId50" Type="http://schemas.openxmlformats.org/officeDocument/2006/relationships/ctrlProp" Target="../ctrlProps/ctrlProp65.xml"/><Relationship Id="rId55" Type="http://schemas.openxmlformats.org/officeDocument/2006/relationships/ctrlProp" Target="../ctrlProps/ctrlProp70.xml"/><Relationship Id="rId76" Type="http://schemas.openxmlformats.org/officeDocument/2006/relationships/ctrlProp" Target="../ctrlProps/ctrlProp91.xml"/><Relationship Id="rId97" Type="http://schemas.openxmlformats.org/officeDocument/2006/relationships/ctrlProp" Target="../ctrlProps/ctrlProp112.xml"/><Relationship Id="rId104" Type="http://schemas.openxmlformats.org/officeDocument/2006/relationships/ctrlProp" Target="../ctrlProps/ctrlProp119.xml"/><Relationship Id="rId120" Type="http://schemas.openxmlformats.org/officeDocument/2006/relationships/ctrlProp" Target="../ctrlProps/ctrlProp135.xml"/><Relationship Id="rId125" Type="http://schemas.openxmlformats.org/officeDocument/2006/relationships/ctrlProp" Target="../ctrlProps/ctrlProp140.xml"/><Relationship Id="rId7" Type="http://schemas.openxmlformats.org/officeDocument/2006/relationships/ctrlProp" Target="../ctrlProps/ctrlProp22.xml"/><Relationship Id="rId71" Type="http://schemas.openxmlformats.org/officeDocument/2006/relationships/ctrlProp" Target="../ctrlProps/ctrlProp86.xml"/><Relationship Id="rId92" Type="http://schemas.openxmlformats.org/officeDocument/2006/relationships/ctrlProp" Target="../ctrlProps/ctrlProp107.xml"/><Relationship Id="rId2" Type="http://schemas.openxmlformats.org/officeDocument/2006/relationships/drawing" Target="../drawings/drawing3.xml"/><Relationship Id="rId29" Type="http://schemas.openxmlformats.org/officeDocument/2006/relationships/ctrlProp" Target="../ctrlProps/ctrlProp44.xml"/><Relationship Id="rId24" Type="http://schemas.openxmlformats.org/officeDocument/2006/relationships/ctrlProp" Target="../ctrlProps/ctrlProp39.xml"/><Relationship Id="rId40" Type="http://schemas.openxmlformats.org/officeDocument/2006/relationships/ctrlProp" Target="../ctrlProps/ctrlProp55.xml"/><Relationship Id="rId45" Type="http://schemas.openxmlformats.org/officeDocument/2006/relationships/ctrlProp" Target="../ctrlProps/ctrlProp60.xml"/><Relationship Id="rId66" Type="http://schemas.openxmlformats.org/officeDocument/2006/relationships/ctrlProp" Target="../ctrlProps/ctrlProp81.xml"/><Relationship Id="rId87" Type="http://schemas.openxmlformats.org/officeDocument/2006/relationships/ctrlProp" Target="../ctrlProps/ctrlProp102.xml"/><Relationship Id="rId110" Type="http://schemas.openxmlformats.org/officeDocument/2006/relationships/ctrlProp" Target="../ctrlProps/ctrlProp125.xml"/><Relationship Id="rId115" Type="http://schemas.openxmlformats.org/officeDocument/2006/relationships/ctrlProp" Target="../ctrlProps/ctrlProp130.xml"/><Relationship Id="rId131" Type="http://schemas.openxmlformats.org/officeDocument/2006/relationships/ctrlProp" Target="../ctrlProps/ctrlProp146.xml"/><Relationship Id="rId136" Type="http://schemas.openxmlformats.org/officeDocument/2006/relationships/ctrlProp" Target="../ctrlProps/ctrlProp151.xml"/><Relationship Id="rId61" Type="http://schemas.openxmlformats.org/officeDocument/2006/relationships/ctrlProp" Target="../ctrlProps/ctrlProp76.xml"/><Relationship Id="rId82" Type="http://schemas.openxmlformats.org/officeDocument/2006/relationships/ctrlProp" Target="../ctrlProps/ctrlProp97.xml"/><Relationship Id="rId19" Type="http://schemas.openxmlformats.org/officeDocument/2006/relationships/ctrlProp" Target="../ctrlProps/ctrlProp34.xml"/><Relationship Id="rId14" Type="http://schemas.openxmlformats.org/officeDocument/2006/relationships/ctrlProp" Target="../ctrlProps/ctrlProp29.xml"/><Relationship Id="rId30" Type="http://schemas.openxmlformats.org/officeDocument/2006/relationships/ctrlProp" Target="../ctrlProps/ctrlProp45.xml"/><Relationship Id="rId35" Type="http://schemas.openxmlformats.org/officeDocument/2006/relationships/ctrlProp" Target="../ctrlProps/ctrlProp50.xml"/><Relationship Id="rId56" Type="http://schemas.openxmlformats.org/officeDocument/2006/relationships/ctrlProp" Target="../ctrlProps/ctrlProp71.xml"/><Relationship Id="rId77" Type="http://schemas.openxmlformats.org/officeDocument/2006/relationships/ctrlProp" Target="../ctrlProps/ctrlProp92.xml"/><Relationship Id="rId100" Type="http://schemas.openxmlformats.org/officeDocument/2006/relationships/ctrlProp" Target="../ctrlProps/ctrlProp115.xml"/><Relationship Id="rId105" Type="http://schemas.openxmlformats.org/officeDocument/2006/relationships/ctrlProp" Target="../ctrlProps/ctrlProp120.xml"/><Relationship Id="rId126" Type="http://schemas.openxmlformats.org/officeDocument/2006/relationships/ctrlProp" Target="../ctrlProps/ctrlProp14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42"/>
  <sheetViews>
    <sheetView tabSelected="1" workbookViewId="0">
      <selection activeCell="B11" sqref="B11"/>
    </sheetView>
  </sheetViews>
  <sheetFormatPr defaultColWidth="9.140625" defaultRowHeight="12.75" x14ac:dyDescent="0.2"/>
  <cols>
    <col min="1" max="1" width="11.28515625" style="36" customWidth="1"/>
    <col min="2" max="2" width="102" style="31" customWidth="1"/>
    <col min="3" max="3" width="11.85546875" style="37" customWidth="1"/>
    <col min="4" max="4" width="69.7109375" style="31" customWidth="1"/>
    <col min="5" max="5" width="11.5703125" style="31" customWidth="1"/>
    <col min="6" max="6" width="14.85546875" style="31" customWidth="1"/>
    <col min="7" max="8" width="9.140625" style="31"/>
    <col min="9" max="9" width="11.85546875" style="31" customWidth="1"/>
    <col min="10" max="11" width="9.140625" style="31"/>
    <col min="12" max="12" width="18.7109375" style="31" customWidth="1"/>
    <col min="13" max="13" width="9.140625" style="31"/>
    <col min="14" max="14" width="27.5703125" style="31" customWidth="1"/>
    <col min="15" max="15" width="13.7109375" style="31" customWidth="1"/>
    <col min="16" max="16384" width="9.140625" style="31"/>
  </cols>
  <sheetData>
    <row r="1" spans="1:10" s="17" customFormat="1" ht="24" customHeight="1" x14ac:dyDescent="0.2"/>
    <row r="2" spans="1:10" s="18" customFormat="1" ht="18.75" x14ac:dyDescent="0.3">
      <c r="D2" s="19"/>
    </row>
    <row r="3" spans="1:10" s="17" customFormat="1" ht="25.5" x14ac:dyDescent="0.35">
      <c r="A3" s="18"/>
      <c r="B3" s="396" t="s">
        <v>77</v>
      </c>
      <c r="C3" s="18"/>
      <c r="D3" s="19"/>
      <c r="E3" s="18"/>
      <c r="F3" s="18"/>
      <c r="G3" s="18"/>
      <c r="H3" s="18"/>
      <c r="I3" s="20"/>
      <c r="J3" s="20"/>
    </row>
    <row r="4" spans="1:10" s="20" customFormat="1" ht="25.5" x14ac:dyDescent="0.25">
      <c r="A4" s="49"/>
      <c r="B4" s="888" t="str">
        <f>'OSNOVNI PODATKI'!B4</f>
        <v>Vrednotenje storitev na področju arhitekturnega 
in krajinskoarhitekturnega projektiranja</v>
      </c>
      <c r="D4" s="43"/>
    </row>
    <row r="5" spans="1:10" s="20" customFormat="1" ht="15.75" x14ac:dyDescent="0.25">
      <c r="A5" s="49"/>
      <c r="B5" s="1027"/>
      <c r="D5" s="43"/>
    </row>
    <row r="6" spans="1:10" s="17" customFormat="1" x14ac:dyDescent="0.2">
      <c r="A6" s="1021" t="str">
        <f>'OSNOVNI PODATKI'!A6</f>
        <v>V 5.18</v>
      </c>
      <c r="B6" s="888" t="str">
        <f>'OSNOVNI PODATKI'!B6</f>
        <v>JANUAR 2022</v>
      </c>
      <c r="D6" s="45"/>
    </row>
    <row r="7" spans="1:10" x14ac:dyDescent="0.2">
      <c r="A7" s="38"/>
      <c r="B7" s="62"/>
      <c r="C7" s="63"/>
      <c r="D7" s="39"/>
    </row>
    <row r="9" spans="1:10" s="20" customFormat="1" ht="25.5" x14ac:dyDescent="0.25">
      <c r="B9" s="387" t="s">
        <v>263</v>
      </c>
      <c r="C9" s="79"/>
      <c r="D9" s="79"/>
      <c r="E9" s="79"/>
      <c r="H9" s="47"/>
    </row>
    <row r="10" spans="1:10" s="20" customFormat="1" ht="18.75" x14ac:dyDescent="0.25">
      <c r="B10" s="83"/>
      <c r="C10" s="79"/>
      <c r="D10" s="79"/>
      <c r="E10" s="79"/>
      <c r="H10" s="47"/>
    </row>
    <row r="11" spans="1:10" s="20" customFormat="1" ht="51" x14ac:dyDescent="0.25">
      <c r="A11" s="381"/>
      <c r="B11" s="1023" t="s">
        <v>792</v>
      </c>
      <c r="C11" s="79"/>
      <c r="D11" s="79"/>
      <c r="E11" s="79"/>
      <c r="H11" s="47"/>
    </row>
    <row r="12" spans="1:10" s="20" customFormat="1" ht="15.75" x14ac:dyDescent="0.25">
      <c r="A12" s="381"/>
      <c r="B12" s="1023"/>
      <c r="C12" s="79"/>
      <c r="D12" s="79"/>
      <c r="E12" s="79"/>
      <c r="H12" s="47"/>
    </row>
    <row r="13" spans="1:10" s="20" customFormat="1" ht="25.5" x14ac:dyDescent="0.25">
      <c r="A13" s="381"/>
      <c r="B13" s="1023" t="s">
        <v>785</v>
      </c>
      <c r="C13" s="79"/>
      <c r="D13" s="79"/>
      <c r="E13" s="79"/>
      <c r="H13" s="47"/>
    </row>
    <row r="14" spans="1:10" s="20" customFormat="1" ht="15.75" x14ac:dyDescent="0.25">
      <c r="A14" s="381"/>
      <c r="B14" s="1022"/>
      <c r="C14" s="79"/>
      <c r="D14" s="79"/>
      <c r="E14" s="79"/>
      <c r="H14" s="47"/>
    </row>
    <row r="15" spans="1:10" s="20" customFormat="1" ht="15.75" x14ac:dyDescent="0.25">
      <c r="A15" s="381" t="s">
        <v>6</v>
      </c>
      <c r="B15" s="1022" t="s">
        <v>814</v>
      </c>
      <c r="C15" s="79"/>
      <c r="D15" s="79"/>
      <c r="E15" s="79"/>
      <c r="H15" s="47"/>
    </row>
    <row r="16" spans="1:10" s="20" customFormat="1" ht="15.75" x14ac:dyDescent="0.25">
      <c r="A16" s="381"/>
      <c r="B16" s="1022"/>
      <c r="C16" s="79"/>
      <c r="D16" s="79"/>
      <c r="E16" s="79"/>
      <c r="H16" s="47"/>
    </row>
    <row r="17" spans="1:15" s="20" customFormat="1" ht="25.5" x14ac:dyDescent="0.25">
      <c r="A17" s="381" t="s">
        <v>7</v>
      </c>
      <c r="B17" s="1022" t="s">
        <v>815</v>
      </c>
      <c r="C17" s="79"/>
      <c r="D17" s="79"/>
      <c r="E17" s="79"/>
      <c r="H17" s="47"/>
    </row>
    <row r="18" spans="1:15" s="20" customFormat="1" ht="102" x14ac:dyDescent="0.25">
      <c r="A18" s="381"/>
      <c r="B18" s="1022" t="str">
        <f>'OSNOVNI PODATKI'!B12:E12</f>
        <v>V primeru da gre za več objektov oziroma objekt z različnimi deli, se stroške gradnje lahko izračunava za vsak objekt ali del objekta posebej. Za vsak posemzen objekt ali del tako najprej vpišite ime objekta ali dela in izberite tipologijo za ta objekt ali del objekta. Na podlagi vašega izbora tipologije se bodo prikazale ocenjena minimalna in maksimalna vrednost gradnje v EUR/m2. Na podlagi teh vrednosti se odločite za vrednost, ki jo boste upoštevali v izračunu in jo vpišite v ustrezno polje. Vpišite še bruto tlorisno površino tega dela (bruto površina) in program bo izračunal oceno stroškov ter jo porazdelil med vrednosti del za GO, EI, SI in TH dela, ki so osnova za izračun obračunskih stroškov. Razmerja med temi deli so odvisna od izbrane tipologije objekta. Postopek ponovite za vse objekte oziroma dele objektov. Vrednosti ne vsebujejo DDV.</v>
      </c>
      <c r="C18" s="79"/>
      <c r="D18" s="79"/>
      <c r="E18" s="79"/>
      <c r="H18" s="47"/>
    </row>
    <row r="19" spans="1:15" s="37" customFormat="1" x14ac:dyDescent="0.2">
      <c r="A19" s="382"/>
      <c r="B19" s="1022"/>
      <c r="D19" s="31"/>
      <c r="E19" s="31"/>
      <c r="F19" s="31"/>
      <c r="G19" s="31"/>
      <c r="H19" s="31"/>
      <c r="I19" s="31"/>
      <c r="J19" s="31"/>
      <c r="K19" s="31"/>
      <c r="L19" s="31"/>
      <c r="M19" s="31"/>
      <c r="N19" s="31"/>
      <c r="O19" s="31"/>
    </row>
    <row r="20" spans="1:15" s="37" customFormat="1" x14ac:dyDescent="0.2">
      <c r="A20" s="382" t="s">
        <v>8</v>
      </c>
      <c r="B20" s="1022" t="s">
        <v>816</v>
      </c>
      <c r="D20" s="31"/>
      <c r="E20" s="31"/>
      <c r="F20" s="31"/>
      <c r="G20" s="31"/>
      <c r="H20" s="31"/>
      <c r="I20" s="31"/>
      <c r="J20" s="31"/>
      <c r="K20" s="31"/>
      <c r="L20" s="31"/>
      <c r="M20" s="31"/>
      <c r="N20" s="31"/>
      <c r="O20" s="31"/>
    </row>
    <row r="21" spans="1:15" s="37" customFormat="1" ht="76.5" x14ac:dyDescent="0.2">
      <c r="A21" s="382"/>
      <c r="B21" s="1022" t="str">
        <f>'OSNOVNI PODATKI'!B228:E228</f>
        <v xml:space="preserve">Cenovni razdredi se določijo v skladu s seznamom standardnih primerov tako, da se cenovni razred za vsak objekt oziroma njegov del razbere iz ustrezne tabele na zavihku CENOVNI RAZREDI, nato pa izbere v spodnji razpredelnici v poljih cenovni razred. Če določanje po seznamu ni mogoče oziroma kadar gre za sestavljene objekte ali različne vrste objektov, se določi razred, ki v tem primeru prevladuje, ali pa se razred določi s točkovanjem glede na posamezna merila za ocenjevanje navedena na zavihku CENOVNI RAZREDI, ki kot rezultat določijo cenovni razred. </v>
      </c>
      <c r="D21" s="31"/>
      <c r="E21" s="31"/>
      <c r="F21" s="31"/>
      <c r="G21" s="31"/>
      <c r="H21" s="31"/>
      <c r="I21" s="31"/>
      <c r="J21" s="31"/>
      <c r="K21" s="31"/>
      <c r="L21" s="31"/>
      <c r="M21" s="31"/>
      <c r="N21" s="31"/>
      <c r="O21" s="31"/>
    </row>
    <row r="22" spans="1:15" s="37" customFormat="1" x14ac:dyDescent="0.2">
      <c r="A22" s="382"/>
      <c r="B22" s="1022"/>
      <c r="D22" s="31"/>
      <c r="E22" s="31"/>
      <c r="F22" s="31"/>
      <c r="G22" s="31"/>
      <c r="H22" s="31"/>
      <c r="I22" s="31"/>
      <c r="J22" s="31"/>
      <c r="K22" s="31"/>
      <c r="L22" s="31"/>
      <c r="M22" s="31"/>
      <c r="N22" s="31"/>
      <c r="O22" s="31"/>
    </row>
    <row r="23" spans="1:15" s="37" customFormat="1" x14ac:dyDescent="0.2">
      <c r="A23" s="382" t="s">
        <v>142</v>
      </c>
      <c r="B23" s="1022" t="s">
        <v>758</v>
      </c>
      <c r="D23" s="31"/>
      <c r="E23" s="31"/>
      <c r="F23" s="31"/>
      <c r="G23" s="31"/>
      <c r="H23" s="31"/>
      <c r="I23" s="31"/>
      <c r="J23" s="31"/>
      <c r="K23" s="31"/>
      <c r="L23" s="31"/>
      <c r="M23" s="31"/>
      <c r="N23" s="31"/>
      <c r="O23" s="31"/>
    </row>
    <row r="24" spans="1:15" s="37" customFormat="1" ht="51" x14ac:dyDescent="0.2">
      <c r="A24" s="382"/>
      <c r="B24" s="1022" t="str">
        <f>'OSNOVNI PODATKI'!B233:E233</f>
        <v>Na podlagi obračunskih stroškov in izbranih cenovnih razredov se za vsako področje izračuna minimalno in maskimalno število NU. Če želite uporabiti srednjo vrednost potrebnega števila NU, odkljukajte ustrezen kvadratek. Če želite vnesti drugačno število NU, ga vpišite v stolpec H (modro polje) in izklopite kljukico v stolpcu G (uporabi srednjo vrednost števila NU).</v>
      </c>
      <c r="D24" s="31"/>
      <c r="E24" s="31"/>
      <c r="F24" s="31"/>
      <c r="G24" s="31"/>
      <c r="H24" s="31"/>
      <c r="I24" s="31"/>
      <c r="J24" s="31"/>
      <c r="K24" s="31"/>
      <c r="L24" s="31"/>
      <c r="M24" s="31"/>
      <c r="N24" s="31"/>
      <c r="O24" s="31"/>
    </row>
    <row r="25" spans="1:15" s="37" customFormat="1" x14ac:dyDescent="0.2">
      <c r="A25" s="382"/>
      <c r="B25" s="1022"/>
      <c r="D25" s="31"/>
      <c r="E25" s="31"/>
      <c r="F25" s="31"/>
      <c r="G25" s="31"/>
      <c r="H25" s="31"/>
      <c r="I25" s="31"/>
      <c r="J25" s="31"/>
      <c r="K25" s="31"/>
      <c r="L25" s="31"/>
      <c r="M25" s="31"/>
      <c r="N25" s="31"/>
      <c r="O25" s="31"/>
    </row>
    <row r="26" spans="1:15" s="37" customFormat="1" x14ac:dyDescent="0.2">
      <c r="A26" s="382" t="s">
        <v>143</v>
      </c>
      <c r="B26" s="1022" t="s">
        <v>759</v>
      </c>
      <c r="D26" s="31"/>
      <c r="E26" s="31"/>
      <c r="F26" s="31"/>
      <c r="G26" s="31"/>
      <c r="H26" s="31"/>
      <c r="I26" s="31"/>
      <c r="J26" s="31"/>
      <c r="K26" s="31"/>
      <c r="L26" s="31"/>
      <c r="M26" s="31"/>
      <c r="N26" s="31"/>
      <c r="O26" s="31"/>
    </row>
    <row r="27" spans="1:15" s="37" customFormat="1" x14ac:dyDescent="0.2">
      <c r="A27" s="36"/>
      <c r="B27" s="1022" t="str">
        <f>'OSNOVNI PODATKI'!B253</f>
        <v>Pribitki povečujejo ali zmanjšujejo izhodiščne vrednosti. Vpliv pribitkov se sproti prikazuje v stolpcu J.</v>
      </c>
      <c r="D27" s="31"/>
      <c r="E27" s="31"/>
      <c r="F27" s="31"/>
      <c r="G27" s="31"/>
      <c r="H27" s="31"/>
      <c r="I27" s="31"/>
      <c r="J27" s="31"/>
      <c r="K27" s="31"/>
      <c r="L27" s="31"/>
      <c r="M27" s="31"/>
      <c r="N27" s="31"/>
      <c r="O27" s="31"/>
    </row>
    <row r="28" spans="1:15" s="37" customFormat="1" x14ac:dyDescent="0.2">
      <c r="A28" s="36"/>
      <c r="B28" s="1022" t="s">
        <v>786</v>
      </c>
      <c r="D28" s="31"/>
      <c r="E28" s="31"/>
      <c r="F28" s="31"/>
      <c r="G28" s="31"/>
      <c r="H28" s="31"/>
      <c r="I28" s="31"/>
      <c r="J28" s="31"/>
      <c r="K28" s="31"/>
      <c r="L28" s="31"/>
      <c r="M28" s="31"/>
      <c r="N28" s="31"/>
      <c r="O28" s="31"/>
    </row>
    <row r="29" spans="1:15" s="37" customFormat="1" x14ac:dyDescent="0.2">
      <c r="A29" s="36"/>
      <c r="B29" s="650"/>
      <c r="D29" s="31"/>
      <c r="E29" s="31"/>
      <c r="F29" s="31"/>
      <c r="G29" s="31"/>
      <c r="H29" s="31"/>
      <c r="I29" s="31"/>
      <c r="J29" s="31"/>
      <c r="K29" s="31"/>
      <c r="L29" s="31"/>
      <c r="M29" s="31"/>
      <c r="N29" s="31"/>
      <c r="O29" s="31"/>
    </row>
    <row r="30" spans="1:15" s="37" customFormat="1" ht="55.9" customHeight="1" x14ac:dyDescent="0.2">
      <c r="A30" s="382" t="s">
        <v>9</v>
      </c>
      <c r="B30" s="1022" t="s">
        <v>818</v>
      </c>
      <c r="D30" s="31"/>
      <c r="E30" s="31"/>
      <c r="F30" s="31"/>
      <c r="G30" s="31"/>
      <c r="H30" s="31"/>
      <c r="I30" s="31"/>
      <c r="J30" s="31"/>
      <c r="K30" s="31"/>
      <c r="L30" s="31"/>
      <c r="M30" s="31"/>
      <c r="N30" s="31"/>
      <c r="O30" s="31"/>
    </row>
    <row r="31" spans="1:15" s="37" customFormat="1" x14ac:dyDescent="0.2">
      <c r="A31" s="36"/>
      <c r="B31" s="650" t="s">
        <v>819</v>
      </c>
      <c r="D31" s="31"/>
      <c r="E31" s="31"/>
      <c r="F31" s="31"/>
      <c r="G31" s="31"/>
      <c r="H31" s="31"/>
      <c r="I31" s="31"/>
      <c r="J31" s="31"/>
      <c r="K31" s="31"/>
      <c r="L31" s="31"/>
      <c r="M31" s="31"/>
      <c r="N31" s="31"/>
      <c r="O31" s="31"/>
    </row>
    <row r="32" spans="1:15" s="37" customFormat="1" x14ac:dyDescent="0.2">
      <c r="A32" s="36"/>
      <c r="B32" s="1022"/>
      <c r="D32" s="31"/>
      <c r="E32" s="31"/>
      <c r="F32" s="31"/>
      <c r="G32" s="31"/>
      <c r="H32" s="31"/>
      <c r="I32" s="31"/>
      <c r="J32" s="31"/>
      <c r="K32" s="31"/>
      <c r="L32" s="31"/>
      <c r="M32" s="31"/>
      <c r="N32" s="31"/>
      <c r="O32" s="31"/>
    </row>
    <row r="33" spans="1:15" s="37" customFormat="1" x14ac:dyDescent="0.2">
      <c r="A33" s="382" t="s">
        <v>180</v>
      </c>
      <c r="B33" s="1022" t="s">
        <v>782</v>
      </c>
      <c r="D33" s="31"/>
      <c r="E33" s="31"/>
      <c r="F33" s="31"/>
      <c r="G33" s="31"/>
      <c r="H33" s="31"/>
      <c r="I33" s="31"/>
      <c r="J33" s="31"/>
      <c r="K33" s="31"/>
      <c r="L33" s="31"/>
      <c r="M33" s="31"/>
      <c r="N33" s="31"/>
      <c r="O33" s="31"/>
    </row>
    <row r="34" spans="1:15" s="37" customFormat="1" x14ac:dyDescent="0.2">
      <c r="A34" s="36"/>
      <c r="B34" s="1022"/>
      <c r="D34" s="31"/>
      <c r="E34" s="31"/>
      <c r="F34" s="31"/>
      <c r="G34" s="31"/>
      <c r="H34" s="31"/>
      <c r="I34" s="31"/>
      <c r="J34" s="31"/>
      <c r="K34" s="31"/>
      <c r="L34" s="31"/>
      <c r="M34" s="31"/>
      <c r="N34" s="31"/>
      <c r="O34" s="31"/>
    </row>
    <row r="35" spans="1:15" s="37" customFormat="1" ht="63.75" x14ac:dyDescent="0.2">
      <c r="A35" s="382" t="s">
        <v>10</v>
      </c>
      <c r="B35" s="1022" t="s">
        <v>783</v>
      </c>
      <c r="D35" s="31"/>
      <c r="E35" s="31"/>
      <c r="F35" s="31"/>
      <c r="G35" s="31"/>
      <c r="H35" s="31"/>
      <c r="I35" s="31"/>
      <c r="J35" s="31"/>
      <c r="K35" s="31"/>
      <c r="L35" s="31"/>
      <c r="M35" s="31"/>
      <c r="N35" s="31"/>
      <c r="O35" s="31"/>
    </row>
    <row r="36" spans="1:15" s="37" customFormat="1" ht="46.5" customHeight="1" x14ac:dyDescent="0.2">
      <c r="A36" s="36"/>
      <c r="B36" s="1022" t="s">
        <v>820</v>
      </c>
      <c r="D36" s="31"/>
      <c r="E36" s="31"/>
      <c r="F36" s="31"/>
      <c r="G36" s="31"/>
      <c r="H36" s="31"/>
      <c r="I36" s="31"/>
      <c r="J36" s="31"/>
      <c r="K36" s="31"/>
      <c r="L36" s="31"/>
      <c r="M36" s="31"/>
      <c r="N36" s="31"/>
      <c r="O36" s="31"/>
    </row>
    <row r="37" spans="1:15" x14ac:dyDescent="0.2">
      <c r="B37" s="1022" t="s">
        <v>787</v>
      </c>
    </row>
    <row r="38" spans="1:15" x14ac:dyDescent="0.2">
      <c r="B38" s="650"/>
    </row>
    <row r="39" spans="1:15" x14ac:dyDescent="0.2">
      <c r="B39" s="1024" t="s">
        <v>262</v>
      </c>
    </row>
    <row r="40" spans="1:15" x14ac:dyDescent="0.2">
      <c r="B40" s="374"/>
    </row>
    <row r="42" spans="1:15" ht="15.75" x14ac:dyDescent="0.25">
      <c r="A42" s="35"/>
      <c r="B42" s="77" t="s">
        <v>1080</v>
      </c>
      <c r="C42" s="29"/>
      <c r="D42" s="30"/>
    </row>
  </sheetData>
  <pageMargins left="0.7" right="0.7" top="0.75" bottom="0.75" header="0.3" footer="0.3"/>
  <pageSetup paperSize="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440F0-F936-42FE-9BAE-77FAB3B58774}">
  <sheetPr codeName="Sheet12"/>
  <dimension ref="A1:L98"/>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4" width="9.140625" style="98"/>
    <col min="15" max="15" width="14.85546875" style="98" customWidth="1"/>
    <col min="16" max="16384" width="9.140625" style="98"/>
  </cols>
  <sheetData>
    <row r="1" spans="2:12" s="99" customFormat="1" ht="25.5" x14ac:dyDescent="0.2">
      <c r="B1" s="6" t="s">
        <v>419</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123" t="s">
        <v>91</v>
      </c>
      <c r="C4" s="109" t="s">
        <v>92</v>
      </c>
      <c r="D4" s="109"/>
      <c r="E4" s="109" t="s">
        <v>93</v>
      </c>
      <c r="F4" s="109"/>
      <c r="G4" s="109" t="s">
        <v>94</v>
      </c>
      <c r="H4" s="109"/>
      <c r="I4" s="109" t="s">
        <v>95</v>
      </c>
      <c r="J4" s="109"/>
      <c r="K4" s="109" t="s">
        <v>96</v>
      </c>
      <c r="L4" s="109"/>
    </row>
    <row r="5" spans="2:12" x14ac:dyDescent="0.2">
      <c r="B5" s="1124"/>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25000</v>
      </c>
      <c r="C7" s="470">
        <v>49</v>
      </c>
      <c r="D7" s="470">
        <v>58</v>
      </c>
      <c r="E7" s="470">
        <v>58</v>
      </c>
      <c r="F7" s="470">
        <v>67</v>
      </c>
      <c r="G7" s="470">
        <v>67</v>
      </c>
      <c r="H7" s="470">
        <v>76</v>
      </c>
      <c r="I7" s="470">
        <v>76</v>
      </c>
      <c r="J7" s="470">
        <v>85</v>
      </c>
      <c r="K7" s="470">
        <v>85</v>
      </c>
      <c r="L7" s="470">
        <v>94</v>
      </c>
    </row>
    <row r="8" spans="2:12" x14ac:dyDescent="0.2">
      <c r="B8" s="470">
        <v>35000</v>
      </c>
      <c r="C8" s="470">
        <v>62</v>
      </c>
      <c r="D8" s="470">
        <v>74</v>
      </c>
      <c r="E8" s="470">
        <v>74</v>
      </c>
      <c r="F8" s="470">
        <v>86</v>
      </c>
      <c r="G8" s="470">
        <v>86</v>
      </c>
      <c r="H8" s="470">
        <v>98</v>
      </c>
      <c r="I8" s="470">
        <v>98</v>
      </c>
      <c r="J8" s="470">
        <v>109</v>
      </c>
      <c r="K8" s="470">
        <v>109</v>
      </c>
      <c r="L8" s="470">
        <v>121</v>
      </c>
    </row>
    <row r="9" spans="2:12" x14ac:dyDescent="0.2">
      <c r="B9" s="470">
        <v>50000</v>
      </c>
      <c r="C9" s="470">
        <v>81</v>
      </c>
      <c r="D9" s="470">
        <v>97</v>
      </c>
      <c r="E9" s="470">
        <v>97</v>
      </c>
      <c r="F9" s="470">
        <v>112</v>
      </c>
      <c r="G9" s="470">
        <v>112</v>
      </c>
      <c r="H9" s="470">
        <v>128</v>
      </c>
      <c r="I9" s="470">
        <v>128</v>
      </c>
      <c r="J9" s="470">
        <v>142</v>
      </c>
      <c r="K9" s="470">
        <v>142</v>
      </c>
      <c r="L9" s="470">
        <v>157</v>
      </c>
    </row>
    <row r="10" spans="2:12" x14ac:dyDescent="0.2">
      <c r="B10" s="470">
        <v>75000</v>
      </c>
      <c r="C10" s="470">
        <v>109</v>
      </c>
      <c r="D10" s="470">
        <v>130</v>
      </c>
      <c r="E10" s="470">
        <v>130</v>
      </c>
      <c r="F10" s="470">
        <v>151</v>
      </c>
      <c r="G10" s="470">
        <v>151</v>
      </c>
      <c r="H10" s="470">
        <v>172</v>
      </c>
      <c r="I10" s="470">
        <v>172</v>
      </c>
      <c r="J10" s="470">
        <v>192</v>
      </c>
      <c r="K10" s="470">
        <v>192</v>
      </c>
      <c r="L10" s="470">
        <v>213</v>
      </c>
    </row>
    <row r="11" spans="2:12" x14ac:dyDescent="0.2">
      <c r="B11" s="470">
        <v>100000</v>
      </c>
      <c r="C11" s="470">
        <v>135</v>
      </c>
      <c r="D11" s="470">
        <v>161</v>
      </c>
      <c r="E11" s="470">
        <v>161</v>
      </c>
      <c r="F11" s="470">
        <v>187</v>
      </c>
      <c r="G11" s="470">
        <v>187</v>
      </c>
      <c r="H11" s="470">
        <v>213</v>
      </c>
      <c r="I11" s="470">
        <v>213</v>
      </c>
      <c r="J11" s="470">
        <v>237</v>
      </c>
      <c r="K11" s="470">
        <v>237</v>
      </c>
      <c r="L11" s="470">
        <v>263</v>
      </c>
    </row>
    <row r="12" spans="2:12" x14ac:dyDescent="0.2">
      <c r="B12" s="470">
        <v>150000</v>
      </c>
      <c r="C12" s="470">
        <v>183</v>
      </c>
      <c r="D12" s="470">
        <v>218</v>
      </c>
      <c r="E12" s="470">
        <v>218</v>
      </c>
      <c r="F12" s="470">
        <v>253</v>
      </c>
      <c r="G12" s="470">
        <v>253</v>
      </c>
      <c r="H12" s="470">
        <v>288</v>
      </c>
      <c r="I12" s="470">
        <v>288</v>
      </c>
      <c r="J12" s="470">
        <v>320</v>
      </c>
      <c r="K12" s="470">
        <v>320</v>
      </c>
      <c r="L12" s="470">
        <v>355</v>
      </c>
    </row>
    <row r="13" spans="2:12" x14ac:dyDescent="0.2">
      <c r="B13" s="470">
        <v>200000</v>
      </c>
      <c r="C13" s="470">
        <v>226</v>
      </c>
      <c r="D13" s="470">
        <v>270</v>
      </c>
      <c r="E13" s="470">
        <v>270</v>
      </c>
      <c r="F13" s="470">
        <v>313</v>
      </c>
      <c r="G13" s="470">
        <v>313</v>
      </c>
      <c r="H13" s="470">
        <v>356</v>
      </c>
      <c r="I13" s="470">
        <v>356</v>
      </c>
      <c r="J13" s="470">
        <v>396</v>
      </c>
      <c r="K13" s="470">
        <v>396</v>
      </c>
      <c r="L13" s="470">
        <v>439</v>
      </c>
    </row>
    <row r="14" spans="2:12" x14ac:dyDescent="0.2">
      <c r="B14" s="470">
        <v>300000</v>
      </c>
      <c r="C14" s="470">
        <v>305</v>
      </c>
      <c r="D14" s="470">
        <v>364</v>
      </c>
      <c r="E14" s="470">
        <v>364</v>
      </c>
      <c r="F14" s="470">
        <v>422</v>
      </c>
      <c r="G14" s="470">
        <v>422</v>
      </c>
      <c r="H14" s="470">
        <v>481</v>
      </c>
      <c r="I14" s="470">
        <v>481</v>
      </c>
      <c r="J14" s="470">
        <v>535</v>
      </c>
      <c r="K14" s="470">
        <v>535</v>
      </c>
      <c r="L14" s="470">
        <v>593</v>
      </c>
    </row>
    <row r="15" spans="2:12" x14ac:dyDescent="0.2">
      <c r="B15" s="470">
        <v>500000</v>
      </c>
      <c r="C15" s="470">
        <v>445</v>
      </c>
      <c r="D15" s="470">
        <v>530</v>
      </c>
      <c r="E15" s="470">
        <v>530</v>
      </c>
      <c r="F15" s="470">
        <v>616</v>
      </c>
      <c r="G15" s="470">
        <v>616</v>
      </c>
      <c r="H15" s="470">
        <v>701</v>
      </c>
      <c r="I15" s="470">
        <v>701</v>
      </c>
      <c r="J15" s="470">
        <v>779</v>
      </c>
      <c r="K15" s="470">
        <v>779</v>
      </c>
      <c r="L15" s="470">
        <v>864</v>
      </c>
    </row>
    <row r="16" spans="2:12" x14ac:dyDescent="0.2">
      <c r="B16" s="470">
        <v>750000</v>
      </c>
      <c r="C16" s="470">
        <v>600</v>
      </c>
      <c r="D16" s="470">
        <v>715</v>
      </c>
      <c r="E16" s="470">
        <v>715</v>
      </c>
      <c r="F16" s="470">
        <v>829</v>
      </c>
      <c r="G16" s="470">
        <v>829</v>
      </c>
      <c r="H16" s="470">
        <v>944</v>
      </c>
      <c r="I16" s="470">
        <v>944</v>
      </c>
      <c r="J16" s="470">
        <v>1050</v>
      </c>
      <c r="K16" s="470">
        <v>1050</v>
      </c>
      <c r="L16" s="470">
        <v>1165</v>
      </c>
    </row>
    <row r="17" spans="2:12" x14ac:dyDescent="0.2">
      <c r="B17" s="470">
        <v>1000000</v>
      </c>
      <c r="C17" s="470">
        <v>741</v>
      </c>
      <c r="D17" s="470">
        <v>882</v>
      </c>
      <c r="E17" s="470">
        <v>882</v>
      </c>
      <c r="F17" s="470">
        <v>1024</v>
      </c>
      <c r="G17" s="470">
        <v>1024</v>
      </c>
      <c r="H17" s="470">
        <v>1166</v>
      </c>
      <c r="I17" s="470">
        <v>1166</v>
      </c>
      <c r="J17" s="470">
        <v>1296</v>
      </c>
      <c r="K17" s="470">
        <v>1296</v>
      </c>
      <c r="L17" s="470">
        <v>1438</v>
      </c>
    </row>
    <row r="18" spans="2:12" x14ac:dyDescent="0.2">
      <c r="B18" s="470">
        <v>1500000</v>
      </c>
      <c r="C18" s="470">
        <v>1000</v>
      </c>
      <c r="D18" s="470">
        <v>1191</v>
      </c>
      <c r="E18" s="470">
        <v>1191</v>
      </c>
      <c r="F18" s="470">
        <v>1383</v>
      </c>
      <c r="G18" s="470">
        <v>1383</v>
      </c>
      <c r="H18" s="470">
        <v>1574</v>
      </c>
      <c r="I18" s="470">
        <v>1574</v>
      </c>
      <c r="J18" s="470">
        <v>1750</v>
      </c>
      <c r="K18" s="470">
        <v>1750</v>
      </c>
      <c r="L18" s="470">
        <v>1941</v>
      </c>
    </row>
    <row r="19" spans="2:12" x14ac:dyDescent="0.2">
      <c r="B19" s="470">
        <v>2000000</v>
      </c>
      <c r="C19" s="470">
        <v>1237</v>
      </c>
      <c r="D19" s="470">
        <v>1474</v>
      </c>
      <c r="E19" s="470">
        <v>1474</v>
      </c>
      <c r="F19" s="470">
        <v>1710</v>
      </c>
      <c r="G19" s="470">
        <v>1710</v>
      </c>
      <c r="H19" s="470">
        <v>1946</v>
      </c>
      <c r="I19" s="470">
        <v>1946</v>
      </c>
      <c r="J19" s="470">
        <v>2165</v>
      </c>
      <c r="K19" s="470">
        <v>2165</v>
      </c>
      <c r="L19" s="470">
        <v>2401</v>
      </c>
    </row>
    <row r="20" spans="2:12" x14ac:dyDescent="0.2">
      <c r="B20" s="470">
        <v>3000000</v>
      </c>
      <c r="C20" s="470">
        <v>1668</v>
      </c>
      <c r="D20" s="470">
        <v>1987</v>
      </c>
      <c r="E20" s="470">
        <v>1987</v>
      </c>
      <c r="F20" s="470">
        <v>2306</v>
      </c>
      <c r="G20" s="470">
        <v>2306</v>
      </c>
      <c r="H20" s="470">
        <v>2625</v>
      </c>
      <c r="I20" s="470">
        <v>2625</v>
      </c>
      <c r="J20" s="470">
        <v>2919</v>
      </c>
      <c r="K20" s="470">
        <v>2919</v>
      </c>
      <c r="L20" s="470">
        <v>3238</v>
      </c>
    </row>
    <row r="21" spans="2:12" x14ac:dyDescent="0.2">
      <c r="B21" s="470">
        <v>5000000</v>
      </c>
      <c r="C21" s="470">
        <v>2426</v>
      </c>
      <c r="D21" s="470">
        <v>2890</v>
      </c>
      <c r="E21" s="470">
        <v>2890</v>
      </c>
      <c r="F21" s="470">
        <v>3354</v>
      </c>
      <c r="G21" s="470">
        <v>3354</v>
      </c>
      <c r="H21" s="470">
        <v>3818</v>
      </c>
      <c r="I21" s="470">
        <v>3818</v>
      </c>
      <c r="J21" s="470">
        <v>4246</v>
      </c>
      <c r="K21" s="470">
        <v>4246</v>
      </c>
      <c r="L21" s="470">
        <v>4710</v>
      </c>
    </row>
    <row r="22" spans="2:12" x14ac:dyDescent="0.2">
      <c r="B22" s="470">
        <v>7500000</v>
      </c>
      <c r="C22" s="470">
        <v>3280</v>
      </c>
      <c r="D22" s="470">
        <v>3907</v>
      </c>
      <c r="E22" s="470">
        <v>3907</v>
      </c>
      <c r="F22" s="470">
        <v>4534</v>
      </c>
      <c r="G22" s="470">
        <v>4534</v>
      </c>
      <c r="H22" s="470">
        <v>5161</v>
      </c>
      <c r="I22" s="470">
        <v>5161</v>
      </c>
      <c r="J22" s="470">
        <v>5740</v>
      </c>
      <c r="K22" s="470">
        <v>5740</v>
      </c>
      <c r="L22" s="470">
        <v>6367</v>
      </c>
    </row>
    <row r="23" spans="2:12" x14ac:dyDescent="0.2">
      <c r="B23" s="470">
        <v>10000000</v>
      </c>
      <c r="C23" s="470">
        <v>4062</v>
      </c>
      <c r="D23" s="470">
        <v>4839</v>
      </c>
      <c r="E23" s="470">
        <v>4839</v>
      </c>
      <c r="F23" s="470">
        <v>5615</v>
      </c>
      <c r="G23" s="470">
        <v>5615</v>
      </c>
      <c r="H23" s="470">
        <v>6392</v>
      </c>
      <c r="I23" s="470">
        <v>6392</v>
      </c>
      <c r="J23" s="470">
        <v>7109</v>
      </c>
      <c r="K23" s="470">
        <v>7109</v>
      </c>
      <c r="L23" s="470">
        <v>7886</v>
      </c>
    </row>
    <row r="24" spans="2:12" x14ac:dyDescent="0.2">
      <c r="B24" s="470">
        <v>15000000</v>
      </c>
      <c r="C24" s="470">
        <v>5490</v>
      </c>
      <c r="D24" s="470">
        <v>6539</v>
      </c>
      <c r="E24" s="470">
        <v>6539</v>
      </c>
      <c r="F24" s="470">
        <v>7589</v>
      </c>
      <c r="G24" s="470">
        <v>7589</v>
      </c>
      <c r="H24" s="470">
        <v>8638</v>
      </c>
      <c r="I24" s="470">
        <v>8638</v>
      </c>
      <c r="J24" s="470">
        <v>9607</v>
      </c>
      <c r="K24" s="470">
        <v>9607</v>
      </c>
      <c r="L24" s="470">
        <v>10657</v>
      </c>
    </row>
    <row r="25" spans="2:12" x14ac:dyDescent="0.2">
      <c r="B25" s="470">
        <v>20000000</v>
      </c>
      <c r="C25" s="470">
        <v>6795</v>
      </c>
      <c r="D25" s="470">
        <v>8094</v>
      </c>
      <c r="E25" s="470">
        <v>8094</v>
      </c>
      <c r="F25" s="470">
        <v>9393</v>
      </c>
      <c r="G25" s="470">
        <v>9393</v>
      </c>
      <c r="H25" s="470">
        <v>10693</v>
      </c>
      <c r="I25" s="470">
        <v>10693</v>
      </c>
      <c r="J25" s="470">
        <v>11892</v>
      </c>
      <c r="K25" s="470">
        <v>11892</v>
      </c>
      <c r="L25" s="470">
        <v>13191</v>
      </c>
    </row>
    <row r="26" spans="2:12" x14ac:dyDescent="0.2">
      <c r="B26" s="470">
        <v>25000000</v>
      </c>
      <c r="C26" s="470">
        <v>8016</v>
      </c>
      <c r="D26" s="470">
        <v>9548</v>
      </c>
      <c r="E26" s="470">
        <v>9548</v>
      </c>
      <c r="F26" s="470">
        <v>11081</v>
      </c>
      <c r="G26" s="470">
        <v>11081</v>
      </c>
      <c r="H26" s="470">
        <v>12613</v>
      </c>
      <c r="I26" s="470">
        <v>12613</v>
      </c>
      <c r="J26" s="470">
        <v>14028</v>
      </c>
      <c r="K26" s="470">
        <v>14028</v>
      </c>
      <c r="L26" s="470">
        <v>15560</v>
      </c>
    </row>
    <row r="27" spans="2:12" s="2" customFormat="1" x14ac:dyDescent="0.2">
      <c r="B27" s="470">
        <v>50000000</v>
      </c>
      <c r="C27" s="470">
        <v>12150</v>
      </c>
      <c r="D27" s="470">
        <v>14490</v>
      </c>
      <c r="E27" s="470">
        <v>14490</v>
      </c>
      <c r="F27" s="470">
        <v>16830</v>
      </c>
      <c r="G27" s="470">
        <v>16830</v>
      </c>
      <c r="H27" s="470">
        <v>19170</v>
      </c>
      <c r="I27" s="470">
        <v>19170</v>
      </c>
      <c r="J27" s="470">
        <v>21330</v>
      </c>
      <c r="K27" s="470">
        <v>21330</v>
      </c>
      <c r="L27" s="470">
        <v>23670</v>
      </c>
    </row>
    <row r="28" spans="2:12" s="2" customFormat="1" x14ac:dyDescent="0.2">
      <c r="B28" s="470">
        <v>100000000</v>
      </c>
      <c r="C28" s="470">
        <v>18900</v>
      </c>
      <c r="D28" s="470">
        <v>22540.000000000004</v>
      </c>
      <c r="E28" s="470">
        <v>22540.000000000004</v>
      </c>
      <c r="F28" s="470">
        <v>26180.000000000004</v>
      </c>
      <c r="G28" s="470">
        <v>26180.000000000004</v>
      </c>
      <c r="H28" s="470">
        <v>29820.000000000004</v>
      </c>
      <c r="I28" s="470">
        <v>29820.000000000004</v>
      </c>
      <c r="J28" s="470">
        <v>33180</v>
      </c>
      <c r="K28" s="470">
        <v>33180</v>
      </c>
      <c r="L28" s="470">
        <v>36820</v>
      </c>
    </row>
    <row r="29" spans="2:12" s="2" customFormat="1" x14ac:dyDescent="0.2">
      <c r="B29" s="470">
        <v>150000000</v>
      </c>
      <c r="C29" s="470">
        <v>24300</v>
      </c>
      <c r="D29" s="470">
        <v>28980</v>
      </c>
      <c r="E29" s="470">
        <v>28980</v>
      </c>
      <c r="F29" s="470">
        <v>33660</v>
      </c>
      <c r="G29" s="470">
        <v>33660</v>
      </c>
      <c r="H29" s="470">
        <v>38340</v>
      </c>
      <c r="I29" s="470">
        <v>38340</v>
      </c>
      <c r="J29" s="470">
        <v>42660</v>
      </c>
      <c r="K29" s="470">
        <v>42660</v>
      </c>
      <c r="L29" s="470">
        <v>47340</v>
      </c>
    </row>
    <row r="30" spans="2:12" s="2" customFormat="1" x14ac:dyDescent="0.2">
      <c r="B30" s="470">
        <v>200000000</v>
      </c>
      <c r="C30" s="470">
        <v>27000</v>
      </c>
      <c r="D30" s="470">
        <v>32200</v>
      </c>
      <c r="E30" s="470">
        <v>32200</v>
      </c>
      <c r="F30" s="470">
        <v>37400</v>
      </c>
      <c r="G30" s="470">
        <v>37400</v>
      </c>
      <c r="H30" s="470">
        <v>42600</v>
      </c>
      <c r="I30" s="470">
        <v>42600</v>
      </c>
      <c r="J30" s="470">
        <v>47400</v>
      </c>
      <c r="K30" s="470">
        <v>47400</v>
      </c>
      <c r="L30" s="470">
        <v>52600</v>
      </c>
    </row>
    <row r="33" spans="2:12" s="2" customFormat="1" ht="14.25" x14ac:dyDescent="0.25">
      <c r="B33" s="461"/>
      <c r="C33" s="462"/>
      <c r="D33" s="462"/>
      <c r="E33" s="463"/>
      <c r="F33" s="462"/>
      <c r="G33" s="462"/>
      <c r="H33" s="7"/>
      <c r="I33" s="7"/>
      <c r="J33" s="7"/>
      <c r="K33" s="7"/>
      <c r="L33" s="7"/>
    </row>
    <row r="34" spans="2:12" s="101" customFormat="1" x14ac:dyDescent="0.2">
      <c r="B34" s="365" t="s">
        <v>412</v>
      </c>
      <c r="C34" s="365"/>
      <c r="D34" s="365"/>
      <c r="E34" s="365"/>
      <c r="F34" s="365"/>
      <c r="G34" s="458"/>
    </row>
    <row r="35" spans="2:12" s="101" customFormat="1" x14ac:dyDescent="0.2">
      <c r="B35" s="459" t="s">
        <v>127</v>
      </c>
      <c r="C35" s="464"/>
      <c r="D35" s="464"/>
      <c r="E35" s="465"/>
      <c r="F35" s="466">
        <f>'OSNOVNI PODATKI'!C241</f>
        <v>0</v>
      </c>
      <c r="G35" s="458"/>
    </row>
    <row r="36" spans="2:12" s="101" customFormat="1" x14ac:dyDescent="0.2">
      <c r="B36" s="460" t="s">
        <v>150</v>
      </c>
      <c r="C36" s="467"/>
      <c r="D36" s="467"/>
      <c r="E36" s="468"/>
      <c r="F36" s="469" t="str">
        <f>'OSNOVNI PODATKI'!D239</f>
        <v>Cenovni razred IV</v>
      </c>
      <c r="G36" s="458"/>
    </row>
    <row r="37" spans="2:12" s="101" customFormat="1" x14ac:dyDescent="0.2">
      <c r="B37" s="470" t="s">
        <v>33</v>
      </c>
      <c r="C37" s="467"/>
      <c r="D37" s="471"/>
      <c r="E37" s="471"/>
      <c r="F37" s="471">
        <f>IFERROR(MATCH(F36,C4:L4),"/")</f>
        <v>7</v>
      </c>
      <c r="G37" s="458"/>
    </row>
    <row r="38" spans="2:12" s="101" customFormat="1" x14ac:dyDescent="0.2">
      <c r="B38" s="470" t="s">
        <v>151</v>
      </c>
      <c r="C38" s="467"/>
      <c r="D38" s="471"/>
      <c r="E38" s="471"/>
      <c r="F38" s="471">
        <f>IFERROR(F37+1,"/")</f>
        <v>8</v>
      </c>
      <c r="G38" s="458"/>
    </row>
    <row r="39" spans="2:12" s="101" customFormat="1" x14ac:dyDescent="0.2">
      <c r="B39" s="470" t="s">
        <v>34</v>
      </c>
      <c r="C39" s="467"/>
      <c r="D39" s="471"/>
      <c r="E39" s="471"/>
      <c r="F39" s="471" t="str">
        <f>IF(OR(F35&gt;B30,F35&lt;B7),"/",IFERROR(MATCH(F35,B7:B30),"/"))</f>
        <v>/</v>
      </c>
      <c r="G39" s="458"/>
    </row>
    <row r="40" spans="2:12" s="101" customFormat="1" x14ac:dyDescent="0.2">
      <c r="B40" s="470" t="s">
        <v>35</v>
      </c>
      <c r="C40" s="467"/>
      <c r="D40" s="471"/>
      <c r="E40" s="471"/>
      <c r="F40" s="471" t="str">
        <f>IFERROR(F39+1,"/")</f>
        <v>/</v>
      </c>
      <c r="G40" s="458"/>
    </row>
    <row r="41" spans="2:12" s="101" customFormat="1" x14ac:dyDescent="0.2">
      <c r="B41" s="470" t="s">
        <v>153</v>
      </c>
      <c r="C41" s="467"/>
      <c r="D41" s="471"/>
      <c r="E41" s="471"/>
      <c r="F41" s="471">
        <f>IFERROR(INDEX($C$7:$L$30,F39,F37),0)</f>
        <v>0</v>
      </c>
      <c r="G41" s="458"/>
    </row>
    <row r="42" spans="2:12" s="101" customFormat="1" x14ac:dyDescent="0.2">
      <c r="B42" s="470" t="s">
        <v>110</v>
      </c>
      <c r="C42" s="467"/>
      <c r="D42" s="471"/>
      <c r="E42" s="471"/>
      <c r="F42" s="471">
        <f>IFERROR(INDEX($C$7:$L$30,F40,F37),0)</f>
        <v>0</v>
      </c>
      <c r="G42" s="458"/>
    </row>
    <row r="43" spans="2:12" s="101" customFormat="1" x14ac:dyDescent="0.2">
      <c r="B43" s="470" t="s">
        <v>122</v>
      </c>
      <c r="C43" s="467"/>
      <c r="D43" s="471"/>
      <c r="E43" s="471"/>
      <c r="F43" s="471">
        <f>IFERROR(INDEX($B$7:$B$30,F39),0)</f>
        <v>0</v>
      </c>
      <c r="G43" s="458"/>
    </row>
    <row r="44" spans="2:12" s="101" customFormat="1" x14ac:dyDescent="0.2">
      <c r="B44" s="470" t="s">
        <v>154</v>
      </c>
      <c r="C44" s="467"/>
      <c r="D44" s="471"/>
      <c r="E44" s="471"/>
      <c r="F44" s="471">
        <f>IFERROR(INDEX($B$7:$B$30,F40),0)</f>
        <v>0</v>
      </c>
      <c r="G44" s="458"/>
    </row>
    <row r="45" spans="2:12" s="101" customFormat="1" x14ac:dyDescent="0.2">
      <c r="B45" s="472" t="s">
        <v>155</v>
      </c>
      <c r="C45" s="473"/>
      <c r="D45" s="474"/>
      <c r="E45" s="474"/>
      <c r="F45" s="474">
        <f>IFERROR(FORECAST(F35,F41:F42,F43:F44),0)</f>
        <v>0</v>
      </c>
      <c r="G45" s="458"/>
    </row>
    <row r="46" spans="2:12" x14ac:dyDescent="0.2">
      <c r="B46" s="475"/>
      <c r="C46" s="458"/>
      <c r="D46" s="476"/>
      <c r="E46" s="476"/>
      <c r="F46" s="477" t="str">
        <f>IF(F39="/","NI DOLOČENO",F45)</f>
        <v>NI DOLOČENO</v>
      </c>
      <c r="G46" s="478"/>
    </row>
    <row r="47" spans="2:12" s="101" customFormat="1" x14ac:dyDescent="0.2">
      <c r="B47" s="475"/>
      <c r="C47" s="458"/>
      <c r="D47" s="476"/>
      <c r="E47" s="476"/>
      <c r="F47" s="476"/>
      <c r="G47" s="458"/>
    </row>
    <row r="48" spans="2:12" s="101" customFormat="1" x14ac:dyDescent="0.2">
      <c r="B48" s="479" t="s">
        <v>152</v>
      </c>
      <c r="C48" s="464"/>
      <c r="D48" s="480"/>
      <c r="E48" s="480"/>
      <c r="F48" s="480">
        <f>IFERROR(INDEX($C$7:$L$30,F39,F38),0)</f>
        <v>0</v>
      </c>
      <c r="G48" s="458"/>
    </row>
    <row r="49" spans="1:8" s="101" customFormat="1" x14ac:dyDescent="0.2">
      <c r="B49" s="470" t="s">
        <v>110</v>
      </c>
      <c r="C49" s="467"/>
      <c r="D49" s="471"/>
      <c r="E49" s="471"/>
      <c r="F49" s="471">
        <f>IFERROR(INDEX($C$7:$L$30,F40,F38),0)</f>
        <v>0</v>
      </c>
      <c r="G49" s="458"/>
    </row>
    <row r="50" spans="1:8" s="101" customFormat="1" x14ac:dyDescent="0.2">
      <c r="B50" s="472" t="s">
        <v>156</v>
      </c>
      <c r="C50" s="473"/>
      <c r="D50" s="474"/>
      <c r="E50" s="474"/>
      <c r="F50" s="474">
        <f>IFERROR(FORECAST(F35,F48:F49,F43:F44),0)</f>
        <v>0</v>
      </c>
      <c r="G50" s="458"/>
    </row>
    <row r="51" spans="1:8" x14ac:dyDescent="0.2">
      <c r="B51" s="476"/>
      <c r="C51" s="458"/>
      <c r="D51" s="476"/>
      <c r="E51" s="476"/>
      <c r="F51" s="477" t="str">
        <f>IF(F39="/","NI DOLOČENO",F50)</f>
        <v>NI DOLOČENO</v>
      </c>
      <c r="G51" s="478"/>
    </row>
    <row r="57" spans="1:8" s="101" customFormat="1" x14ac:dyDescent="0.2">
      <c r="A57" s="366"/>
      <c r="B57" s="366" t="s">
        <v>806</v>
      </c>
      <c r="C57" s="366"/>
      <c r="D57" s="366"/>
      <c r="E57" s="366"/>
      <c r="F57" s="366"/>
      <c r="G57" s="366"/>
    </row>
    <row r="58" spans="1:8" s="101" customFormat="1" x14ac:dyDescent="0.2">
      <c r="A58" s="367"/>
      <c r="B58" s="367"/>
      <c r="C58" s="367"/>
      <c r="D58" s="367"/>
      <c r="E58" s="367"/>
      <c r="F58" s="458"/>
      <c r="G58" s="367"/>
      <c r="H58" s="367"/>
    </row>
    <row r="59" spans="1:8" s="101" customFormat="1" x14ac:dyDescent="0.2">
      <c r="A59" s="458"/>
      <c r="B59" s="470" t="str">
        <f>'OSNOVNI PODATKI'!$B$255</f>
        <v>PRIBITEK ZA PRENOVO</v>
      </c>
      <c r="C59" s="467"/>
      <c r="D59" s="471"/>
      <c r="E59" s="471"/>
      <c r="F59" s="520">
        <f>'OSNOVNI PODATKI'!$E$255</f>
        <v>0</v>
      </c>
      <c r="G59" s="467"/>
      <c r="H59" s="467"/>
    </row>
    <row r="60" spans="1:8" s="101" customFormat="1" x14ac:dyDescent="0.2">
      <c r="A60" s="458"/>
      <c r="B60" s="470" t="str">
        <f>'OSNOVNI PODATKI'!$B$257</f>
        <v>UPORABA BIM PROCESOV</v>
      </c>
      <c r="C60" s="467"/>
      <c r="D60" s="471"/>
      <c r="E60" s="471"/>
      <c r="F60" s="521">
        <f>'OSNOVNI PODATKI'!$E$257</f>
        <v>0</v>
      </c>
      <c r="G60" s="467"/>
      <c r="H60" s="467"/>
    </row>
    <row r="61" spans="1:8" s="101" customFormat="1" x14ac:dyDescent="0.2">
      <c r="A61" s="458"/>
      <c r="B61" s="470" t="str">
        <f>'OSNOVNI PODATKI'!$B$258</f>
        <v>VKLJUČEVANJE DRUGIH IZVAJALCEV V POGODBO</v>
      </c>
      <c r="C61" s="467"/>
      <c r="D61" s="471"/>
      <c r="E61" s="471"/>
      <c r="F61" s="520">
        <f>'OSNOVNI PODATKI'!$E$258</f>
        <v>0</v>
      </c>
      <c r="G61" s="467"/>
      <c r="H61" s="467"/>
    </row>
    <row r="62" spans="1:8" s="101" customFormat="1" x14ac:dyDescent="0.2">
      <c r="A62" s="458"/>
      <c r="B62" s="470" t="str">
        <f>'OSNOVNI PODATKI'!$B$259</f>
        <v>GRADBENI NADZOR</v>
      </c>
      <c r="C62" s="467"/>
      <c r="D62" s="471"/>
      <c r="E62" s="471"/>
      <c r="F62" s="520">
        <f>IF('OSNOVNI PODATKI'!$E$259=TRUE,20%,0%)</f>
        <v>0</v>
      </c>
      <c r="G62" s="467"/>
      <c r="H62" s="467"/>
    </row>
    <row r="63" spans="1:8" s="101" customFormat="1" ht="25.5" customHeight="1" x14ac:dyDescent="0.2">
      <c r="A63" s="458"/>
      <c r="B63" s="1125" t="str">
        <f>'OSNOVNI PODATKI'!B266</f>
        <v>ODSTOTEK OBRAČUNSKIH STROŠKOV ZA OBJEKTE PROMETNE INFRASTRUKTURE</v>
      </c>
      <c r="C63" s="1125"/>
      <c r="D63" s="1125"/>
      <c r="E63" s="1125"/>
      <c r="F63" s="1048">
        <f>'OSNOVNI PODATKI'!E266</f>
        <v>1</v>
      </c>
      <c r="G63" s="1047"/>
      <c r="H63" s="1047"/>
    </row>
    <row r="64" spans="1:8" s="2" customFormat="1" x14ac:dyDescent="0.2">
      <c r="A64" s="458"/>
      <c r="B64" s="365"/>
      <c r="C64" s="365"/>
      <c r="D64" s="365"/>
      <c r="E64" s="365"/>
      <c r="F64" s="365"/>
      <c r="G64" s="365"/>
      <c r="H64" s="365"/>
    </row>
    <row r="65" spans="1:8" s="13" customFormat="1" ht="26.25" x14ac:dyDescent="0.25">
      <c r="A65" s="137"/>
      <c r="B65" s="138"/>
      <c r="C65" s="138"/>
      <c r="D65" s="138"/>
      <c r="E65" s="139" t="s">
        <v>31</v>
      </c>
      <c r="F65" s="509" t="s">
        <v>442</v>
      </c>
      <c r="G65" s="140" t="s">
        <v>76</v>
      </c>
      <c r="H65" s="141" t="s">
        <v>90</v>
      </c>
    </row>
    <row r="66" spans="1:8" s="14" customFormat="1" ht="14.25" x14ac:dyDescent="0.2">
      <c r="A66" s="132" t="s">
        <v>38</v>
      </c>
      <c r="B66" s="133" t="s">
        <v>39</v>
      </c>
      <c r="C66" s="133"/>
      <c r="D66" s="133"/>
      <c r="E66" s="134"/>
      <c r="F66" s="134"/>
      <c r="G66" s="135"/>
      <c r="H66" s="136"/>
    </row>
    <row r="67" spans="1:8" s="14" customFormat="1" ht="14.25" x14ac:dyDescent="0.2">
      <c r="A67" s="115" t="s">
        <v>40</v>
      </c>
      <c r="B67" s="127" t="s">
        <v>85</v>
      </c>
      <c r="C67" s="127"/>
      <c r="D67" s="127"/>
      <c r="E67" s="116"/>
      <c r="F67" s="116"/>
      <c r="G67" s="125"/>
      <c r="H67" s="117" t="str">
        <f>IF(I67=TRUE,G67*'VREDNOST NU'!#REF!,"")</f>
        <v/>
      </c>
    </row>
    <row r="68" spans="1:8" s="14" customFormat="1" ht="14.25" x14ac:dyDescent="0.2">
      <c r="A68" s="143" t="s">
        <v>41</v>
      </c>
      <c r="B68" s="144" t="s">
        <v>86</v>
      </c>
      <c r="C68" s="144"/>
      <c r="D68" s="144"/>
      <c r="E68" s="145"/>
      <c r="F68" s="145"/>
      <c r="G68" s="120"/>
      <c r="H68" s="121" t="str">
        <f>IF(I68=TRUE,G68*'VREDNOST NU'!#REF!,"")</f>
        <v/>
      </c>
    </row>
    <row r="69" spans="1:8" s="14" customFormat="1" ht="14.25" x14ac:dyDescent="0.2">
      <c r="A69" s="142" t="s">
        <v>42</v>
      </c>
      <c r="B69" s="133" t="s">
        <v>43</v>
      </c>
      <c r="C69" s="133"/>
      <c r="D69" s="133"/>
      <c r="E69" s="134">
        <f>SUM(E70:E72)</f>
        <v>0.02</v>
      </c>
      <c r="F69" s="134">
        <f>SUM(F70:F72)</f>
        <v>0.02</v>
      </c>
      <c r="G69" s="135">
        <f>SUM(G70:G72)</f>
        <v>0</v>
      </c>
      <c r="H69" s="136">
        <f>SUM(H70:H72)</f>
        <v>0</v>
      </c>
    </row>
    <row r="70" spans="1:8" s="14" customFormat="1" ht="14.25" x14ac:dyDescent="0.2">
      <c r="A70" s="118" t="s">
        <v>44</v>
      </c>
      <c r="B70" s="126" t="s">
        <v>87</v>
      </c>
      <c r="C70" s="126"/>
      <c r="D70" s="126"/>
      <c r="E70" s="116">
        <v>0.01</v>
      </c>
      <c r="F70" s="510">
        <f>E70*(100%+$F$59+$F$61)*F63</f>
        <v>0.01</v>
      </c>
      <c r="G70" s="125">
        <f>F70*'OSNOVNI PODATKI'!$I$241</f>
        <v>0</v>
      </c>
      <c r="H70" s="117">
        <f>+G70*'ARHIGRAM 5'!$I$17</f>
        <v>0</v>
      </c>
    </row>
    <row r="71" spans="1:8" s="14" customFormat="1" ht="14.25" x14ac:dyDescent="0.2">
      <c r="A71" s="118" t="s">
        <v>45</v>
      </c>
      <c r="B71" s="126" t="s">
        <v>88</v>
      </c>
      <c r="C71" s="126"/>
      <c r="D71" s="126"/>
      <c r="E71" s="116">
        <v>5.0000000000000001E-3</v>
      </c>
      <c r="F71" s="116">
        <f>E71*(100%+$F$59+$F$61)*F63</f>
        <v>5.0000000000000001E-3</v>
      </c>
      <c r="G71" s="125">
        <f>F71*'OSNOVNI PODATKI'!$I$241</f>
        <v>0</v>
      </c>
      <c r="H71" s="117">
        <f>+G71*'ARHIGRAM 5'!$I$17</f>
        <v>0</v>
      </c>
    </row>
    <row r="72" spans="1:8" s="14" customFormat="1" ht="14.25" x14ac:dyDescent="0.2">
      <c r="A72" s="148" t="s">
        <v>46</v>
      </c>
      <c r="B72" s="149" t="s">
        <v>741</v>
      </c>
      <c r="C72" s="149"/>
      <c r="D72" s="149"/>
      <c r="E72" s="145">
        <v>5.0000000000000001E-3</v>
      </c>
      <c r="F72" s="145">
        <f>E72*(100%+$F$59+$F$61)*F63</f>
        <v>5.0000000000000001E-3</v>
      </c>
      <c r="G72" s="120">
        <f>F72*'OSNOVNI PODATKI'!$I$241</f>
        <v>0</v>
      </c>
      <c r="H72" s="121">
        <f>+G72*'ARHIGRAM 5'!$I$17</f>
        <v>0</v>
      </c>
    </row>
    <row r="73" spans="1:8" s="14" customFormat="1" ht="14.25" x14ac:dyDescent="0.2">
      <c r="A73" s="146">
        <v>2</v>
      </c>
      <c r="B73" s="133" t="s">
        <v>47</v>
      </c>
      <c r="C73" s="133"/>
      <c r="D73" s="133"/>
      <c r="E73" s="134">
        <f>+E74+E75+E76+E77+E78</f>
        <v>0.78</v>
      </c>
      <c r="F73" s="134">
        <f>+F74+F75+F76+F77+F78</f>
        <v>0.78</v>
      </c>
      <c r="G73" s="147">
        <f>SUM(G74:G78)</f>
        <v>0</v>
      </c>
      <c r="H73" s="136">
        <f>SUM(H74:H78)</f>
        <v>0</v>
      </c>
    </row>
    <row r="74" spans="1:8" s="14" customFormat="1" ht="14.25" x14ac:dyDescent="0.2">
      <c r="A74" s="118" t="s">
        <v>70</v>
      </c>
      <c r="B74" s="126" t="s">
        <v>124</v>
      </c>
      <c r="C74" s="126"/>
      <c r="D74" s="126"/>
      <c r="E74" s="129">
        <v>0.2</v>
      </c>
      <c r="F74" s="129">
        <f>E74*(100%+$F$59+$F$60+$F$61)*F63</f>
        <v>0.2</v>
      </c>
      <c r="G74" s="125">
        <f>F74*'OSNOVNI PODATKI'!$I$241</f>
        <v>0</v>
      </c>
      <c r="H74" s="117">
        <f>+G74*'ARHIGRAM 5'!$I$17</f>
        <v>0</v>
      </c>
    </row>
    <row r="75" spans="1:8" s="14" customFormat="1" ht="14.25" x14ac:dyDescent="0.2">
      <c r="A75" s="130" t="s">
        <v>71</v>
      </c>
      <c r="B75" s="131" t="s">
        <v>617</v>
      </c>
      <c r="C75" s="131"/>
      <c r="D75" s="131"/>
      <c r="E75" s="129">
        <v>0.25</v>
      </c>
      <c r="F75" s="129">
        <f>E75*(100%+$F$59+$F$60+$F$61)*F63</f>
        <v>0.25</v>
      </c>
      <c r="G75" s="125">
        <f>F75*'OSNOVNI PODATKI'!$I$241</f>
        <v>0</v>
      </c>
      <c r="H75" s="117">
        <f>+G75*'ARHIGRAM 5'!$I$17</f>
        <v>0</v>
      </c>
    </row>
    <row r="76" spans="1:8" s="14" customFormat="1" ht="14.25" x14ac:dyDescent="0.2">
      <c r="A76" s="130" t="s">
        <v>72</v>
      </c>
      <c r="B76" s="131" t="s">
        <v>1074</v>
      </c>
      <c r="C76" s="131"/>
      <c r="D76" s="131"/>
      <c r="E76" s="129">
        <v>0.08</v>
      </c>
      <c r="F76" s="129">
        <f>E76*(100%+$F$59+$F$60+$F$61)*F63</f>
        <v>0.08</v>
      </c>
      <c r="G76" s="125">
        <f>F76*'OSNOVNI PODATKI'!$I$241</f>
        <v>0</v>
      </c>
      <c r="H76" s="117">
        <f>+G76*'ARHIGRAM 5'!$I$17</f>
        <v>0</v>
      </c>
    </row>
    <row r="77" spans="1:8" s="14" customFormat="1" ht="14.25" x14ac:dyDescent="0.2">
      <c r="A77" s="130" t="s">
        <v>125</v>
      </c>
      <c r="B77" s="131" t="s">
        <v>618</v>
      </c>
      <c r="C77" s="131"/>
      <c r="D77" s="131"/>
      <c r="E77" s="129">
        <v>0.15</v>
      </c>
      <c r="F77" s="129">
        <f>E77*(100%+$F$59+$F$60+$F$61)*F63</f>
        <v>0.15</v>
      </c>
      <c r="G77" s="125">
        <f>F77*'OSNOVNI PODATKI'!$I$241</f>
        <v>0</v>
      </c>
      <c r="H77" s="117">
        <f>+G77*'ARHIGRAM 5'!$I$17</f>
        <v>0</v>
      </c>
    </row>
    <row r="78" spans="1:8" s="14" customFormat="1" ht="14.25" x14ac:dyDescent="0.2">
      <c r="A78" s="151" t="s">
        <v>126</v>
      </c>
      <c r="B78" s="152" t="s">
        <v>742</v>
      </c>
      <c r="C78" s="152"/>
      <c r="D78" s="152"/>
      <c r="E78" s="153">
        <v>0.1</v>
      </c>
      <c r="F78" s="153">
        <f>E78*(100%+$F$59+$F$60+$F$61)*F63</f>
        <v>0.1</v>
      </c>
      <c r="G78" s="120">
        <f>F78*'OSNOVNI PODATKI'!$I$241</f>
        <v>0</v>
      </c>
      <c r="H78" s="121">
        <f>+G78*'ARHIGRAM 5'!$I$17</f>
        <v>0</v>
      </c>
    </row>
    <row r="79" spans="1:8" s="14" customFormat="1" ht="14.25" x14ac:dyDescent="0.2">
      <c r="A79" s="150" t="s">
        <v>58</v>
      </c>
      <c r="B79" s="133" t="s">
        <v>801</v>
      </c>
      <c r="C79" s="133"/>
      <c r="D79" s="133"/>
      <c r="E79" s="134">
        <f>SUM(E80:E81)</f>
        <v>0.04</v>
      </c>
      <c r="F79" s="134">
        <f>SUM(F80:F81)</f>
        <v>0.04</v>
      </c>
      <c r="G79" s="135">
        <f>SUM(G80:G81)</f>
        <v>0</v>
      </c>
      <c r="H79" s="136">
        <f>SUM(H80:H81)</f>
        <v>0</v>
      </c>
    </row>
    <row r="80" spans="1:8" s="14" customFormat="1" ht="14.25" x14ac:dyDescent="0.2">
      <c r="A80" s="119" t="s">
        <v>59</v>
      </c>
      <c r="B80" s="125" t="s">
        <v>743</v>
      </c>
      <c r="C80" s="125"/>
      <c r="D80" s="125"/>
      <c r="E80" s="116">
        <v>0.01</v>
      </c>
      <c r="F80" s="116">
        <f>E80*(100%+$F$59+$F$61)*F63</f>
        <v>0.01</v>
      </c>
      <c r="G80" s="125">
        <f>F80*'OSNOVNI PODATKI'!$I$241</f>
        <v>0</v>
      </c>
      <c r="H80" s="117">
        <f>+G80*'ARHIGRAM 5'!$I$17</f>
        <v>0</v>
      </c>
    </row>
    <row r="81" spans="1:8" s="14" customFormat="1" ht="14.25" x14ac:dyDescent="0.2">
      <c r="A81" s="155" t="s">
        <v>60</v>
      </c>
      <c r="B81" s="120" t="s">
        <v>255</v>
      </c>
      <c r="C81" s="120"/>
      <c r="D81" s="120"/>
      <c r="E81" s="145">
        <v>0.03</v>
      </c>
      <c r="F81" s="145">
        <f>E81*(100%+$F$59+$F$61)*F63</f>
        <v>0.03</v>
      </c>
      <c r="G81" s="120">
        <f>F81*'OSNOVNI PODATKI'!$I$241</f>
        <v>0</v>
      </c>
      <c r="H81" s="121">
        <f>+G81*'ARHIGRAM 5'!$I$17</f>
        <v>0</v>
      </c>
    </row>
    <row r="82" spans="1:8" s="14" customFormat="1" ht="14.25" x14ac:dyDescent="0.2">
      <c r="A82" s="154">
        <v>4</v>
      </c>
      <c r="B82" s="133" t="s">
        <v>80</v>
      </c>
      <c r="C82" s="133"/>
      <c r="D82" s="133"/>
      <c r="E82" s="134">
        <f>SUM(E83:E87)</f>
        <v>0.15000000000000002</v>
      </c>
      <c r="F82" s="134">
        <f>SUM(F83:F87)</f>
        <v>6.9999999999999993E-2</v>
      </c>
      <c r="G82" s="135">
        <f>SUM(G83:G87)</f>
        <v>0</v>
      </c>
      <c r="H82" s="136">
        <f>SUM(H83:H87)</f>
        <v>0</v>
      </c>
    </row>
    <row r="83" spans="1:8" s="14" customFormat="1" ht="14.25" x14ac:dyDescent="0.2">
      <c r="A83" s="119" t="s">
        <v>61</v>
      </c>
      <c r="B83" s="125" t="s">
        <v>256</v>
      </c>
      <c r="C83" s="125"/>
      <c r="D83" s="125"/>
      <c r="E83" s="116">
        <v>5.0000000000000001E-3</v>
      </c>
      <c r="F83" s="116">
        <f t="shared" ref="F83:F85" si="0">E83*(100%+$F$59+$F$61)</f>
        <v>5.0000000000000001E-3</v>
      </c>
      <c r="G83" s="125">
        <f>F83*'OSNOVNI PODATKI'!$I$241</f>
        <v>0</v>
      </c>
      <c r="H83" s="117">
        <f>+G83*'ARHIGRAM 5'!$I$17</f>
        <v>0</v>
      </c>
    </row>
    <row r="84" spans="1:8" s="14" customFormat="1" ht="14.25" x14ac:dyDescent="0.2">
      <c r="A84" s="119" t="s">
        <v>62</v>
      </c>
      <c r="B84" s="125" t="s">
        <v>779</v>
      </c>
      <c r="C84" s="125"/>
      <c r="D84" s="125"/>
      <c r="E84" s="116">
        <v>0.12</v>
      </c>
      <c r="F84" s="116">
        <f>(E84-8%+F62)*(100%+$F$59+$F$61)</f>
        <v>3.9999999999999994E-2</v>
      </c>
      <c r="G84" s="125">
        <f>F84*'OSNOVNI PODATKI'!$I$241</f>
        <v>0</v>
      </c>
      <c r="H84" s="117">
        <f>+G84*'ARHIGRAM 5'!$I$17</f>
        <v>0</v>
      </c>
    </row>
    <row r="85" spans="1:8" s="14" customFormat="1" ht="14.25" x14ac:dyDescent="0.2">
      <c r="A85" s="119" t="s">
        <v>63</v>
      </c>
      <c r="B85" s="125" t="s">
        <v>1076</v>
      </c>
      <c r="C85" s="125"/>
      <c r="D85" s="125"/>
      <c r="E85" s="116">
        <v>5.0000000000000001E-3</v>
      </c>
      <c r="F85" s="116">
        <f t="shared" si="0"/>
        <v>5.0000000000000001E-3</v>
      </c>
      <c r="G85" s="125">
        <f>F85*'OSNOVNI PODATKI'!$I$241</f>
        <v>0</v>
      </c>
      <c r="H85" s="117">
        <f>+G85*'ARHIGRAM 5'!$I$17</f>
        <v>0</v>
      </c>
    </row>
    <row r="86" spans="1:8" s="14" customFormat="1" ht="14.25" x14ac:dyDescent="0.2">
      <c r="A86" s="119" t="s">
        <v>64</v>
      </c>
      <c r="B86" s="125" t="s">
        <v>780</v>
      </c>
      <c r="C86" s="125"/>
      <c r="D86" s="125"/>
      <c r="E86" s="116">
        <v>0.01</v>
      </c>
      <c r="F86" s="116">
        <f>E86*(100%+$F$59+$F$61)</f>
        <v>0.01</v>
      </c>
      <c r="G86" s="125">
        <f>F86*'OSNOVNI PODATKI'!$I$241</f>
        <v>0</v>
      </c>
      <c r="H86" s="117">
        <f>+G86*'ARHIGRAM 5'!$I$17</f>
        <v>0</v>
      </c>
    </row>
    <row r="87" spans="1:8" s="14" customFormat="1" ht="14.25" x14ac:dyDescent="0.2">
      <c r="A87" s="155" t="s">
        <v>65</v>
      </c>
      <c r="B87" s="120" t="s">
        <v>744</v>
      </c>
      <c r="C87" s="120"/>
      <c r="D87" s="120"/>
      <c r="E87" s="145">
        <v>0.01</v>
      </c>
      <c r="F87" s="145">
        <f>E87*(100%+$F$59+$F$60+$F$61)</f>
        <v>0.01</v>
      </c>
      <c r="G87" s="120">
        <f>F87*'OSNOVNI PODATKI'!$I$241</f>
        <v>0</v>
      </c>
      <c r="H87" s="121">
        <f>+G87*'ARHIGRAM 5'!$I$17</f>
        <v>0</v>
      </c>
    </row>
    <row r="88" spans="1:8" s="14" customFormat="1" ht="14.25" x14ac:dyDescent="0.2">
      <c r="A88" s="156">
        <v>5</v>
      </c>
      <c r="B88" s="133" t="s">
        <v>66</v>
      </c>
      <c r="C88" s="133"/>
      <c r="D88" s="133"/>
      <c r="E88" s="134">
        <f>SUM(E89:E90)</f>
        <v>0.01</v>
      </c>
      <c r="F88" s="134">
        <f>SUM(F89:F90)</f>
        <v>0.01</v>
      </c>
      <c r="G88" s="135">
        <f>SUM(G89:G90)</f>
        <v>0</v>
      </c>
      <c r="H88" s="136">
        <f>SUM(H89:H90)</f>
        <v>0</v>
      </c>
    </row>
    <row r="89" spans="1:8" s="14" customFormat="1" ht="14.25" x14ac:dyDescent="0.2">
      <c r="A89" s="119" t="s">
        <v>67</v>
      </c>
      <c r="B89" s="128" t="s">
        <v>257</v>
      </c>
      <c r="C89" s="128"/>
      <c r="D89" s="128"/>
      <c r="E89" s="116">
        <v>5.0000000000000001E-3</v>
      </c>
      <c r="F89" s="116">
        <f>E89*(100%+$F$59+$F$61)*F63</f>
        <v>5.0000000000000001E-3</v>
      </c>
      <c r="G89" s="125">
        <f>F89*'OSNOVNI PODATKI'!$I$241</f>
        <v>0</v>
      </c>
      <c r="H89" s="117">
        <f>+G89*'ARHIGRAM 5'!$I$17</f>
        <v>0</v>
      </c>
    </row>
    <row r="90" spans="1:8" s="14" customFormat="1" ht="14.25" x14ac:dyDescent="0.2">
      <c r="A90" s="155" t="s">
        <v>68</v>
      </c>
      <c r="B90" s="158" t="s">
        <v>781</v>
      </c>
      <c r="C90" s="158"/>
      <c r="D90" s="158"/>
      <c r="E90" s="145">
        <v>5.0000000000000001E-3</v>
      </c>
      <c r="F90" s="145">
        <f>E90*(100%+$F$59+$F$61)*F63</f>
        <v>5.0000000000000001E-3</v>
      </c>
      <c r="G90" s="120">
        <f>F90*'OSNOVNI PODATKI'!$I$241</f>
        <v>0</v>
      </c>
      <c r="H90" s="121">
        <f>+G90*'ARHIGRAM 5'!$I$17</f>
        <v>0</v>
      </c>
    </row>
    <row r="91" spans="1:8" s="14" customFormat="1" ht="14.25" x14ac:dyDescent="0.2">
      <c r="A91" s="157">
        <v>6</v>
      </c>
      <c r="B91" s="133" t="s">
        <v>69</v>
      </c>
      <c r="C91" s="133"/>
      <c r="D91" s="133"/>
      <c r="E91" s="134"/>
      <c r="F91" s="134"/>
      <c r="G91" s="135"/>
      <c r="H91" s="136"/>
    </row>
    <row r="92" spans="1:8" s="14" customFormat="1" ht="14.25" x14ac:dyDescent="0.2">
      <c r="A92" s="119" t="s">
        <v>73</v>
      </c>
      <c r="B92" s="128" t="s">
        <v>259</v>
      </c>
      <c r="C92" s="128"/>
      <c r="D92" s="128"/>
      <c r="E92" s="116"/>
      <c r="F92" s="116"/>
      <c r="G92" s="125"/>
      <c r="H92" s="117"/>
    </row>
    <row r="93" spans="1:8" s="14" customFormat="1" ht="14.25" x14ac:dyDescent="0.2">
      <c r="A93" s="119" t="s">
        <v>74</v>
      </c>
      <c r="B93" s="128" t="s">
        <v>260</v>
      </c>
      <c r="C93" s="128"/>
      <c r="D93" s="128"/>
      <c r="E93" s="116"/>
      <c r="F93" s="116"/>
      <c r="G93" s="125"/>
      <c r="H93" s="117"/>
    </row>
    <row r="94" spans="1:8" s="14" customFormat="1" ht="14.25" x14ac:dyDescent="0.2">
      <c r="A94" s="155" t="s">
        <v>75</v>
      </c>
      <c r="B94" s="158" t="s">
        <v>261</v>
      </c>
      <c r="C94" s="158"/>
      <c r="D94" s="158"/>
      <c r="E94" s="145"/>
      <c r="F94" s="145"/>
      <c r="G94" s="120"/>
      <c r="H94" s="121"/>
    </row>
    <row r="95" spans="1:8" s="14" customFormat="1" ht="14.25" x14ac:dyDescent="0.2">
      <c r="A95" s="122"/>
      <c r="B95" s="123"/>
      <c r="C95" s="123"/>
      <c r="D95" s="123"/>
      <c r="E95" s="124"/>
      <c r="F95" s="124"/>
      <c r="G95" s="159"/>
      <c r="H95" s="160"/>
    </row>
    <row r="96" spans="1:8" s="14" customFormat="1" ht="14.25" x14ac:dyDescent="0.2">
      <c r="A96" s="165"/>
      <c r="B96" s="166" t="s">
        <v>1</v>
      </c>
      <c r="C96" s="166"/>
      <c r="D96" s="166"/>
      <c r="E96" s="167">
        <f>E66+E69+E73+E79+E82+E88+E91</f>
        <v>1</v>
      </c>
      <c r="F96" s="167"/>
      <c r="G96" s="174">
        <f>G66+G69+G73+G79+G82+G88+G91</f>
        <v>0</v>
      </c>
      <c r="H96" s="168">
        <f>H66+H69+H73+H79+H82+H88+H91</f>
        <v>0</v>
      </c>
    </row>
    <row r="97" spans="1:8" s="14" customFormat="1" ht="14.25" x14ac:dyDescent="0.2">
      <c r="A97" s="161"/>
      <c r="B97" s="162" t="s">
        <v>436</v>
      </c>
      <c r="C97" s="163"/>
      <c r="D97" s="163"/>
      <c r="E97" s="33"/>
      <c r="G97" s="33"/>
      <c r="H97" s="164">
        <f>IFERROR(H96/'OSNOVNI PODATKI'!$D$198,0)</f>
        <v>0</v>
      </c>
    </row>
    <row r="98" spans="1:8" ht="14.25" x14ac:dyDescent="0.2">
      <c r="A98" s="161"/>
      <c r="B98" s="162" t="s">
        <v>247</v>
      </c>
      <c r="C98" s="163"/>
      <c r="D98" s="163"/>
      <c r="E98" s="33"/>
      <c r="G98" s="33"/>
      <c r="H98" s="164">
        <f>IFERROR(H96/'OSNOVNI PODATKI'!$D$206,0)</f>
        <v>0</v>
      </c>
    </row>
  </sheetData>
  <mergeCells count="2">
    <mergeCell ref="B4:B5"/>
    <mergeCell ref="B63:E6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L110"/>
  <sheetViews>
    <sheetView workbookViewId="0">
      <selection activeCell="A2" sqref="A2:XFD2"/>
    </sheetView>
  </sheetViews>
  <sheetFormatPr defaultColWidth="9.140625" defaultRowHeight="12.75" x14ac:dyDescent="0.2"/>
  <cols>
    <col min="1" max="1" width="8.140625" style="98" customWidth="1"/>
    <col min="2" max="2" width="15" style="98" customWidth="1"/>
    <col min="3" max="7" width="13.5703125" style="98" customWidth="1"/>
    <col min="8" max="8" width="14.28515625" style="98" customWidth="1"/>
    <col min="9" max="12" width="13.5703125" style="98" customWidth="1"/>
    <col min="13" max="16384" width="9.140625" style="98"/>
  </cols>
  <sheetData>
    <row r="1" spans="2:12" s="99" customFormat="1" ht="25.5" x14ac:dyDescent="0.2">
      <c r="B1" s="6" t="s">
        <v>111</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123" t="s">
        <v>91</v>
      </c>
      <c r="C4" s="109" t="s">
        <v>92</v>
      </c>
      <c r="D4" s="109"/>
      <c r="E4" s="109" t="s">
        <v>93</v>
      </c>
      <c r="F4" s="109"/>
      <c r="G4" s="109" t="s">
        <v>94</v>
      </c>
      <c r="H4" s="109"/>
      <c r="I4" s="109" t="s">
        <v>95</v>
      </c>
      <c r="J4" s="109"/>
      <c r="K4" s="109" t="s">
        <v>96</v>
      </c>
      <c r="L4" s="109"/>
    </row>
    <row r="5" spans="2:12" x14ac:dyDescent="0.2">
      <c r="B5" s="1124"/>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10000</v>
      </c>
      <c r="C7" s="470">
        <v>24</v>
      </c>
      <c r="D7" s="470">
        <v>27</v>
      </c>
      <c r="E7" s="470">
        <v>27</v>
      </c>
      <c r="F7" s="470">
        <v>34</v>
      </c>
      <c r="G7" s="470">
        <v>34</v>
      </c>
      <c r="H7" s="470">
        <v>43</v>
      </c>
      <c r="I7" s="470">
        <v>43</v>
      </c>
      <c r="J7" s="470">
        <v>50</v>
      </c>
      <c r="K7" s="470">
        <v>50</v>
      </c>
      <c r="L7" s="470">
        <v>53</v>
      </c>
    </row>
    <row r="8" spans="2:12" x14ac:dyDescent="0.2">
      <c r="B8" s="470">
        <v>15000</v>
      </c>
      <c r="C8" s="470">
        <v>34</v>
      </c>
      <c r="D8" s="470">
        <v>37</v>
      </c>
      <c r="E8" s="470">
        <v>37</v>
      </c>
      <c r="F8" s="470">
        <v>47</v>
      </c>
      <c r="G8" s="470">
        <v>47</v>
      </c>
      <c r="H8" s="470">
        <v>59</v>
      </c>
      <c r="I8" s="470">
        <v>59</v>
      </c>
      <c r="J8" s="470">
        <v>69</v>
      </c>
      <c r="K8" s="470">
        <v>69</v>
      </c>
      <c r="L8" s="470">
        <v>73</v>
      </c>
    </row>
    <row r="9" spans="2:12" x14ac:dyDescent="0.2">
      <c r="B9" s="470">
        <v>25000</v>
      </c>
      <c r="C9" s="470">
        <v>50</v>
      </c>
      <c r="D9" s="470">
        <v>56</v>
      </c>
      <c r="E9" s="470">
        <v>56</v>
      </c>
      <c r="F9" s="470">
        <v>71</v>
      </c>
      <c r="G9" s="470">
        <v>71</v>
      </c>
      <c r="H9" s="470">
        <v>88</v>
      </c>
      <c r="I9" s="470">
        <v>88</v>
      </c>
      <c r="J9" s="470">
        <v>103</v>
      </c>
      <c r="K9" s="470">
        <v>103</v>
      </c>
      <c r="L9" s="470">
        <v>109</v>
      </c>
    </row>
    <row r="10" spans="2:12" x14ac:dyDescent="0.2">
      <c r="B10" s="470">
        <v>50000</v>
      </c>
      <c r="C10" s="470">
        <v>86</v>
      </c>
      <c r="D10" s="470">
        <v>96</v>
      </c>
      <c r="E10" s="470">
        <v>96</v>
      </c>
      <c r="F10" s="470">
        <v>122</v>
      </c>
      <c r="G10" s="470">
        <v>122</v>
      </c>
      <c r="H10" s="470">
        <v>152</v>
      </c>
      <c r="I10" s="470">
        <v>152</v>
      </c>
      <c r="J10" s="470">
        <v>178</v>
      </c>
      <c r="K10" s="470">
        <v>178</v>
      </c>
      <c r="L10" s="470">
        <v>188</v>
      </c>
    </row>
    <row r="11" spans="2:12" x14ac:dyDescent="0.2">
      <c r="B11" s="470">
        <v>75000</v>
      </c>
      <c r="C11" s="470">
        <v>119</v>
      </c>
      <c r="D11" s="470">
        <v>132</v>
      </c>
      <c r="E11" s="470">
        <v>132</v>
      </c>
      <c r="F11" s="470">
        <v>168</v>
      </c>
      <c r="G11" s="470">
        <v>168</v>
      </c>
      <c r="H11" s="470">
        <v>210</v>
      </c>
      <c r="I11" s="470">
        <v>210</v>
      </c>
      <c r="J11" s="470">
        <v>245</v>
      </c>
      <c r="K11" s="470">
        <v>245</v>
      </c>
      <c r="L11" s="470">
        <v>259</v>
      </c>
    </row>
    <row r="12" spans="2:12" x14ac:dyDescent="0.2">
      <c r="B12" s="470">
        <v>100000</v>
      </c>
      <c r="C12" s="470">
        <v>149</v>
      </c>
      <c r="D12" s="470">
        <v>166</v>
      </c>
      <c r="E12" s="470">
        <v>166</v>
      </c>
      <c r="F12" s="470">
        <v>211</v>
      </c>
      <c r="G12" s="470">
        <v>211</v>
      </c>
      <c r="H12" s="470">
        <v>263</v>
      </c>
      <c r="I12" s="470">
        <v>263</v>
      </c>
      <c r="J12" s="470">
        <v>308</v>
      </c>
      <c r="K12" s="470">
        <v>308</v>
      </c>
      <c r="L12" s="470">
        <v>324</v>
      </c>
    </row>
    <row r="13" spans="2:12" x14ac:dyDescent="0.2">
      <c r="B13" s="470">
        <v>150000</v>
      </c>
      <c r="C13" s="470">
        <v>205</v>
      </c>
      <c r="D13" s="470">
        <v>228</v>
      </c>
      <c r="E13" s="470">
        <v>228</v>
      </c>
      <c r="F13" s="470">
        <v>290</v>
      </c>
      <c r="G13" s="470">
        <v>290</v>
      </c>
      <c r="H13" s="470">
        <v>361</v>
      </c>
      <c r="I13" s="470">
        <v>361</v>
      </c>
      <c r="J13" s="470">
        <v>423</v>
      </c>
      <c r="K13" s="470">
        <v>423</v>
      </c>
      <c r="L13" s="470">
        <v>446</v>
      </c>
    </row>
    <row r="14" spans="2:12" x14ac:dyDescent="0.2">
      <c r="B14" s="470">
        <v>250000</v>
      </c>
      <c r="C14" s="470">
        <v>306</v>
      </c>
      <c r="D14" s="470">
        <v>340</v>
      </c>
      <c r="E14" s="470">
        <v>340</v>
      </c>
      <c r="F14" s="470">
        <v>433</v>
      </c>
      <c r="G14" s="470">
        <v>433</v>
      </c>
      <c r="H14" s="470">
        <v>539</v>
      </c>
      <c r="I14" s="470">
        <v>539</v>
      </c>
      <c r="J14" s="470">
        <v>632</v>
      </c>
      <c r="K14" s="470">
        <v>632</v>
      </c>
      <c r="L14" s="470">
        <v>666</v>
      </c>
    </row>
    <row r="15" spans="2:12" x14ac:dyDescent="0.2">
      <c r="B15" s="470">
        <v>350000</v>
      </c>
      <c r="C15" s="470">
        <v>398</v>
      </c>
      <c r="D15" s="470">
        <v>443</v>
      </c>
      <c r="E15" s="470">
        <v>443</v>
      </c>
      <c r="F15" s="470">
        <v>563</v>
      </c>
      <c r="G15" s="470">
        <v>563</v>
      </c>
      <c r="H15" s="470">
        <v>702</v>
      </c>
      <c r="I15" s="470">
        <v>702</v>
      </c>
      <c r="J15" s="470">
        <v>822</v>
      </c>
      <c r="K15" s="470">
        <v>822</v>
      </c>
      <c r="L15" s="470">
        <v>867</v>
      </c>
    </row>
    <row r="16" spans="2:12" x14ac:dyDescent="0.2">
      <c r="B16" s="470">
        <v>500000</v>
      </c>
      <c r="C16" s="470">
        <v>527</v>
      </c>
      <c r="D16" s="470">
        <v>585</v>
      </c>
      <c r="E16" s="470">
        <v>585</v>
      </c>
      <c r="F16" s="470">
        <v>744</v>
      </c>
      <c r="G16" s="470">
        <v>744</v>
      </c>
      <c r="H16" s="470">
        <v>928</v>
      </c>
      <c r="I16" s="470">
        <v>928</v>
      </c>
      <c r="J16" s="470">
        <v>1087</v>
      </c>
      <c r="K16" s="470">
        <v>1087</v>
      </c>
      <c r="L16" s="470">
        <v>1145</v>
      </c>
    </row>
    <row r="17" spans="2:12" x14ac:dyDescent="0.2">
      <c r="B17" s="470">
        <v>750000</v>
      </c>
      <c r="C17" s="470">
        <v>724</v>
      </c>
      <c r="D17" s="470">
        <v>805</v>
      </c>
      <c r="E17" s="470">
        <v>805</v>
      </c>
      <c r="F17" s="470">
        <v>1023</v>
      </c>
      <c r="G17" s="470">
        <v>1023</v>
      </c>
      <c r="H17" s="470">
        <v>1276</v>
      </c>
      <c r="I17" s="470">
        <v>1276</v>
      </c>
      <c r="J17" s="470">
        <v>1495</v>
      </c>
      <c r="K17" s="470">
        <v>1495</v>
      </c>
      <c r="L17" s="470">
        <v>1575</v>
      </c>
    </row>
    <row r="18" spans="2:12" x14ac:dyDescent="0.2">
      <c r="B18" s="470">
        <v>1000000</v>
      </c>
      <c r="C18" s="470">
        <v>908</v>
      </c>
      <c r="D18" s="470">
        <v>1009</v>
      </c>
      <c r="E18" s="470">
        <v>1009</v>
      </c>
      <c r="F18" s="470">
        <v>1283</v>
      </c>
      <c r="G18" s="470">
        <v>1283</v>
      </c>
      <c r="H18" s="470">
        <v>1600</v>
      </c>
      <c r="I18" s="470">
        <v>1600</v>
      </c>
      <c r="J18" s="470">
        <v>1874</v>
      </c>
      <c r="K18" s="470">
        <v>1874</v>
      </c>
      <c r="L18" s="470">
        <v>1975</v>
      </c>
    </row>
    <row r="19" spans="2:12" x14ac:dyDescent="0.2">
      <c r="B19" s="470">
        <v>1250000</v>
      </c>
      <c r="C19" s="470">
        <v>1082</v>
      </c>
      <c r="D19" s="470">
        <v>1203</v>
      </c>
      <c r="E19" s="470">
        <v>1203</v>
      </c>
      <c r="F19" s="470">
        <v>1529</v>
      </c>
      <c r="G19" s="470">
        <v>1529</v>
      </c>
      <c r="H19" s="470">
        <v>1907</v>
      </c>
      <c r="I19" s="470">
        <v>1907</v>
      </c>
      <c r="J19" s="470">
        <v>2233</v>
      </c>
      <c r="K19" s="470">
        <v>2233</v>
      </c>
      <c r="L19" s="470">
        <v>2354</v>
      </c>
    </row>
    <row r="20" spans="2:12" x14ac:dyDescent="0.2">
      <c r="B20" s="470">
        <v>1500000</v>
      </c>
      <c r="C20" s="470">
        <v>1249</v>
      </c>
      <c r="D20" s="470">
        <v>1388</v>
      </c>
      <c r="E20" s="470">
        <v>1388</v>
      </c>
      <c r="F20" s="470">
        <v>1764</v>
      </c>
      <c r="G20" s="470">
        <v>1764</v>
      </c>
      <c r="H20" s="470">
        <v>2201</v>
      </c>
      <c r="I20" s="470">
        <v>2201</v>
      </c>
      <c r="J20" s="470">
        <v>2577</v>
      </c>
      <c r="K20" s="470">
        <v>2577</v>
      </c>
      <c r="L20" s="470">
        <v>2716</v>
      </c>
    </row>
    <row r="21" spans="2:12" x14ac:dyDescent="0.2">
      <c r="B21" s="470">
        <v>2000000</v>
      </c>
      <c r="C21" s="470">
        <v>1565</v>
      </c>
      <c r="D21" s="470">
        <v>1739</v>
      </c>
      <c r="E21" s="470">
        <v>1739</v>
      </c>
      <c r="F21" s="470">
        <v>2211</v>
      </c>
      <c r="G21" s="470">
        <v>2211</v>
      </c>
      <c r="H21" s="470">
        <v>2758</v>
      </c>
      <c r="I21" s="470">
        <v>2758</v>
      </c>
      <c r="J21" s="470">
        <v>3230</v>
      </c>
      <c r="K21" s="470">
        <v>3230</v>
      </c>
      <c r="L21" s="470">
        <v>3404</v>
      </c>
    </row>
    <row r="22" spans="2:12" x14ac:dyDescent="0.2">
      <c r="B22" s="470">
        <v>3000000</v>
      </c>
      <c r="C22" s="470">
        <v>2151</v>
      </c>
      <c r="D22" s="470">
        <v>2390</v>
      </c>
      <c r="E22" s="470">
        <v>2390</v>
      </c>
      <c r="F22" s="470">
        <v>3039</v>
      </c>
      <c r="G22" s="470">
        <v>3039</v>
      </c>
      <c r="H22" s="470">
        <v>3790</v>
      </c>
      <c r="I22" s="470">
        <v>3790</v>
      </c>
      <c r="J22" s="470">
        <v>4439</v>
      </c>
      <c r="K22" s="470">
        <v>4439</v>
      </c>
      <c r="L22" s="470">
        <v>4678</v>
      </c>
    </row>
    <row r="23" spans="2:12" x14ac:dyDescent="0.2">
      <c r="B23" s="470">
        <v>5000000</v>
      </c>
      <c r="C23" s="470">
        <v>3206</v>
      </c>
      <c r="D23" s="470">
        <v>3563</v>
      </c>
      <c r="E23" s="470">
        <v>3563</v>
      </c>
      <c r="F23" s="470">
        <v>4530</v>
      </c>
      <c r="G23" s="470">
        <v>4530</v>
      </c>
      <c r="H23" s="470">
        <v>5649</v>
      </c>
      <c r="I23" s="470">
        <v>5649</v>
      </c>
      <c r="J23" s="470">
        <v>6616</v>
      </c>
      <c r="K23" s="470">
        <v>6616</v>
      </c>
      <c r="L23" s="470">
        <v>6973</v>
      </c>
    </row>
    <row r="24" spans="2:12" x14ac:dyDescent="0.2">
      <c r="B24" s="470">
        <v>7500000</v>
      </c>
      <c r="C24" s="470">
        <v>4408</v>
      </c>
      <c r="D24" s="470">
        <v>4898</v>
      </c>
      <c r="E24" s="470">
        <v>4898</v>
      </c>
      <c r="F24" s="470">
        <v>6227</v>
      </c>
      <c r="G24" s="470">
        <v>6227</v>
      </c>
      <c r="H24" s="470">
        <v>7767</v>
      </c>
      <c r="I24" s="470">
        <v>7767</v>
      </c>
      <c r="J24" s="470">
        <v>9096</v>
      </c>
      <c r="K24" s="470">
        <v>9096</v>
      </c>
      <c r="L24" s="470">
        <v>9586</v>
      </c>
    </row>
    <row r="25" spans="2:12" x14ac:dyDescent="0.2">
      <c r="B25" s="470">
        <v>10000000</v>
      </c>
      <c r="C25" s="470">
        <v>5523</v>
      </c>
      <c r="D25" s="470">
        <v>6137</v>
      </c>
      <c r="E25" s="470">
        <v>6137</v>
      </c>
      <c r="F25" s="470">
        <v>7803</v>
      </c>
      <c r="G25" s="470">
        <v>7803</v>
      </c>
      <c r="H25" s="470">
        <v>9732</v>
      </c>
      <c r="I25" s="470">
        <v>9732</v>
      </c>
      <c r="J25" s="470">
        <v>11397</v>
      </c>
      <c r="K25" s="470">
        <v>11397</v>
      </c>
      <c r="L25" s="470">
        <v>12011</v>
      </c>
    </row>
    <row r="26" spans="2:12" x14ac:dyDescent="0.2">
      <c r="B26" s="470">
        <v>15000000</v>
      </c>
      <c r="C26" s="470">
        <v>7585</v>
      </c>
      <c r="D26" s="470">
        <v>8428</v>
      </c>
      <c r="E26" s="470">
        <v>8428</v>
      </c>
      <c r="F26" s="470">
        <v>10716</v>
      </c>
      <c r="G26" s="470">
        <v>10716</v>
      </c>
      <c r="H26" s="470">
        <v>13365</v>
      </c>
      <c r="I26" s="470">
        <v>13365</v>
      </c>
      <c r="J26" s="470">
        <v>15652</v>
      </c>
      <c r="K26" s="470">
        <v>15652</v>
      </c>
      <c r="L26" s="470">
        <v>16495</v>
      </c>
    </row>
    <row r="27" spans="2:12" x14ac:dyDescent="0.2">
      <c r="B27" s="470">
        <v>20000000</v>
      </c>
      <c r="C27" s="470">
        <v>9120</v>
      </c>
      <c r="D27" s="470">
        <v>10260</v>
      </c>
      <c r="E27" s="470">
        <v>10260</v>
      </c>
      <c r="F27" s="470">
        <v>12920</v>
      </c>
      <c r="G27" s="470">
        <v>12920</v>
      </c>
      <c r="H27" s="470">
        <v>16340</v>
      </c>
      <c r="I27" s="470">
        <v>16340</v>
      </c>
      <c r="J27" s="470">
        <v>19000</v>
      </c>
      <c r="K27" s="470">
        <v>19000</v>
      </c>
      <c r="L27" s="470">
        <v>20140</v>
      </c>
    </row>
    <row r="28" spans="2:12" x14ac:dyDescent="0.2">
      <c r="B28" s="470">
        <v>25000000</v>
      </c>
      <c r="C28" s="470">
        <v>10200</v>
      </c>
      <c r="D28" s="470">
        <v>12150</v>
      </c>
      <c r="E28" s="470">
        <v>12150</v>
      </c>
      <c r="F28" s="470">
        <v>15725</v>
      </c>
      <c r="G28" s="470">
        <v>15725</v>
      </c>
      <c r="H28" s="470">
        <v>18812.5</v>
      </c>
      <c r="I28" s="470">
        <v>18812.5</v>
      </c>
      <c r="J28" s="470">
        <v>21875</v>
      </c>
      <c r="K28" s="470">
        <v>21875</v>
      </c>
      <c r="L28" s="470">
        <v>23850</v>
      </c>
    </row>
    <row r="29" spans="2:12" x14ac:dyDescent="0.2">
      <c r="B29" s="470">
        <v>50000000</v>
      </c>
      <c r="C29" s="470">
        <v>16800</v>
      </c>
      <c r="D29" s="470">
        <v>20250</v>
      </c>
      <c r="E29" s="470">
        <v>20250</v>
      </c>
      <c r="F29" s="470">
        <v>25500</v>
      </c>
      <c r="G29" s="470">
        <v>25500</v>
      </c>
      <c r="H29" s="470">
        <v>30100.000000000004</v>
      </c>
      <c r="I29" s="470">
        <v>30100.000000000004</v>
      </c>
      <c r="J29" s="470">
        <v>33750</v>
      </c>
      <c r="K29" s="470">
        <v>33750</v>
      </c>
      <c r="L29" s="470">
        <v>37100</v>
      </c>
    </row>
    <row r="30" spans="2:12" x14ac:dyDescent="0.2">
      <c r="B30" s="470">
        <v>100000000</v>
      </c>
      <c r="C30" s="470">
        <v>26400</v>
      </c>
      <c r="D30" s="470">
        <v>32400</v>
      </c>
      <c r="E30" s="470">
        <v>32400</v>
      </c>
      <c r="F30" s="470">
        <v>39100</v>
      </c>
      <c r="G30" s="470">
        <v>39100</v>
      </c>
      <c r="H30" s="470">
        <v>47300</v>
      </c>
      <c r="I30" s="470">
        <v>47300</v>
      </c>
      <c r="J30" s="470">
        <v>52500</v>
      </c>
      <c r="K30" s="470">
        <v>52500</v>
      </c>
      <c r="L30" s="470">
        <v>58300</v>
      </c>
    </row>
    <row r="33" spans="2:6" ht="14.25" x14ac:dyDescent="0.2">
      <c r="B33" s="97"/>
    </row>
    <row r="34" spans="2:6" s="101" customFormat="1" x14ac:dyDescent="0.2">
      <c r="B34" s="365" t="s">
        <v>412</v>
      </c>
      <c r="C34" s="365"/>
      <c r="D34" s="365"/>
      <c r="E34" s="365"/>
      <c r="F34" s="365"/>
    </row>
    <row r="35" spans="2:6" s="101" customFormat="1" x14ac:dyDescent="0.2">
      <c r="B35" s="350" t="s">
        <v>127</v>
      </c>
      <c r="C35" s="355"/>
      <c r="D35" s="355"/>
      <c r="E35" s="356"/>
      <c r="F35" s="357">
        <f>'OSNOVNI PODATKI'!C243</f>
        <v>1373188.5</v>
      </c>
    </row>
    <row r="36" spans="2:6" s="101" customFormat="1" x14ac:dyDescent="0.2">
      <c r="B36" s="351" t="s">
        <v>150</v>
      </c>
      <c r="C36" s="358"/>
      <c r="D36" s="358"/>
      <c r="E36" s="359"/>
      <c r="F36" s="360" t="str">
        <f>'OSNOVNI PODATKI'!D243</f>
        <v>Cenovni razred III</v>
      </c>
    </row>
    <row r="37" spans="2:6" s="101" customFormat="1" x14ac:dyDescent="0.2">
      <c r="B37" s="110" t="s">
        <v>33</v>
      </c>
      <c r="C37" s="358"/>
      <c r="D37" s="109"/>
      <c r="E37" s="109"/>
      <c r="F37" s="109">
        <f>IFERROR(MATCH(F36,C4:L4),"/")</f>
        <v>5</v>
      </c>
    </row>
    <row r="38" spans="2:6" s="101" customFormat="1" x14ac:dyDescent="0.2">
      <c r="B38" s="110" t="s">
        <v>151</v>
      </c>
      <c r="C38" s="358"/>
      <c r="D38" s="109"/>
      <c r="E38" s="109"/>
      <c r="F38" s="109">
        <f>IFERROR(F37+1,"/")</f>
        <v>6</v>
      </c>
    </row>
    <row r="39" spans="2:6" s="101" customFormat="1" x14ac:dyDescent="0.2">
      <c r="B39" s="110" t="s">
        <v>34</v>
      </c>
      <c r="C39" s="358"/>
      <c r="D39" s="109"/>
      <c r="E39" s="109"/>
      <c r="F39" s="109">
        <f>IF(OR(F35&gt;B30,F35&lt;B7),"/",IFERROR(MATCH(F35,B7:B30),"/"))</f>
        <v>13</v>
      </c>
    </row>
    <row r="40" spans="2:6" s="101" customFormat="1" x14ac:dyDescent="0.2">
      <c r="B40" s="110" t="s">
        <v>35</v>
      </c>
      <c r="C40" s="358"/>
      <c r="D40" s="109"/>
      <c r="E40" s="109"/>
      <c r="F40" s="109">
        <f>IFERROR(F39+1,"/")</f>
        <v>14</v>
      </c>
    </row>
    <row r="41" spans="2:6" s="101" customFormat="1" x14ac:dyDescent="0.2">
      <c r="B41" s="110" t="s">
        <v>153</v>
      </c>
      <c r="C41" s="358"/>
      <c r="D41" s="109"/>
      <c r="E41" s="109"/>
      <c r="F41" s="109">
        <f>IFERROR(INDEX($C$7:$L$30,F39,F37),0)</f>
        <v>1529</v>
      </c>
    </row>
    <row r="42" spans="2:6" s="101" customFormat="1" x14ac:dyDescent="0.2">
      <c r="B42" s="110" t="s">
        <v>110</v>
      </c>
      <c r="C42" s="358"/>
      <c r="D42" s="109"/>
      <c r="E42" s="109"/>
      <c r="F42" s="109">
        <f>IFERROR(INDEX($C$7:$L$30,F40,F37),0)</f>
        <v>1764</v>
      </c>
    </row>
    <row r="43" spans="2:6" s="101" customFormat="1" x14ac:dyDescent="0.2">
      <c r="B43" s="110" t="s">
        <v>122</v>
      </c>
      <c r="C43" s="358"/>
      <c r="D43" s="109"/>
      <c r="E43" s="109"/>
      <c r="F43" s="109">
        <f>IFERROR(INDEX($B$7:$B$30,F39),0)</f>
        <v>1250000</v>
      </c>
    </row>
    <row r="44" spans="2:6" s="101" customFormat="1" x14ac:dyDescent="0.2">
      <c r="B44" s="110" t="s">
        <v>154</v>
      </c>
      <c r="C44" s="358"/>
      <c r="D44" s="109"/>
      <c r="E44" s="109"/>
      <c r="F44" s="109">
        <f>IFERROR(INDEX($B$7:$B$30,F40),0)</f>
        <v>1500000</v>
      </c>
    </row>
    <row r="45" spans="2:6" s="101" customFormat="1" x14ac:dyDescent="0.2">
      <c r="B45" s="502" t="s">
        <v>155</v>
      </c>
      <c r="C45" s="503"/>
      <c r="D45" s="504"/>
      <c r="E45" s="504"/>
      <c r="F45" s="504">
        <f>IFERROR(FORECAST(F35,F41:F42,F43:F44),0)</f>
        <v>1644.79719</v>
      </c>
    </row>
    <row r="46" spans="2:6" s="101" customFormat="1" x14ac:dyDescent="0.2">
      <c r="B46" s="516"/>
      <c r="C46" s="517"/>
      <c r="D46" s="518"/>
      <c r="E46" s="518"/>
      <c r="F46" s="519">
        <f>IF(F39="/","NI DOLOČENO",F45)</f>
        <v>1644.79719</v>
      </c>
    </row>
    <row r="47" spans="2:6" s="101" customFormat="1" x14ac:dyDescent="0.2">
      <c r="B47" s="353"/>
      <c r="D47" s="102"/>
      <c r="E47" s="102"/>
      <c r="F47" s="102"/>
    </row>
    <row r="48" spans="2:6" s="101" customFormat="1" x14ac:dyDescent="0.2">
      <c r="B48" s="361" t="s">
        <v>152</v>
      </c>
      <c r="C48" s="355"/>
      <c r="D48" s="362"/>
      <c r="E48" s="362"/>
      <c r="F48" s="362">
        <f>IFERROR(INDEX($C$7:$L$30,F39,F38),0)</f>
        <v>1907</v>
      </c>
    </row>
    <row r="49" spans="1:8" s="101" customFormat="1" x14ac:dyDescent="0.2">
      <c r="B49" s="110" t="s">
        <v>110</v>
      </c>
      <c r="C49" s="358"/>
      <c r="D49" s="109"/>
      <c r="E49" s="109"/>
      <c r="F49" s="109">
        <f>IFERROR(INDEX($C$7:$L$30,F40,F38),0)</f>
        <v>2201</v>
      </c>
    </row>
    <row r="50" spans="1:8" s="101" customFormat="1" x14ac:dyDescent="0.2">
      <c r="B50" s="502" t="s">
        <v>156</v>
      </c>
      <c r="C50" s="503"/>
      <c r="D50" s="504"/>
      <c r="E50" s="504"/>
      <c r="F50" s="504">
        <f>IFERROR(FORECAST(F35,F48:F49,F43:F44),0)</f>
        <v>2051.8696760000003</v>
      </c>
    </row>
    <row r="51" spans="1:8" s="101" customFormat="1" x14ac:dyDescent="0.2">
      <c r="B51" s="518"/>
      <c r="C51" s="517"/>
      <c r="D51" s="518"/>
      <c r="E51" s="518"/>
      <c r="F51" s="519">
        <f>IF(F39="/","NI DOLOČENO",F50)</f>
        <v>2051.8696760000003</v>
      </c>
    </row>
    <row r="52" spans="1:8" s="101" customFormat="1" x14ac:dyDescent="0.2">
      <c r="B52" s="102"/>
      <c r="C52" s="535"/>
      <c r="D52" s="102"/>
      <c r="E52" s="102"/>
      <c r="F52" s="108"/>
    </row>
    <row r="53" spans="1:8" s="101" customFormat="1" x14ac:dyDescent="0.2">
      <c r="B53" s="102"/>
      <c r="C53" s="535"/>
      <c r="D53" s="102"/>
      <c r="E53" s="102"/>
      <c r="F53" s="108"/>
    </row>
    <row r="54" spans="1:8" ht="14.25" x14ac:dyDescent="0.2">
      <c r="B54" s="97"/>
    </row>
    <row r="57" spans="1:8" s="101" customFormat="1" x14ac:dyDescent="0.2">
      <c r="A57" s="366"/>
      <c r="B57" s="366" t="s">
        <v>160</v>
      </c>
      <c r="C57" s="366"/>
      <c r="D57" s="366"/>
      <c r="E57" s="366"/>
      <c r="F57" s="366"/>
      <c r="G57" s="366"/>
    </row>
    <row r="58" spans="1:8" s="101" customFormat="1" x14ac:dyDescent="0.2">
      <c r="A58" s="367"/>
      <c r="B58" s="367"/>
      <c r="C58" s="367"/>
      <c r="D58" s="367"/>
      <c r="E58" s="367"/>
      <c r="F58" s="458"/>
      <c r="G58" s="367"/>
      <c r="H58" s="367"/>
    </row>
    <row r="59" spans="1:8" s="101" customFormat="1" x14ac:dyDescent="0.2">
      <c r="A59" s="458"/>
      <c r="B59" s="470" t="str">
        <f>'OSNOVNI PODATKI'!$B$255</f>
        <v>PRIBITEK ZA PRENOVO</v>
      </c>
      <c r="C59" s="467"/>
      <c r="D59" s="471"/>
      <c r="E59" s="471"/>
      <c r="F59" s="520">
        <f>'OSNOVNI PODATKI'!$E$255</f>
        <v>0</v>
      </c>
      <c r="G59" s="467"/>
      <c r="H59" s="467"/>
    </row>
    <row r="60" spans="1:8" s="101" customFormat="1" x14ac:dyDescent="0.2">
      <c r="A60" s="458"/>
      <c r="B60" s="470" t="str">
        <f>'OSNOVNI PODATKI'!$B$257</f>
        <v>UPORABA BIM PROCESOV</v>
      </c>
      <c r="C60" s="467"/>
      <c r="D60" s="471"/>
      <c r="E60" s="471"/>
      <c r="F60" s="521">
        <f>'OSNOVNI PODATKI'!$E$257</f>
        <v>0</v>
      </c>
      <c r="G60" s="467"/>
      <c r="H60" s="467"/>
    </row>
    <row r="61" spans="1:8" s="101" customFormat="1" ht="27" customHeight="1" x14ac:dyDescent="0.2">
      <c r="A61" s="458"/>
      <c r="B61" s="1126" t="str">
        <f>'OSNOVNI PODATKI'!B261</f>
        <v>AB KONSTRUKCIJA BREZ OPAŽNIH NAČRTOV ALI ENOSTAVNA LESENA KONSTRUKCIJA</v>
      </c>
      <c r="C61" s="1126"/>
      <c r="D61" s="1126"/>
      <c r="E61" s="1126"/>
      <c r="F61" s="521">
        <f>'OSNOVNI PODATKI'!E261</f>
        <v>-0.1</v>
      </c>
      <c r="G61" s="467"/>
      <c r="H61" s="467"/>
    </row>
    <row r="62" spans="1:8" s="2" customFormat="1" x14ac:dyDescent="0.2">
      <c r="A62" s="458"/>
      <c r="B62" s="365"/>
      <c r="C62" s="365"/>
      <c r="D62" s="365"/>
      <c r="E62" s="365"/>
      <c r="F62" s="365"/>
      <c r="G62" s="365"/>
    </row>
    <row r="63" spans="1:8" s="13" customFormat="1" ht="26.25" x14ac:dyDescent="0.25">
      <c r="A63" s="137"/>
      <c r="B63" s="138"/>
      <c r="C63" s="138"/>
      <c r="D63" s="138"/>
      <c r="E63" s="139" t="s">
        <v>31</v>
      </c>
      <c r="F63" s="509" t="s">
        <v>442</v>
      </c>
      <c r="G63" s="140" t="s">
        <v>76</v>
      </c>
      <c r="H63" s="141" t="s">
        <v>90</v>
      </c>
    </row>
    <row r="64" spans="1:8" s="14" customFormat="1" ht="14.25" x14ac:dyDescent="0.2">
      <c r="A64" s="132" t="s">
        <v>38</v>
      </c>
      <c r="B64" s="133" t="s">
        <v>39</v>
      </c>
      <c r="C64" s="133"/>
      <c r="D64" s="133"/>
      <c r="E64" s="134"/>
      <c r="F64" s="134"/>
      <c r="G64" s="135"/>
      <c r="H64" s="136"/>
    </row>
    <row r="65" spans="1:8" s="14" customFormat="1" ht="14.25" x14ac:dyDescent="0.2">
      <c r="A65" s="115" t="s">
        <v>40</v>
      </c>
      <c r="B65" s="127" t="s">
        <v>85</v>
      </c>
      <c r="C65" s="127"/>
      <c r="D65" s="127"/>
      <c r="E65" s="116"/>
      <c r="F65" s="116"/>
      <c r="G65" s="125"/>
      <c r="H65" s="117" t="str">
        <f>IF(I65=TRUE,G65*'VREDNOST NU'!#REF!,"")</f>
        <v/>
      </c>
    </row>
    <row r="66" spans="1:8" s="14" customFormat="1" ht="14.25" x14ac:dyDescent="0.2">
      <c r="A66" s="143" t="s">
        <v>41</v>
      </c>
      <c r="B66" s="144" t="s">
        <v>86</v>
      </c>
      <c r="C66" s="144"/>
      <c r="D66" s="144"/>
      <c r="E66" s="145"/>
      <c r="F66" s="145"/>
      <c r="G66" s="120"/>
      <c r="H66" s="121" t="str">
        <f>IF(I66=TRUE,G66*'VREDNOST NU'!#REF!,"")</f>
        <v/>
      </c>
    </row>
    <row r="67" spans="1:8" s="14" customFormat="1" ht="14.25" x14ac:dyDescent="0.2">
      <c r="A67" s="142" t="s">
        <v>42</v>
      </c>
      <c r="B67" s="133" t="s">
        <v>43</v>
      </c>
      <c r="C67" s="133"/>
      <c r="D67" s="133"/>
      <c r="E67" s="134">
        <f>SUM(E68:E70)</f>
        <v>0.03</v>
      </c>
      <c r="F67" s="134">
        <f>SUM(F68:F70)</f>
        <v>0.03</v>
      </c>
      <c r="G67" s="135">
        <f>SUM(G68:G70)</f>
        <v>55.450002990000002</v>
      </c>
      <c r="H67" s="136">
        <f>SUM(H68:H70)</f>
        <v>2218.0001196000003</v>
      </c>
    </row>
    <row r="68" spans="1:8" s="14" customFormat="1" ht="14.25" x14ac:dyDescent="0.2">
      <c r="A68" s="118" t="s">
        <v>44</v>
      </c>
      <c r="B68" s="126" t="s">
        <v>87</v>
      </c>
      <c r="C68" s="126"/>
      <c r="D68" s="126"/>
      <c r="E68" s="116">
        <v>0.01</v>
      </c>
      <c r="F68" s="510">
        <f>E68*(100%+$F$59)</f>
        <v>0.01</v>
      </c>
      <c r="G68" s="125">
        <f>F68*'OSNOVNI PODATKI'!$I$243</f>
        <v>18.483334330000002</v>
      </c>
      <c r="H68" s="117">
        <f>+G68*'ARHIGRAM 5'!$I$17</f>
        <v>739.3333732000001</v>
      </c>
    </row>
    <row r="69" spans="1:8" s="14" customFormat="1" ht="14.25" x14ac:dyDescent="0.2">
      <c r="A69" s="118" t="s">
        <v>45</v>
      </c>
      <c r="B69" s="126" t="s">
        <v>88</v>
      </c>
      <c r="C69" s="126"/>
      <c r="D69" s="126"/>
      <c r="E69" s="116">
        <v>0.01</v>
      </c>
      <c r="F69" s="116">
        <f t="shared" ref="F69:F70" si="0">E69*(100%+$F$59)</f>
        <v>0.01</v>
      </c>
      <c r="G69" s="125">
        <f>F69*'OSNOVNI PODATKI'!$I$243</f>
        <v>18.483334330000002</v>
      </c>
      <c r="H69" s="117">
        <f>+G69*'ARHIGRAM 5'!$I$17</f>
        <v>739.3333732000001</v>
      </c>
    </row>
    <row r="70" spans="1:8" s="14" customFormat="1" ht="14.25" x14ac:dyDescent="0.2">
      <c r="A70" s="148" t="s">
        <v>46</v>
      </c>
      <c r="B70" s="149" t="s">
        <v>741</v>
      </c>
      <c r="C70" s="149"/>
      <c r="D70" s="149"/>
      <c r="E70" s="145">
        <v>0.01</v>
      </c>
      <c r="F70" s="145">
        <f t="shared" si="0"/>
        <v>0.01</v>
      </c>
      <c r="G70" s="120">
        <f>F70*'OSNOVNI PODATKI'!$I$243</f>
        <v>18.483334330000002</v>
      </c>
      <c r="H70" s="121">
        <f>+G70*'ARHIGRAM 5'!$I$17</f>
        <v>739.3333732000001</v>
      </c>
    </row>
    <row r="71" spans="1:8" s="14" customFormat="1" ht="14.25" x14ac:dyDescent="0.2">
      <c r="A71" s="146">
        <v>2</v>
      </c>
      <c r="B71" s="133" t="s">
        <v>47</v>
      </c>
      <c r="C71" s="133"/>
      <c r="D71" s="133"/>
      <c r="E71" s="134">
        <f>+E72+E73+E74+E75+E76</f>
        <v>0.97</v>
      </c>
      <c r="F71" s="134">
        <f>+F72+F73+F74+F75+F76</f>
        <v>0.86999999999999988</v>
      </c>
      <c r="G71" s="147">
        <f>SUM(G72:G76)</f>
        <v>1608.0500867100002</v>
      </c>
      <c r="H71" s="136">
        <f>SUM(H72:H76)</f>
        <v>64322.003468400013</v>
      </c>
    </row>
    <row r="72" spans="1:8" s="14" customFormat="1" ht="14.25" x14ac:dyDescent="0.2">
      <c r="A72" s="118" t="s">
        <v>70</v>
      </c>
      <c r="B72" s="126" t="s">
        <v>124</v>
      </c>
      <c r="C72" s="126"/>
      <c r="D72" s="126"/>
      <c r="E72" s="129">
        <v>0.15</v>
      </c>
      <c r="F72" s="510">
        <f>E72*(100%+$F$59+$F$60)</f>
        <v>0.15</v>
      </c>
      <c r="G72" s="125">
        <f>F72*'OSNOVNI PODATKI'!$I$243</f>
        <v>277.25001495000004</v>
      </c>
      <c r="H72" s="117">
        <f>+G72*'ARHIGRAM 5'!$I$17</f>
        <v>11090.000598000002</v>
      </c>
    </row>
    <row r="73" spans="1:8" s="14" customFormat="1" ht="14.25" x14ac:dyDescent="0.2">
      <c r="A73" s="130" t="s">
        <v>71</v>
      </c>
      <c r="B73" s="131" t="s">
        <v>617</v>
      </c>
      <c r="C73" s="131"/>
      <c r="D73" s="131"/>
      <c r="E73" s="129">
        <v>0.3</v>
      </c>
      <c r="F73" s="129">
        <f>E73*(100%+$F$59+$F$60)</f>
        <v>0.3</v>
      </c>
      <c r="G73" s="125">
        <f>F73*'OSNOVNI PODATKI'!$I$243</f>
        <v>554.50002990000007</v>
      </c>
      <c r="H73" s="117">
        <f>+G73*'ARHIGRAM 5'!$I$17</f>
        <v>22180.001196000005</v>
      </c>
    </row>
    <row r="74" spans="1:8" s="14" customFormat="1" ht="14.25" x14ac:dyDescent="0.2">
      <c r="A74" s="130" t="s">
        <v>72</v>
      </c>
      <c r="B74" s="131" t="s">
        <v>1074</v>
      </c>
      <c r="C74" s="131"/>
      <c r="D74" s="131"/>
      <c r="E74" s="129">
        <v>0.05</v>
      </c>
      <c r="F74" s="129">
        <f>E74*(100%+$F$59+$F$60)</f>
        <v>0.05</v>
      </c>
      <c r="G74" s="125">
        <f>F74*'OSNOVNI PODATKI'!$I$243</f>
        <v>92.416671650000012</v>
      </c>
      <c r="H74" s="117">
        <f>+G74*'ARHIGRAM 5'!$I$17</f>
        <v>3696.6668660000005</v>
      </c>
    </row>
    <row r="75" spans="1:8" s="14" customFormat="1" ht="14.25" x14ac:dyDescent="0.2">
      <c r="A75" s="130" t="s">
        <v>125</v>
      </c>
      <c r="B75" s="131" t="s">
        <v>618</v>
      </c>
      <c r="C75" s="131"/>
      <c r="D75" s="131"/>
      <c r="E75" s="129">
        <v>0.45</v>
      </c>
      <c r="F75" s="129">
        <f>E75*(100%+$F$59+$F$60)+F61</f>
        <v>0.35</v>
      </c>
      <c r="G75" s="125">
        <f>F75*'OSNOVNI PODATKI'!$I$243</f>
        <v>646.91670155000008</v>
      </c>
      <c r="H75" s="117">
        <f>+G75*'ARHIGRAM 5'!$I$17</f>
        <v>25876.668062000004</v>
      </c>
    </row>
    <row r="76" spans="1:8" s="14" customFormat="1" ht="14.25" x14ac:dyDescent="0.2">
      <c r="A76" s="151" t="s">
        <v>126</v>
      </c>
      <c r="B76" s="152" t="s">
        <v>742</v>
      </c>
      <c r="C76" s="152"/>
      <c r="D76" s="152"/>
      <c r="E76" s="153">
        <v>0.02</v>
      </c>
      <c r="F76" s="153">
        <f>E76*(100%+$F$59+$F$60)</f>
        <v>0.02</v>
      </c>
      <c r="G76" s="120">
        <f>F76*'OSNOVNI PODATKI'!$I$243</f>
        <v>36.966668660000003</v>
      </c>
      <c r="H76" s="121">
        <f>+G76*'ARHIGRAM 5'!$I$17</f>
        <v>1478.6667464000002</v>
      </c>
    </row>
    <row r="77" spans="1:8" s="14" customFormat="1" ht="14.25" x14ac:dyDescent="0.2">
      <c r="A77" s="150" t="s">
        <v>58</v>
      </c>
      <c r="B77" s="133" t="s">
        <v>801</v>
      </c>
      <c r="C77" s="133"/>
      <c r="D77" s="133"/>
      <c r="E77" s="134">
        <f>SUM(E78:E79)</f>
        <v>0</v>
      </c>
      <c r="F77" s="134">
        <f>SUM(F78:F79)</f>
        <v>0</v>
      </c>
      <c r="G77" s="135">
        <f>SUM(G78:G79)</f>
        <v>0</v>
      </c>
      <c r="H77" s="136">
        <f>SUM(H78:H79)</f>
        <v>0</v>
      </c>
    </row>
    <row r="78" spans="1:8" s="14" customFormat="1" ht="14.25" x14ac:dyDescent="0.2">
      <c r="A78" s="119" t="s">
        <v>59</v>
      </c>
      <c r="B78" s="125" t="s">
        <v>743</v>
      </c>
      <c r="C78" s="125"/>
      <c r="D78" s="125"/>
      <c r="E78" s="116">
        <v>0</v>
      </c>
      <c r="F78" s="116">
        <f t="shared" ref="F78:F79" si="1">E78*(100%+$F$59)</f>
        <v>0</v>
      </c>
      <c r="G78" s="125">
        <f>F78*'OSNOVNI PODATKI'!$I$243</f>
        <v>0</v>
      </c>
      <c r="H78" s="117">
        <f>+G78*'ARHIGRAM 5'!$I$17</f>
        <v>0</v>
      </c>
    </row>
    <row r="79" spans="1:8" s="14" customFormat="1" ht="14.25" x14ac:dyDescent="0.2">
      <c r="A79" s="155" t="s">
        <v>60</v>
      </c>
      <c r="B79" s="120" t="s">
        <v>255</v>
      </c>
      <c r="C79" s="120"/>
      <c r="D79" s="120"/>
      <c r="E79" s="145">
        <v>0</v>
      </c>
      <c r="F79" s="145">
        <f t="shared" si="1"/>
        <v>0</v>
      </c>
      <c r="G79" s="120">
        <f>F79*'OSNOVNI PODATKI'!$I$243</f>
        <v>0</v>
      </c>
      <c r="H79" s="121">
        <f>+G79*'ARHIGRAM 5'!$I$17</f>
        <v>0</v>
      </c>
    </row>
    <row r="80" spans="1:8" s="14" customFormat="1" ht="14.25" x14ac:dyDescent="0.2">
      <c r="A80" s="154">
        <v>4</v>
      </c>
      <c r="B80" s="133" t="s">
        <v>80</v>
      </c>
      <c r="C80" s="133"/>
      <c r="D80" s="133"/>
      <c r="E80" s="134">
        <f>SUM(E81:E85)</f>
        <v>0</v>
      </c>
      <c r="F80" s="134">
        <f>SUM(F81:F85)</f>
        <v>0</v>
      </c>
      <c r="G80" s="135">
        <f>SUM(G81:G85)</f>
        <v>0</v>
      </c>
      <c r="H80" s="136">
        <f>SUM(H81:H85)</f>
        <v>0</v>
      </c>
    </row>
    <row r="81" spans="1:8" s="14" customFormat="1" ht="14.25" x14ac:dyDescent="0.2">
      <c r="A81" s="119" t="s">
        <v>61</v>
      </c>
      <c r="B81" s="125" t="s">
        <v>256</v>
      </c>
      <c r="C81" s="125"/>
      <c r="D81" s="125"/>
      <c r="E81" s="116">
        <v>0</v>
      </c>
      <c r="F81" s="116">
        <f t="shared" ref="F81:F85" si="2">E81*(100%+$F$59)</f>
        <v>0</v>
      </c>
      <c r="G81" s="125">
        <f>F81*'OSNOVNI PODATKI'!$I$243</f>
        <v>0</v>
      </c>
      <c r="H81" s="117">
        <f>+G81*'ARHIGRAM 5'!$I$17</f>
        <v>0</v>
      </c>
    </row>
    <row r="82" spans="1:8" s="14" customFormat="1" ht="14.25" x14ac:dyDescent="0.2">
      <c r="A82" s="119" t="s">
        <v>62</v>
      </c>
      <c r="B82" s="125" t="s">
        <v>779</v>
      </c>
      <c r="C82" s="125"/>
      <c r="D82" s="125"/>
      <c r="E82" s="116">
        <v>0</v>
      </c>
      <c r="F82" s="116">
        <f t="shared" si="2"/>
        <v>0</v>
      </c>
      <c r="G82" s="125">
        <f>F82*'OSNOVNI PODATKI'!$I$243</f>
        <v>0</v>
      </c>
      <c r="H82" s="117">
        <f>+G82*'ARHIGRAM 5'!$I$17</f>
        <v>0</v>
      </c>
    </row>
    <row r="83" spans="1:8" s="14" customFormat="1" ht="14.25" x14ac:dyDescent="0.2">
      <c r="A83" s="119" t="s">
        <v>63</v>
      </c>
      <c r="B83" s="125" t="s">
        <v>1076</v>
      </c>
      <c r="C83" s="125"/>
      <c r="D83" s="125"/>
      <c r="E83" s="116">
        <v>0</v>
      </c>
      <c r="F83" s="116">
        <f t="shared" si="2"/>
        <v>0</v>
      </c>
      <c r="G83" s="125">
        <f>F83*'OSNOVNI PODATKI'!$I$243</f>
        <v>0</v>
      </c>
      <c r="H83" s="117">
        <f>+G83*'ARHIGRAM 5'!$I$17</f>
        <v>0</v>
      </c>
    </row>
    <row r="84" spans="1:8" s="14" customFormat="1" ht="14.25" x14ac:dyDescent="0.2">
      <c r="A84" s="119" t="s">
        <v>64</v>
      </c>
      <c r="B84" s="125" t="s">
        <v>780</v>
      </c>
      <c r="C84" s="125"/>
      <c r="D84" s="125"/>
      <c r="E84" s="116">
        <v>0</v>
      </c>
      <c r="F84" s="116">
        <f t="shared" si="2"/>
        <v>0</v>
      </c>
      <c r="G84" s="125">
        <f>F84*'OSNOVNI PODATKI'!$I$243</f>
        <v>0</v>
      </c>
      <c r="H84" s="117">
        <f>+G84*'ARHIGRAM 5'!$I$17</f>
        <v>0</v>
      </c>
    </row>
    <row r="85" spans="1:8" s="14" customFormat="1" ht="14.25" x14ac:dyDescent="0.2">
      <c r="A85" s="155" t="s">
        <v>65</v>
      </c>
      <c r="B85" s="120" t="s">
        <v>744</v>
      </c>
      <c r="C85" s="120"/>
      <c r="D85" s="120"/>
      <c r="E85" s="145">
        <v>0</v>
      </c>
      <c r="F85" s="145">
        <f t="shared" si="2"/>
        <v>0</v>
      </c>
      <c r="G85" s="120">
        <f>F85*'OSNOVNI PODATKI'!$I$243</f>
        <v>0</v>
      </c>
      <c r="H85" s="121">
        <f>+G85*'ARHIGRAM 5'!$I$17</f>
        <v>0</v>
      </c>
    </row>
    <row r="86" spans="1:8" s="14" customFormat="1" ht="14.25" x14ac:dyDescent="0.2">
      <c r="A86" s="156">
        <v>5</v>
      </c>
      <c r="B86" s="133" t="s">
        <v>66</v>
      </c>
      <c r="C86" s="133"/>
      <c r="D86" s="133"/>
      <c r="E86" s="134">
        <f>SUM(E87:E88)</f>
        <v>0</v>
      </c>
      <c r="F86" s="134">
        <f>SUM(F87:F88)</f>
        <v>0</v>
      </c>
      <c r="G86" s="135">
        <f>SUM(G87:G88)</f>
        <v>0</v>
      </c>
      <c r="H86" s="136">
        <f>SUM(H87:H88)</f>
        <v>0</v>
      </c>
    </row>
    <row r="87" spans="1:8" s="14" customFormat="1" ht="14.25" x14ac:dyDescent="0.2">
      <c r="A87" s="119" t="s">
        <v>67</v>
      </c>
      <c r="B87" s="128" t="s">
        <v>257</v>
      </c>
      <c r="C87" s="128"/>
      <c r="D87" s="128"/>
      <c r="E87" s="116">
        <v>0</v>
      </c>
      <c r="F87" s="116">
        <f t="shared" ref="F87:F88" si="3">E87*(100%+$F$59)</f>
        <v>0</v>
      </c>
      <c r="G87" s="125">
        <f>F87*'OSNOVNI PODATKI'!$I$243</f>
        <v>0</v>
      </c>
      <c r="H87" s="117">
        <f>+G87*'ARHIGRAM 5'!$I$17</f>
        <v>0</v>
      </c>
    </row>
    <row r="88" spans="1:8" s="14" customFormat="1" ht="14.25" x14ac:dyDescent="0.2">
      <c r="A88" s="155" t="s">
        <v>68</v>
      </c>
      <c r="B88" s="158" t="s">
        <v>781</v>
      </c>
      <c r="C88" s="158"/>
      <c r="D88" s="158"/>
      <c r="E88" s="145">
        <v>0</v>
      </c>
      <c r="F88" s="145">
        <f t="shared" si="3"/>
        <v>0</v>
      </c>
      <c r="G88" s="120">
        <f>F88*'OSNOVNI PODATKI'!$I$243</f>
        <v>0</v>
      </c>
      <c r="H88" s="121">
        <f>+G88*'ARHIGRAM 5'!$I$17</f>
        <v>0</v>
      </c>
    </row>
    <row r="89" spans="1:8" s="14" customFormat="1" ht="14.25" x14ac:dyDescent="0.2">
      <c r="A89" s="157">
        <v>6</v>
      </c>
      <c r="B89" s="133" t="s">
        <v>69</v>
      </c>
      <c r="C89" s="133"/>
      <c r="D89" s="133"/>
      <c r="E89" s="134"/>
      <c r="F89" s="134"/>
      <c r="G89" s="135"/>
      <c r="H89" s="136"/>
    </row>
    <row r="90" spans="1:8" s="14" customFormat="1" ht="14.25" x14ac:dyDescent="0.2">
      <c r="A90" s="119" t="s">
        <v>73</v>
      </c>
      <c r="B90" s="128" t="s">
        <v>259</v>
      </c>
      <c r="C90" s="128"/>
      <c r="D90" s="128"/>
      <c r="E90" s="116"/>
      <c r="F90" s="116"/>
      <c r="G90" s="125"/>
      <c r="H90" s="117"/>
    </row>
    <row r="91" spans="1:8" s="14" customFormat="1" ht="14.25" x14ac:dyDescent="0.2">
      <c r="A91" s="119" t="s">
        <v>74</v>
      </c>
      <c r="B91" s="128" t="s">
        <v>260</v>
      </c>
      <c r="C91" s="128"/>
      <c r="D91" s="128"/>
      <c r="E91" s="116"/>
      <c r="F91" s="116"/>
      <c r="G91" s="125"/>
      <c r="H91" s="117"/>
    </row>
    <row r="92" spans="1:8" s="14" customFormat="1" ht="14.25" x14ac:dyDescent="0.2">
      <c r="A92" s="155" t="s">
        <v>75</v>
      </c>
      <c r="B92" s="158" t="s">
        <v>261</v>
      </c>
      <c r="C92" s="158"/>
      <c r="D92" s="158"/>
      <c r="E92" s="145"/>
      <c r="F92" s="145"/>
      <c r="G92" s="120"/>
      <c r="H92" s="121"/>
    </row>
    <row r="93" spans="1:8" s="14" customFormat="1" ht="14.25" x14ac:dyDescent="0.2">
      <c r="A93" s="122"/>
      <c r="B93" s="123"/>
      <c r="C93" s="123"/>
      <c r="D93" s="123"/>
      <c r="E93" s="124"/>
      <c r="F93" s="124"/>
      <c r="G93" s="159"/>
      <c r="H93" s="160"/>
    </row>
    <row r="94" spans="1:8" s="14" customFormat="1" ht="14.25" x14ac:dyDescent="0.2">
      <c r="A94" s="165"/>
      <c r="B94" s="166" t="s">
        <v>1</v>
      </c>
      <c r="C94" s="166"/>
      <c r="D94" s="166"/>
      <c r="E94" s="167">
        <f>E64+E67+E71+E77+E80+E86+E89</f>
        <v>1</v>
      </c>
      <c r="F94" s="167">
        <f>F64+F67+F71+F77+F80+F86+F89</f>
        <v>0.89999999999999991</v>
      </c>
      <c r="G94" s="174">
        <f>G64+G67+G71+G77+G80+G86+G89</f>
        <v>1663.5000897000002</v>
      </c>
      <c r="H94" s="168">
        <f>H64+H67+H71+H77+H80+H86+H89</f>
        <v>66540.003588000007</v>
      </c>
    </row>
    <row r="95" spans="1:8" s="14" customFormat="1" ht="14.25" x14ac:dyDescent="0.2">
      <c r="A95" s="161"/>
      <c r="B95" s="162" t="s">
        <v>437</v>
      </c>
      <c r="C95" s="163"/>
      <c r="D95" s="163"/>
      <c r="E95" s="33"/>
      <c r="G95" s="33"/>
      <c r="H95" s="164">
        <f>IFERROR(H94/('OSNOVNI PODATKI'!$D$170+'OSNOVNI PODATKI'!D191),0)</f>
        <v>2.2180001196000002E-2</v>
      </c>
    </row>
    <row r="96" spans="1:8" ht="14.25" x14ac:dyDescent="0.2">
      <c r="A96" s="161"/>
      <c r="B96" s="162" t="s">
        <v>247</v>
      </c>
      <c r="C96" s="163"/>
      <c r="D96" s="163"/>
      <c r="E96" s="33"/>
      <c r="G96" s="33"/>
      <c r="H96" s="164">
        <f>IFERROR(H94/'OSNOVNI PODATKI'!$D$206,0)</f>
        <v>2.1816394619016397E-2</v>
      </c>
    </row>
    <row r="99" spans="2:6" x14ac:dyDescent="0.2">
      <c r="B99" s="98" t="s">
        <v>295</v>
      </c>
    </row>
    <row r="100" spans="2:6" x14ac:dyDescent="0.2">
      <c r="B100" s="98" t="s">
        <v>297</v>
      </c>
    </row>
    <row r="101" spans="2:6" x14ac:dyDescent="0.2">
      <c r="B101" s="98" t="s">
        <v>296</v>
      </c>
    </row>
    <row r="103" spans="2:6" x14ac:dyDescent="0.2">
      <c r="B103" s="98" t="s">
        <v>293</v>
      </c>
    </row>
    <row r="104" spans="2:6" x14ac:dyDescent="0.2">
      <c r="B104" s="98" t="s">
        <v>294</v>
      </c>
    </row>
    <row r="107" spans="2:6" x14ac:dyDescent="0.2">
      <c r="B107" s="98" t="s">
        <v>288</v>
      </c>
      <c r="E107" s="401" t="s">
        <v>125</v>
      </c>
      <c r="F107" s="400">
        <v>0.3</v>
      </c>
    </row>
    <row r="108" spans="2:6" x14ac:dyDescent="0.2">
      <c r="B108" s="98" t="s">
        <v>289</v>
      </c>
      <c r="E108" s="401" t="s">
        <v>125</v>
      </c>
      <c r="F108" s="400">
        <v>0.3</v>
      </c>
    </row>
    <row r="109" spans="2:6" x14ac:dyDescent="0.2">
      <c r="B109" s="98" t="s">
        <v>290</v>
      </c>
      <c r="E109" s="401" t="s">
        <v>125</v>
      </c>
      <c r="F109" s="400">
        <v>0.2</v>
      </c>
    </row>
    <row r="110" spans="2:6" x14ac:dyDescent="0.2">
      <c r="B110" s="98" t="s">
        <v>291</v>
      </c>
      <c r="E110" s="401" t="s">
        <v>125</v>
      </c>
      <c r="F110" s="400" t="s">
        <v>292</v>
      </c>
    </row>
  </sheetData>
  <mergeCells count="2">
    <mergeCell ref="B4:B5"/>
    <mergeCell ref="B61:E6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L230"/>
  <sheetViews>
    <sheetView workbookViewId="0">
      <selection activeCell="A2" sqref="A2:XFD2"/>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5.5" x14ac:dyDescent="0.2">
      <c r="B1" s="6" t="s">
        <v>615</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x14ac:dyDescent="0.2">
      <c r="B4" s="1123" t="s">
        <v>91</v>
      </c>
      <c r="C4" s="109" t="s">
        <v>92</v>
      </c>
      <c r="D4" s="109"/>
      <c r="E4" s="109" t="s">
        <v>93</v>
      </c>
      <c r="F4" s="109"/>
      <c r="G4" s="109" t="s">
        <v>94</v>
      </c>
      <c r="H4" s="109"/>
      <c r="I4" s="109"/>
      <c r="J4" s="109"/>
      <c r="K4" s="109"/>
      <c r="L4" s="109"/>
    </row>
    <row r="5" spans="2:12" x14ac:dyDescent="0.2">
      <c r="B5" s="1124"/>
      <c r="C5" s="348" t="s">
        <v>98</v>
      </c>
      <c r="D5" s="348"/>
      <c r="E5" s="348" t="s">
        <v>99</v>
      </c>
      <c r="F5" s="348"/>
      <c r="G5" s="348" t="s">
        <v>100</v>
      </c>
      <c r="H5" s="348"/>
      <c r="I5" s="348"/>
      <c r="J5" s="348"/>
      <c r="K5" s="348"/>
      <c r="L5" s="348"/>
    </row>
    <row r="6" spans="2:12" x14ac:dyDescent="0.2">
      <c r="B6" s="349"/>
      <c r="C6" s="349"/>
      <c r="D6" s="349"/>
      <c r="E6" s="349"/>
      <c r="F6" s="349"/>
      <c r="G6" s="349"/>
      <c r="H6" s="349"/>
      <c r="I6" s="349"/>
      <c r="J6" s="349"/>
      <c r="K6" s="349"/>
      <c r="L6" s="349"/>
    </row>
    <row r="7" spans="2:12" x14ac:dyDescent="0.2">
      <c r="B7" s="470">
        <v>5000</v>
      </c>
      <c r="C7" s="470">
        <v>27</v>
      </c>
      <c r="D7" s="470">
        <v>32</v>
      </c>
      <c r="E7" s="470">
        <v>32</v>
      </c>
      <c r="F7" s="470">
        <v>37</v>
      </c>
      <c r="G7" s="470">
        <v>37</v>
      </c>
      <c r="H7" s="470">
        <v>43</v>
      </c>
      <c r="I7" s="110"/>
      <c r="J7" s="110"/>
      <c r="K7" s="110"/>
      <c r="L7" s="110"/>
    </row>
    <row r="8" spans="2:12" x14ac:dyDescent="0.2">
      <c r="B8" s="470">
        <v>10000</v>
      </c>
      <c r="C8" s="470">
        <v>46</v>
      </c>
      <c r="D8" s="470">
        <v>55</v>
      </c>
      <c r="E8" s="470">
        <v>55</v>
      </c>
      <c r="F8" s="470">
        <v>65</v>
      </c>
      <c r="G8" s="470">
        <v>65</v>
      </c>
      <c r="H8" s="470">
        <v>74</v>
      </c>
      <c r="I8" s="110"/>
      <c r="J8" s="110"/>
      <c r="K8" s="110"/>
      <c r="L8" s="110"/>
    </row>
    <row r="9" spans="2:12" x14ac:dyDescent="0.2">
      <c r="B9" s="470">
        <v>15000</v>
      </c>
      <c r="C9" s="470">
        <v>64</v>
      </c>
      <c r="D9" s="470">
        <v>76</v>
      </c>
      <c r="E9" s="470">
        <v>76</v>
      </c>
      <c r="F9" s="470">
        <v>89</v>
      </c>
      <c r="G9" s="470">
        <v>89</v>
      </c>
      <c r="H9" s="470">
        <v>102</v>
      </c>
      <c r="I9" s="110"/>
      <c r="J9" s="110"/>
      <c r="K9" s="110"/>
      <c r="L9" s="110"/>
    </row>
    <row r="10" spans="2:12" x14ac:dyDescent="0.2">
      <c r="B10" s="470">
        <v>25000</v>
      </c>
      <c r="C10" s="470">
        <v>95</v>
      </c>
      <c r="D10" s="470">
        <v>114</v>
      </c>
      <c r="E10" s="470">
        <v>114</v>
      </c>
      <c r="F10" s="470">
        <v>134</v>
      </c>
      <c r="G10" s="470">
        <v>134</v>
      </c>
      <c r="H10" s="470">
        <v>152</v>
      </c>
      <c r="I10" s="110"/>
      <c r="J10" s="110"/>
      <c r="K10" s="110"/>
      <c r="L10" s="110"/>
    </row>
    <row r="11" spans="2:12" x14ac:dyDescent="0.2">
      <c r="B11" s="470">
        <v>35000</v>
      </c>
      <c r="C11" s="470">
        <v>124</v>
      </c>
      <c r="D11" s="470">
        <v>148</v>
      </c>
      <c r="E11" s="470">
        <v>148</v>
      </c>
      <c r="F11" s="470">
        <v>174</v>
      </c>
      <c r="G11" s="470">
        <v>174</v>
      </c>
      <c r="H11" s="470">
        <v>198</v>
      </c>
      <c r="I11" s="110"/>
      <c r="J11" s="110"/>
      <c r="K11" s="110"/>
      <c r="L11" s="110"/>
    </row>
    <row r="12" spans="2:12" x14ac:dyDescent="0.2">
      <c r="B12" s="470">
        <v>50000</v>
      </c>
      <c r="C12" s="470">
        <v>165</v>
      </c>
      <c r="D12" s="470">
        <v>197</v>
      </c>
      <c r="E12" s="470">
        <v>197</v>
      </c>
      <c r="F12" s="470">
        <v>231</v>
      </c>
      <c r="G12" s="470">
        <v>231</v>
      </c>
      <c r="H12" s="470">
        <v>263</v>
      </c>
      <c r="I12" s="110"/>
      <c r="J12" s="110"/>
      <c r="K12" s="110"/>
      <c r="L12" s="110"/>
    </row>
    <row r="13" spans="2:12" x14ac:dyDescent="0.2">
      <c r="B13" s="470">
        <v>75000</v>
      </c>
      <c r="C13" s="470">
        <v>227</v>
      </c>
      <c r="D13" s="470">
        <v>271</v>
      </c>
      <c r="E13" s="470">
        <v>271</v>
      </c>
      <c r="F13" s="470">
        <v>318</v>
      </c>
      <c r="G13" s="470">
        <v>318</v>
      </c>
      <c r="H13" s="470">
        <v>362</v>
      </c>
      <c r="I13" s="110"/>
      <c r="J13" s="110"/>
      <c r="K13" s="110"/>
      <c r="L13" s="110"/>
    </row>
    <row r="14" spans="2:12" x14ac:dyDescent="0.2">
      <c r="B14" s="470">
        <v>100000</v>
      </c>
      <c r="C14" s="470">
        <v>284</v>
      </c>
      <c r="D14" s="470">
        <v>339</v>
      </c>
      <c r="E14" s="470">
        <v>339</v>
      </c>
      <c r="F14" s="470">
        <v>398</v>
      </c>
      <c r="G14" s="470">
        <v>398</v>
      </c>
      <c r="H14" s="470">
        <v>454</v>
      </c>
      <c r="I14" s="110"/>
      <c r="J14" s="110"/>
      <c r="K14" s="110"/>
      <c r="L14" s="110"/>
    </row>
    <row r="15" spans="2:12" x14ac:dyDescent="0.2">
      <c r="B15" s="470">
        <v>150000</v>
      </c>
      <c r="C15" s="470">
        <v>390</v>
      </c>
      <c r="D15" s="470">
        <v>466</v>
      </c>
      <c r="E15" s="470">
        <v>466</v>
      </c>
      <c r="F15" s="470">
        <v>548</v>
      </c>
      <c r="G15" s="470">
        <v>548</v>
      </c>
      <c r="H15" s="470">
        <v>624</v>
      </c>
      <c r="I15" s="110"/>
      <c r="J15" s="110"/>
      <c r="K15" s="110"/>
      <c r="L15" s="110"/>
    </row>
    <row r="16" spans="2:12" x14ac:dyDescent="0.2">
      <c r="B16" s="470">
        <v>250000</v>
      </c>
      <c r="C16" s="470">
        <v>583</v>
      </c>
      <c r="D16" s="470">
        <v>697</v>
      </c>
      <c r="E16" s="470">
        <v>697</v>
      </c>
      <c r="F16" s="470">
        <v>818</v>
      </c>
      <c r="G16" s="470">
        <v>818</v>
      </c>
      <c r="H16" s="470">
        <v>931</v>
      </c>
      <c r="I16" s="110"/>
      <c r="J16" s="110"/>
      <c r="K16" s="110"/>
      <c r="L16" s="110"/>
    </row>
    <row r="17" spans="2:12" x14ac:dyDescent="0.2">
      <c r="B17" s="470">
        <v>500000</v>
      </c>
      <c r="C17" s="470">
        <v>1009</v>
      </c>
      <c r="D17" s="470">
        <v>1205</v>
      </c>
      <c r="E17" s="470">
        <v>1205</v>
      </c>
      <c r="F17" s="470">
        <v>1415</v>
      </c>
      <c r="G17" s="470">
        <v>1415</v>
      </c>
      <c r="H17" s="470">
        <v>1611</v>
      </c>
      <c r="I17" s="110"/>
      <c r="J17" s="110"/>
      <c r="K17" s="110"/>
      <c r="L17" s="110"/>
    </row>
    <row r="18" spans="2:12" x14ac:dyDescent="0.2">
      <c r="B18" s="470">
        <v>750000</v>
      </c>
      <c r="C18" s="470">
        <v>1389</v>
      </c>
      <c r="D18" s="470">
        <v>1659</v>
      </c>
      <c r="E18" s="470">
        <v>1659</v>
      </c>
      <c r="F18" s="470">
        <v>1948</v>
      </c>
      <c r="G18" s="470">
        <v>1948</v>
      </c>
      <c r="H18" s="470">
        <v>2219</v>
      </c>
      <c r="I18" s="110"/>
      <c r="J18" s="110"/>
      <c r="K18" s="110"/>
      <c r="L18" s="110"/>
    </row>
    <row r="19" spans="2:12" x14ac:dyDescent="0.2">
      <c r="B19" s="470">
        <v>1000000</v>
      </c>
      <c r="C19" s="470">
        <v>1742</v>
      </c>
      <c r="D19" s="470">
        <v>2081</v>
      </c>
      <c r="E19" s="470">
        <v>2081</v>
      </c>
      <c r="F19" s="470">
        <v>2443</v>
      </c>
      <c r="G19" s="470">
        <v>2443</v>
      </c>
      <c r="H19" s="470">
        <v>2782</v>
      </c>
      <c r="I19" s="110"/>
      <c r="J19" s="110"/>
      <c r="K19" s="110"/>
      <c r="L19" s="110"/>
    </row>
    <row r="20" spans="2:12" x14ac:dyDescent="0.2">
      <c r="B20" s="470">
        <v>1250000</v>
      </c>
      <c r="C20" s="470">
        <v>2076</v>
      </c>
      <c r="D20" s="470">
        <v>2480</v>
      </c>
      <c r="E20" s="470">
        <v>2480</v>
      </c>
      <c r="F20" s="470">
        <v>2911</v>
      </c>
      <c r="G20" s="470">
        <v>2911</v>
      </c>
      <c r="H20" s="470">
        <v>3315</v>
      </c>
      <c r="I20" s="110"/>
      <c r="J20" s="110"/>
      <c r="K20" s="110"/>
      <c r="L20" s="110"/>
    </row>
    <row r="21" spans="2:12" x14ac:dyDescent="0.2">
      <c r="B21" s="470">
        <v>1500000</v>
      </c>
      <c r="C21" s="470">
        <v>2394</v>
      </c>
      <c r="D21" s="470">
        <v>2861</v>
      </c>
      <c r="E21" s="470">
        <v>2861</v>
      </c>
      <c r="F21" s="470">
        <v>3358</v>
      </c>
      <c r="G21" s="470">
        <v>3358</v>
      </c>
      <c r="H21" s="470">
        <v>3825</v>
      </c>
      <c r="I21" s="110"/>
      <c r="J21" s="110"/>
      <c r="K21" s="110"/>
      <c r="L21" s="110"/>
    </row>
    <row r="22" spans="2:12" x14ac:dyDescent="0.2">
      <c r="B22" s="470">
        <v>2000000</v>
      </c>
      <c r="C22" s="470">
        <v>2997</v>
      </c>
      <c r="D22" s="470">
        <v>3581</v>
      </c>
      <c r="E22" s="470">
        <v>3581</v>
      </c>
      <c r="F22" s="470">
        <v>4204</v>
      </c>
      <c r="G22" s="470">
        <v>4204</v>
      </c>
      <c r="H22" s="470">
        <v>4788</v>
      </c>
      <c r="I22" s="110"/>
      <c r="J22" s="110"/>
      <c r="K22" s="110"/>
      <c r="L22" s="110"/>
    </row>
    <row r="23" spans="2:12" x14ac:dyDescent="0.2">
      <c r="B23" s="470">
        <v>2500000</v>
      </c>
      <c r="C23" s="470">
        <v>3571</v>
      </c>
      <c r="D23" s="470">
        <v>4266</v>
      </c>
      <c r="E23" s="470">
        <v>4266</v>
      </c>
      <c r="F23" s="470">
        <v>5008</v>
      </c>
      <c r="G23" s="470">
        <v>5008</v>
      </c>
      <c r="H23" s="470">
        <v>5704</v>
      </c>
      <c r="I23" s="110"/>
      <c r="J23" s="110"/>
      <c r="K23" s="110"/>
      <c r="L23" s="110"/>
    </row>
    <row r="24" spans="2:12" x14ac:dyDescent="0.2">
      <c r="B24" s="470">
        <v>3000000</v>
      </c>
      <c r="C24" s="470">
        <v>4118</v>
      </c>
      <c r="D24" s="470">
        <v>4920</v>
      </c>
      <c r="E24" s="470">
        <v>4920</v>
      </c>
      <c r="F24" s="470">
        <v>5776</v>
      </c>
      <c r="G24" s="470">
        <v>5776</v>
      </c>
      <c r="H24" s="470">
        <v>6578</v>
      </c>
      <c r="I24" s="110"/>
      <c r="J24" s="110"/>
      <c r="K24" s="110"/>
      <c r="L24" s="110"/>
    </row>
    <row r="25" spans="2:12" x14ac:dyDescent="0.2">
      <c r="B25" s="470">
        <v>3500000</v>
      </c>
      <c r="C25" s="470">
        <v>4644</v>
      </c>
      <c r="D25" s="470">
        <v>5548</v>
      </c>
      <c r="E25" s="470">
        <v>5548</v>
      </c>
      <c r="F25" s="470">
        <v>6513</v>
      </c>
      <c r="G25" s="470">
        <v>6513</v>
      </c>
      <c r="H25" s="470">
        <v>7418</v>
      </c>
      <c r="I25" s="110"/>
      <c r="J25" s="110"/>
      <c r="K25" s="110"/>
      <c r="L25" s="110"/>
    </row>
    <row r="26" spans="2:12" x14ac:dyDescent="0.2">
      <c r="B26" s="470">
        <v>4000000</v>
      </c>
      <c r="C26" s="470">
        <v>5152</v>
      </c>
      <c r="D26" s="470">
        <v>6155</v>
      </c>
      <c r="E26" s="470">
        <v>6155</v>
      </c>
      <c r="F26" s="470">
        <v>7226</v>
      </c>
      <c r="G26" s="470">
        <v>7226</v>
      </c>
      <c r="H26" s="470">
        <v>8229</v>
      </c>
      <c r="I26" s="110"/>
      <c r="J26" s="110"/>
      <c r="K26" s="110"/>
      <c r="L26" s="110"/>
    </row>
    <row r="27" spans="2:12" x14ac:dyDescent="0.2">
      <c r="B27" s="470">
        <v>4500000</v>
      </c>
      <c r="C27" s="470">
        <v>5832</v>
      </c>
      <c r="D27" s="470">
        <v>6912</v>
      </c>
      <c r="E27" s="470">
        <v>6912</v>
      </c>
      <c r="F27" s="470">
        <v>7992</v>
      </c>
      <c r="G27" s="470">
        <v>7992</v>
      </c>
      <c r="H27" s="470">
        <v>9288</v>
      </c>
      <c r="I27" s="353"/>
      <c r="J27" s="353"/>
      <c r="K27" s="353"/>
      <c r="L27" s="353"/>
    </row>
    <row r="28" spans="2:12" x14ac:dyDescent="0.2">
      <c r="B28" s="470">
        <v>5000000</v>
      </c>
      <c r="C28" s="470">
        <v>6480</v>
      </c>
      <c r="D28" s="470">
        <v>7680</v>
      </c>
      <c r="E28" s="470">
        <v>7680</v>
      </c>
      <c r="F28" s="470">
        <v>8880</v>
      </c>
      <c r="G28" s="470">
        <v>8880</v>
      </c>
      <c r="H28" s="470">
        <v>10320</v>
      </c>
      <c r="I28" s="353"/>
      <c r="J28" s="353"/>
      <c r="K28" s="353"/>
      <c r="L28" s="353"/>
    </row>
    <row r="29" spans="2:12" x14ac:dyDescent="0.2">
      <c r="B29" s="470">
        <v>7500000</v>
      </c>
      <c r="C29" s="470">
        <v>8910</v>
      </c>
      <c r="D29" s="470">
        <v>10560</v>
      </c>
      <c r="E29" s="470">
        <v>10560</v>
      </c>
      <c r="F29" s="470">
        <v>12210</v>
      </c>
      <c r="G29" s="470">
        <v>12210</v>
      </c>
      <c r="H29" s="470">
        <v>14190</v>
      </c>
      <c r="I29" s="353"/>
      <c r="J29" s="353"/>
      <c r="K29" s="353"/>
      <c r="L29" s="353"/>
    </row>
    <row r="30" spans="2:12" x14ac:dyDescent="0.2">
      <c r="B30" s="470">
        <v>10000000</v>
      </c>
      <c r="C30" s="470">
        <v>10800</v>
      </c>
      <c r="D30" s="470">
        <v>12800</v>
      </c>
      <c r="E30" s="470">
        <v>12800</v>
      </c>
      <c r="F30" s="470">
        <v>14800</v>
      </c>
      <c r="G30" s="470">
        <v>14800</v>
      </c>
      <c r="H30" s="470">
        <v>17200</v>
      </c>
      <c r="I30" s="353"/>
      <c r="J30" s="353"/>
      <c r="K30" s="353"/>
      <c r="L30" s="353"/>
    </row>
    <row r="31" spans="2:12" x14ac:dyDescent="0.2">
      <c r="B31" s="470">
        <v>15000000</v>
      </c>
      <c r="C31" s="470">
        <v>14175</v>
      </c>
      <c r="D31" s="470">
        <v>16800</v>
      </c>
      <c r="E31" s="470">
        <v>16800</v>
      </c>
      <c r="F31" s="470">
        <v>19425</v>
      </c>
      <c r="G31" s="470">
        <v>19425</v>
      </c>
      <c r="H31" s="470">
        <v>22575</v>
      </c>
      <c r="I31" s="353"/>
      <c r="J31" s="353"/>
      <c r="K31" s="353"/>
      <c r="L31" s="353"/>
    </row>
    <row r="32" spans="2:12" x14ac:dyDescent="0.2">
      <c r="B32" s="470">
        <v>20000000</v>
      </c>
      <c r="C32" s="470">
        <v>16200</v>
      </c>
      <c r="D32" s="470">
        <v>19200</v>
      </c>
      <c r="E32" s="470">
        <v>19200</v>
      </c>
      <c r="F32" s="470">
        <v>22200</v>
      </c>
      <c r="G32" s="470">
        <v>22200</v>
      </c>
      <c r="H32" s="470">
        <v>25800</v>
      </c>
      <c r="I32" s="353"/>
      <c r="J32" s="353"/>
      <c r="K32" s="353"/>
      <c r="L32" s="353"/>
    </row>
    <row r="35" spans="2:6" ht="14.25" x14ac:dyDescent="0.2">
      <c r="C35" s="97"/>
    </row>
    <row r="36" spans="2:6" s="101" customFormat="1" x14ac:dyDescent="0.2">
      <c r="B36" s="354" t="s">
        <v>158</v>
      </c>
      <c r="C36" s="354"/>
      <c r="D36" s="354"/>
      <c r="E36" s="354"/>
      <c r="F36" s="354"/>
    </row>
    <row r="37" spans="2:6" s="101" customFormat="1" x14ac:dyDescent="0.2">
      <c r="B37" s="350" t="s">
        <v>127</v>
      </c>
      <c r="C37" s="355"/>
      <c r="D37" s="355"/>
      <c r="E37" s="356"/>
      <c r="F37" s="357">
        <f>'OSNOVNI PODATKI'!C244</f>
        <v>164820.00000000003</v>
      </c>
    </row>
    <row r="38" spans="2:6" s="101" customFormat="1" x14ac:dyDescent="0.2">
      <c r="B38" s="351" t="s">
        <v>150</v>
      </c>
      <c r="C38" s="358"/>
      <c r="D38" s="358"/>
      <c r="E38" s="359"/>
      <c r="F38" s="360" t="str">
        <f>'OSNOVNI PODATKI'!D244</f>
        <v>Cenovni razred II</v>
      </c>
    </row>
    <row r="39" spans="2:6" s="101" customFormat="1" x14ac:dyDescent="0.2">
      <c r="B39" s="110" t="s">
        <v>33</v>
      </c>
      <c r="C39" s="358"/>
      <c r="D39" s="109"/>
      <c r="E39" s="109"/>
      <c r="F39" s="109">
        <f>IFERROR(MATCH(F38,C4:H4),"/")</f>
        <v>3</v>
      </c>
    </row>
    <row r="40" spans="2:6" s="101" customFormat="1" x14ac:dyDescent="0.2">
      <c r="B40" s="110" t="s">
        <v>151</v>
      </c>
      <c r="C40" s="358"/>
      <c r="D40" s="109"/>
      <c r="E40" s="109"/>
      <c r="F40" s="109">
        <f>IFERROR(F39+1,"/")</f>
        <v>4</v>
      </c>
    </row>
    <row r="41" spans="2:6" s="101" customFormat="1" x14ac:dyDescent="0.2">
      <c r="B41" s="110" t="s">
        <v>34</v>
      </c>
      <c r="C41" s="358"/>
      <c r="D41" s="109"/>
      <c r="E41" s="109"/>
      <c r="F41" s="109">
        <f>IF(OR(F37&gt;B32,F37&lt;B7),"/",IFERROR(MATCH(F37,B7:B32),"/"))</f>
        <v>9</v>
      </c>
    </row>
    <row r="42" spans="2:6" s="101" customFormat="1" x14ac:dyDescent="0.2">
      <c r="B42" s="110" t="s">
        <v>35</v>
      </c>
      <c r="C42" s="358"/>
      <c r="D42" s="109"/>
      <c r="E42" s="109"/>
      <c r="F42" s="109">
        <f>IFERROR(F41+1,"/")</f>
        <v>10</v>
      </c>
    </row>
    <row r="43" spans="2:6" s="101" customFormat="1" x14ac:dyDescent="0.2">
      <c r="B43" s="110" t="s">
        <v>153</v>
      </c>
      <c r="C43" s="358"/>
      <c r="D43" s="109"/>
      <c r="E43" s="109"/>
      <c r="F43" s="109">
        <f>IFERROR(INDEX($C$7:$H$32,F41,F39),0)</f>
        <v>466</v>
      </c>
    </row>
    <row r="44" spans="2:6" s="101" customFormat="1" x14ac:dyDescent="0.2">
      <c r="B44" s="110" t="s">
        <v>110</v>
      </c>
      <c r="C44" s="358"/>
      <c r="D44" s="109"/>
      <c r="E44" s="109"/>
      <c r="F44" s="109">
        <f>IFERROR(INDEX($C$7:$H$32,F42,F39),0)</f>
        <v>697</v>
      </c>
    </row>
    <row r="45" spans="2:6" s="101" customFormat="1" x14ac:dyDescent="0.2">
      <c r="B45" s="110" t="s">
        <v>122</v>
      </c>
      <c r="C45" s="358"/>
      <c r="D45" s="109"/>
      <c r="E45" s="109"/>
      <c r="F45" s="109">
        <f>IFERROR(INDEX($B$7:$B$32,F41),0)</f>
        <v>150000</v>
      </c>
    </row>
    <row r="46" spans="2:6" s="101" customFormat="1" x14ac:dyDescent="0.2">
      <c r="B46" s="110" t="s">
        <v>154</v>
      </c>
      <c r="C46" s="358"/>
      <c r="D46" s="109"/>
      <c r="E46" s="109"/>
      <c r="F46" s="109">
        <f>IFERROR(INDEX($B$7:$B$32,F42),0)</f>
        <v>250000</v>
      </c>
    </row>
    <row r="47" spans="2:6" s="101" customFormat="1" x14ac:dyDescent="0.2">
      <c r="B47" s="502" t="s">
        <v>155</v>
      </c>
      <c r="C47" s="503"/>
      <c r="D47" s="504"/>
      <c r="E47" s="504"/>
      <c r="F47" s="504">
        <f>IFERROR(FORECAST(F37,F43:F44,F45:F46),0)</f>
        <v>500.23420000000004</v>
      </c>
    </row>
    <row r="48" spans="2:6" x14ac:dyDescent="0.2">
      <c r="B48" s="516"/>
      <c r="C48" s="517"/>
      <c r="D48" s="518"/>
      <c r="E48" s="518"/>
      <c r="F48" s="519">
        <f>IF(F41="/","NI DOLOČENO",F47)</f>
        <v>500.23420000000004</v>
      </c>
    </row>
    <row r="49" spans="2:6" s="101" customFormat="1" x14ac:dyDescent="0.2">
      <c r="B49" s="353"/>
      <c r="D49" s="102"/>
      <c r="E49" s="102"/>
      <c r="F49" s="102"/>
    </row>
    <row r="50" spans="2:6" s="101" customFormat="1" x14ac:dyDescent="0.2">
      <c r="B50" s="361" t="s">
        <v>152</v>
      </c>
      <c r="C50" s="355"/>
      <c r="D50" s="362"/>
      <c r="E50" s="362"/>
      <c r="F50" s="362">
        <f>IFERROR(INDEX($C$7:$H$32,F41,F40),0)</f>
        <v>548</v>
      </c>
    </row>
    <row r="51" spans="2:6" s="101" customFormat="1" x14ac:dyDescent="0.2">
      <c r="B51" s="110" t="s">
        <v>110</v>
      </c>
      <c r="C51" s="358"/>
      <c r="D51" s="109"/>
      <c r="E51" s="109"/>
      <c r="F51" s="109">
        <f>IFERROR(INDEX($C$7:$H$32,F42,F40),0)</f>
        <v>818</v>
      </c>
    </row>
    <row r="52" spans="2:6" s="101" customFormat="1" x14ac:dyDescent="0.2">
      <c r="B52" s="502" t="s">
        <v>156</v>
      </c>
      <c r="C52" s="503"/>
      <c r="D52" s="504"/>
      <c r="E52" s="504"/>
      <c r="F52" s="504">
        <f>IFERROR(FORECAST(F37,F50:F51,F45:F46),0)</f>
        <v>588.01400000000012</v>
      </c>
    </row>
    <row r="53" spans="2:6" x14ac:dyDescent="0.2">
      <c r="B53" s="518"/>
      <c r="C53" s="517"/>
      <c r="D53" s="518"/>
      <c r="E53" s="518"/>
      <c r="F53" s="519">
        <f>IF(F41="/","NI DOLOČENO",F52)</f>
        <v>588.01400000000012</v>
      </c>
    </row>
    <row r="54" spans="2:6" ht="14.25" x14ac:dyDescent="0.2">
      <c r="B54" s="97"/>
    </row>
    <row r="56" spans="2:6" s="101" customFormat="1" x14ac:dyDescent="0.2">
      <c r="B56" s="354" t="s">
        <v>159</v>
      </c>
      <c r="C56" s="354"/>
      <c r="D56" s="354"/>
      <c r="E56" s="354"/>
      <c r="F56" s="354"/>
    </row>
    <row r="57" spans="2:6" s="101" customFormat="1" x14ac:dyDescent="0.2">
      <c r="B57" s="350" t="s">
        <v>127</v>
      </c>
      <c r="C57" s="355"/>
      <c r="D57" s="355"/>
      <c r="E57" s="356"/>
      <c r="F57" s="357">
        <f>'OSNOVNI PODATKI'!C245</f>
        <v>407129.99999999988</v>
      </c>
    </row>
    <row r="58" spans="2:6" s="101" customFormat="1" x14ac:dyDescent="0.2">
      <c r="B58" s="351" t="s">
        <v>150</v>
      </c>
      <c r="C58" s="358"/>
      <c r="D58" s="358"/>
      <c r="E58" s="359"/>
      <c r="F58" s="360" t="str">
        <f>'OSNOVNI PODATKI'!D245</f>
        <v>Cenovni razred II</v>
      </c>
    </row>
    <row r="59" spans="2:6" s="101" customFormat="1" x14ac:dyDescent="0.2">
      <c r="B59" s="110" t="s">
        <v>33</v>
      </c>
      <c r="C59" s="358"/>
      <c r="D59" s="109"/>
      <c r="E59" s="109"/>
      <c r="F59" s="109">
        <f>IFERROR(MATCH(F58,C4:H4),"/")</f>
        <v>3</v>
      </c>
    </row>
    <row r="60" spans="2:6" s="101" customFormat="1" x14ac:dyDescent="0.2">
      <c r="B60" s="110" t="s">
        <v>151</v>
      </c>
      <c r="C60" s="358"/>
      <c r="D60" s="109"/>
      <c r="E60" s="109"/>
      <c r="F60" s="109">
        <f>IFERROR(F59+1,"/")</f>
        <v>4</v>
      </c>
    </row>
    <row r="61" spans="2:6" s="101" customFormat="1" x14ac:dyDescent="0.2">
      <c r="B61" s="110" t="s">
        <v>34</v>
      </c>
      <c r="C61" s="358"/>
      <c r="D61" s="109"/>
      <c r="E61" s="109"/>
      <c r="F61" s="109">
        <f>IF(OR(F57&gt;B32,F57&lt;B7),"/",IFERROR(MATCH(F57,B7:B32),"/"))</f>
        <v>10</v>
      </c>
    </row>
    <row r="62" spans="2:6" s="101" customFormat="1" x14ac:dyDescent="0.2">
      <c r="B62" s="110" t="s">
        <v>35</v>
      </c>
      <c r="C62" s="358"/>
      <c r="D62" s="109"/>
      <c r="E62" s="109"/>
      <c r="F62" s="109">
        <f>IFERROR(F61+1,"/")</f>
        <v>11</v>
      </c>
    </row>
    <row r="63" spans="2:6" s="101" customFormat="1" x14ac:dyDescent="0.2">
      <c r="B63" s="110" t="s">
        <v>153</v>
      </c>
      <c r="C63" s="358"/>
      <c r="D63" s="109"/>
      <c r="E63" s="109"/>
      <c r="F63" s="109">
        <f>IFERROR(INDEX($C$7:$H$32,F61,F59),0)</f>
        <v>697</v>
      </c>
    </row>
    <row r="64" spans="2:6" s="101" customFormat="1" x14ac:dyDescent="0.2">
      <c r="B64" s="110" t="s">
        <v>110</v>
      </c>
      <c r="C64" s="358"/>
      <c r="D64" s="109"/>
      <c r="E64" s="109"/>
      <c r="F64" s="109">
        <f>IFERROR(INDEX($C$7:$H$32,F62,F59),0)</f>
        <v>1205</v>
      </c>
    </row>
    <row r="65" spans="2:6" s="101" customFormat="1" x14ac:dyDescent="0.2">
      <c r="B65" s="110" t="s">
        <v>122</v>
      </c>
      <c r="C65" s="358"/>
      <c r="D65" s="109"/>
      <c r="E65" s="109"/>
      <c r="F65" s="109">
        <f>IFERROR(INDEX($B$7:$B$32,F61),0)</f>
        <v>250000</v>
      </c>
    </row>
    <row r="66" spans="2:6" s="101" customFormat="1" x14ac:dyDescent="0.2">
      <c r="B66" s="110" t="s">
        <v>154</v>
      </c>
      <c r="C66" s="358"/>
      <c r="D66" s="109"/>
      <c r="E66" s="109"/>
      <c r="F66" s="109">
        <f>IFERROR(INDEX($B$7:$B$32,F62),0)</f>
        <v>500000</v>
      </c>
    </row>
    <row r="67" spans="2:6" s="101" customFormat="1" x14ac:dyDescent="0.2">
      <c r="B67" s="502" t="s">
        <v>155</v>
      </c>
      <c r="C67" s="503"/>
      <c r="D67" s="504"/>
      <c r="E67" s="504"/>
      <c r="F67" s="504">
        <f>IFERROR(FORECAST(F57,F63:F64,F65:F66),0)</f>
        <v>1016.2881599999997</v>
      </c>
    </row>
    <row r="68" spans="2:6" x14ac:dyDescent="0.2">
      <c r="B68" s="516"/>
      <c r="C68" s="517"/>
      <c r="D68" s="518"/>
      <c r="E68" s="518"/>
      <c r="F68" s="519">
        <f>IF(F61="/","NI DOLOČENO",F67)</f>
        <v>1016.2881599999997</v>
      </c>
    </row>
    <row r="69" spans="2:6" s="101" customFormat="1" x14ac:dyDescent="0.2">
      <c r="B69" s="353"/>
      <c r="D69" s="102"/>
      <c r="E69" s="102"/>
      <c r="F69" s="102"/>
    </row>
    <row r="70" spans="2:6" s="101" customFormat="1" x14ac:dyDescent="0.2">
      <c r="B70" s="361" t="s">
        <v>152</v>
      </c>
      <c r="C70" s="355"/>
      <c r="D70" s="362"/>
      <c r="E70" s="362"/>
      <c r="F70" s="362">
        <f>IFERROR(INDEX($C$7:$H$32,F61,F60),0)</f>
        <v>818</v>
      </c>
    </row>
    <row r="71" spans="2:6" s="101" customFormat="1" x14ac:dyDescent="0.2">
      <c r="B71" s="110" t="s">
        <v>110</v>
      </c>
      <c r="C71" s="358"/>
      <c r="D71" s="109"/>
      <c r="E71" s="109"/>
      <c r="F71" s="109">
        <f>IFERROR(INDEX($C$7:$H$32,F62,F60),0)</f>
        <v>1415</v>
      </c>
    </row>
    <row r="72" spans="2:6" s="101" customFormat="1" x14ac:dyDescent="0.2">
      <c r="B72" s="502" t="s">
        <v>156</v>
      </c>
      <c r="C72" s="503"/>
      <c r="D72" s="504"/>
      <c r="E72" s="504"/>
      <c r="F72" s="504">
        <f>IFERROR(FORECAST(F57,F70:F71,F65:F66),0)</f>
        <v>1193.2264399999997</v>
      </c>
    </row>
    <row r="73" spans="2:6" x14ac:dyDescent="0.2">
      <c r="B73" s="518"/>
      <c r="C73" s="517"/>
      <c r="D73" s="518"/>
      <c r="E73" s="518"/>
      <c r="F73" s="519">
        <f>IF(F61="/","NI DOLOČENO",F72)</f>
        <v>1193.2264399999997</v>
      </c>
    </row>
    <row r="74" spans="2:6" ht="14.25" x14ac:dyDescent="0.2">
      <c r="B74" s="97"/>
    </row>
    <row r="76" spans="2:6" s="101" customFormat="1" x14ac:dyDescent="0.2">
      <c r="B76" s="354" t="s">
        <v>420</v>
      </c>
      <c r="C76" s="354"/>
      <c r="D76" s="354"/>
      <c r="E76" s="354"/>
      <c r="F76" s="354"/>
    </row>
    <row r="77" spans="2:6" s="101" customFormat="1" x14ac:dyDescent="0.2">
      <c r="B77" s="350" t="s">
        <v>127</v>
      </c>
      <c r="C77" s="355"/>
      <c r="D77" s="355"/>
      <c r="E77" s="356"/>
      <c r="F77" s="357">
        <f>'OSNOVNI PODATKI'!C246</f>
        <v>42435.000000000007</v>
      </c>
    </row>
    <row r="78" spans="2:6" s="101" customFormat="1" x14ac:dyDescent="0.2">
      <c r="B78" s="351" t="s">
        <v>150</v>
      </c>
      <c r="C78" s="358"/>
      <c r="D78" s="358"/>
      <c r="E78" s="359"/>
      <c r="F78" s="360" t="str">
        <f>'OSNOVNI PODATKI'!D246</f>
        <v>Cenovni razred I</v>
      </c>
    </row>
    <row r="79" spans="2:6" s="101" customFormat="1" x14ac:dyDescent="0.2">
      <c r="B79" s="110" t="s">
        <v>33</v>
      </c>
      <c r="C79" s="358"/>
      <c r="D79" s="109"/>
      <c r="E79" s="109"/>
      <c r="F79" s="109">
        <f>IFERROR(MATCH(F78,C4:H4),"/")</f>
        <v>1</v>
      </c>
    </row>
    <row r="80" spans="2:6" s="101" customFormat="1" x14ac:dyDescent="0.2">
      <c r="B80" s="110" t="s">
        <v>151</v>
      </c>
      <c r="C80" s="358"/>
      <c r="D80" s="109"/>
      <c r="E80" s="109"/>
      <c r="F80" s="109">
        <f>IFERROR(F79+1,"/")</f>
        <v>2</v>
      </c>
    </row>
    <row r="81" spans="1:7" s="101" customFormat="1" x14ac:dyDescent="0.2">
      <c r="B81" s="110" t="s">
        <v>34</v>
      </c>
      <c r="C81" s="358"/>
      <c r="D81" s="109"/>
      <c r="E81" s="109"/>
      <c r="F81" s="109">
        <f>IF(OR(F77&gt;B32,F77&lt;B7),"/",IFERROR(MATCH(F77,B7:B32),"/"))</f>
        <v>5</v>
      </c>
    </row>
    <row r="82" spans="1:7" s="101" customFormat="1" x14ac:dyDescent="0.2">
      <c r="B82" s="110" t="s">
        <v>35</v>
      </c>
      <c r="C82" s="358"/>
      <c r="D82" s="109"/>
      <c r="E82" s="109"/>
      <c r="F82" s="109">
        <f>IFERROR(F81+1,"/")</f>
        <v>6</v>
      </c>
    </row>
    <row r="83" spans="1:7" s="101" customFormat="1" x14ac:dyDescent="0.2">
      <c r="B83" s="110" t="s">
        <v>153</v>
      </c>
      <c r="C83" s="358"/>
      <c r="D83" s="109"/>
      <c r="E83" s="109"/>
      <c r="F83" s="109">
        <f>IFERROR(INDEX($C$7:$H$32,F81,F79),0)</f>
        <v>124</v>
      </c>
    </row>
    <row r="84" spans="1:7" s="101" customFormat="1" x14ac:dyDescent="0.2">
      <c r="B84" s="110" t="s">
        <v>110</v>
      </c>
      <c r="C84" s="358"/>
      <c r="D84" s="109"/>
      <c r="E84" s="109"/>
      <c r="F84" s="109">
        <f>IFERROR(INDEX($C$7:$H$32,F82,F79),0)</f>
        <v>165</v>
      </c>
    </row>
    <row r="85" spans="1:7" s="101" customFormat="1" x14ac:dyDescent="0.2">
      <c r="B85" s="110" t="s">
        <v>122</v>
      </c>
      <c r="C85" s="358"/>
      <c r="D85" s="109"/>
      <c r="E85" s="109"/>
      <c r="F85" s="109">
        <f>IFERROR(INDEX($B$7:$B$32,F81),0)</f>
        <v>35000</v>
      </c>
    </row>
    <row r="86" spans="1:7" s="101" customFormat="1" x14ac:dyDescent="0.2">
      <c r="B86" s="110" t="s">
        <v>154</v>
      </c>
      <c r="C86" s="358"/>
      <c r="D86" s="109"/>
      <c r="E86" s="109"/>
      <c r="F86" s="109">
        <f>IFERROR(INDEX($B$7:$B$32,F82),0)</f>
        <v>50000</v>
      </c>
    </row>
    <row r="87" spans="1:7" s="101" customFormat="1" x14ac:dyDescent="0.2">
      <c r="B87" s="502" t="s">
        <v>155</v>
      </c>
      <c r="C87" s="503"/>
      <c r="D87" s="504"/>
      <c r="E87" s="504"/>
      <c r="F87" s="504">
        <f>IFERROR(FORECAST(F77,F83:F84,F85:F86),0)</f>
        <v>144.32233333333335</v>
      </c>
    </row>
    <row r="88" spans="1:7" x14ac:dyDescent="0.2">
      <c r="B88" s="516"/>
      <c r="C88" s="517"/>
      <c r="D88" s="518"/>
      <c r="E88" s="518"/>
      <c r="F88" s="519">
        <f>IF(F81="/","NI DOLOČENO",F87)</f>
        <v>144.32233333333335</v>
      </c>
    </row>
    <row r="89" spans="1:7" s="101" customFormat="1" x14ac:dyDescent="0.2">
      <c r="B89" s="353"/>
      <c r="D89" s="102"/>
      <c r="E89" s="102"/>
      <c r="F89" s="102"/>
    </row>
    <row r="90" spans="1:7" s="101" customFormat="1" x14ac:dyDescent="0.2">
      <c r="B90" s="361" t="s">
        <v>152</v>
      </c>
      <c r="C90" s="355"/>
      <c r="D90" s="362"/>
      <c r="E90" s="362"/>
      <c r="F90" s="362">
        <f>IFERROR(INDEX($C$7:$H$32,F81,F80),0)</f>
        <v>148</v>
      </c>
    </row>
    <row r="91" spans="1:7" s="101" customFormat="1" x14ac:dyDescent="0.2">
      <c r="B91" s="110" t="s">
        <v>110</v>
      </c>
      <c r="C91" s="358"/>
      <c r="D91" s="109"/>
      <c r="E91" s="109"/>
      <c r="F91" s="109">
        <f>IFERROR(INDEX($C$7:$H$32,F82,F80),0)</f>
        <v>197</v>
      </c>
    </row>
    <row r="92" spans="1:7" s="101" customFormat="1" x14ac:dyDescent="0.2">
      <c r="B92" s="502" t="s">
        <v>156</v>
      </c>
      <c r="C92" s="503"/>
      <c r="D92" s="504"/>
      <c r="E92" s="504"/>
      <c r="F92" s="504">
        <f>IFERROR(FORECAST(F77,F90:F91,F85:F86),0)</f>
        <v>172.28766666666669</v>
      </c>
    </row>
    <row r="93" spans="1:7" x14ac:dyDescent="0.2">
      <c r="B93" s="518"/>
      <c r="C93" s="517"/>
      <c r="D93" s="518"/>
      <c r="E93" s="518"/>
      <c r="F93" s="519">
        <f>IF(F81="/","NI DOLOČENO",F92)</f>
        <v>172.28766666666669</v>
      </c>
    </row>
    <row r="96" spans="1:7" x14ac:dyDescent="0.2">
      <c r="A96" s="366"/>
      <c r="B96" s="366" t="s">
        <v>161</v>
      </c>
      <c r="C96" s="366"/>
      <c r="D96" s="366"/>
      <c r="E96" s="366"/>
      <c r="F96" s="366"/>
      <c r="G96" s="366"/>
    </row>
    <row r="97" spans="1:8" s="101" customFormat="1" x14ac:dyDescent="0.2">
      <c r="A97" s="367"/>
      <c r="B97" s="367"/>
      <c r="C97" s="367"/>
      <c r="D97" s="367"/>
      <c r="E97" s="367"/>
      <c r="F97" s="458"/>
      <c r="G97" s="367"/>
      <c r="H97" s="367"/>
    </row>
    <row r="98" spans="1:8" s="101" customFormat="1" x14ac:dyDescent="0.2">
      <c r="A98" s="458"/>
      <c r="B98" s="470" t="str">
        <f>'OSNOVNI PODATKI'!$B$255</f>
        <v>PRIBITEK ZA PRENOVO</v>
      </c>
      <c r="C98" s="467"/>
      <c r="D98" s="471"/>
      <c r="E98" s="471"/>
      <c r="F98" s="520">
        <f>'OSNOVNI PODATKI'!$E$255</f>
        <v>0</v>
      </c>
      <c r="G98" s="467"/>
      <c r="H98" s="467"/>
    </row>
    <row r="99" spans="1:8" s="101" customFormat="1" x14ac:dyDescent="0.2">
      <c r="A99" s="458"/>
      <c r="B99" s="470" t="str">
        <f>'OSNOVNI PODATKI'!$B$257</f>
        <v>UPORABA BIM PROCESOV</v>
      </c>
      <c r="C99" s="467"/>
      <c r="D99" s="471"/>
      <c r="E99" s="471"/>
      <c r="F99" s="521">
        <f>'OSNOVNI PODATKI'!$E$257</f>
        <v>0</v>
      </c>
      <c r="G99" s="467"/>
      <c r="H99" s="467"/>
    </row>
    <row r="100" spans="1:8" s="101" customFormat="1" x14ac:dyDescent="0.2">
      <c r="A100" s="458"/>
      <c r="B100" s="470" t="str">
        <f>'OSNOVNI PODATKI'!$B$259</f>
        <v>GRADBENI NADZOR</v>
      </c>
      <c r="C100" s="467"/>
      <c r="D100" s="471"/>
      <c r="E100" s="471"/>
      <c r="F100" s="520">
        <f>IF('OSNOVNI PODATKI'!$E$259=TRUE,20%,0%)</f>
        <v>0</v>
      </c>
      <c r="G100" s="467"/>
      <c r="H100" s="467"/>
    </row>
    <row r="101" spans="1:8" s="101" customFormat="1" ht="27.75" customHeight="1" x14ac:dyDescent="0.2">
      <c r="A101" s="458"/>
      <c r="B101" s="1126" t="str">
        <f>'OSNOVNI PODATKI'!$B$262</f>
        <v>BREZ NAČRTA UTOROV IN PREBOJEV V NAČRTIH INŠTALACIJ</v>
      </c>
      <c r="C101" s="1126"/>
      <c r="D101" s="1126"/>
      <c r="E101" s="1126"/>
      <c r="F101" s="521">
        <f>'OSNOVNI PODATKI'!E262</f>
        <v>-0.04</v>
      </c>
      <c r="G101" s="467"/>
      <c r="H101" s="467"/>
    </row>
    <row r="102" spans="1:8" s="101" customFormat="1" ht="27" customHeight="1" x14ac:dyDescent="0.2">
      <c r="A102" s="458"/>
      <c r="B102" s="1126" t="str">
        <f>'OSNOVNI PODATKI'!$B$263</f>
        <v>BREZ PREVERJANJA MONTAŽNIH IN DELAVNIŠKIH NAČRTOV V TEHNIČNIH NAČRTIH</v>
      </c>
      <c r="C102" s="1126"/>
      <c r="D102" s="1126"/>
      <c r="E102" s="1126"/>
      <c r="F102" s="521">
        <f>'OSNOVNI PODATKI'!E263</f>
        <v>-0.04</v>
      </c>
      <c r="G102" s="467"/>
      <c r="H102" s="467"/>
    </row>
    <row r="103" spans="1:8" s="2" customFormat="1" x14ac:dyDescent="0.2">
      <c r="A103" s="458"/>
      <c r="B103" s="365"/>
      <c r="C103" s="365"/>
      <c r="D103" s="365"/>
      <c r="E103" s="365"/>
      <c r="F103" s="365"/>
      <c r="G103" s="365"/>
    </row>
    <row r="104" spans="1:8" x14ac:dyDescent="0.2">
      <c r="A104" s="367"/>
      <c r="B104" s="367"/>
      <c r="C104" s="367"/>
      <c r="D104" s="367"/>
      <c r="E104" s="367"/>
      <c r="F104" s="367"/>
      <c r="G104" s="367"/>
      <c r="H104" s="367"/>
    </row>
    <row r="105" spans="1:8" ht="25.5" x14ac:dyDescent="0.2">
      <c r="A105" s="137"/>
      <c r="B105" s="138"/>
      <c r="C105" s="138"/>
      <c r="D105" s="138"/>
      <c r="E105" s="139" t="s">
        <v>31</v>
      </c>
      <c r="F105" s="509" t="s">
        <v>442</v>
      </c>
      <c r="G105" s="140" t="s">
        <v>76</v>
      </c>
      <c r="H105" s="141" t="s">
        <v>90</v>
      </c>
    </row>
    <row r="106" spans="1:8" x14ac:dyDescent="0.2">
      <c r="A106" s="132" t="s">
        <v>38</v>
      </c>
      <c r="B106" s="133" t="s">
        <v>39</v>
      </c>
      <c r="C106" s="133"/>
      <c r="D106" s="133"/>
      <c r="E106" s="134"/>
      <c r="F106" s="134"/>
      <c r="G106" s="135"/>
      <c r="H106" s="136"/>
    </row>
    <row r="107" spans="1:8" x14ac:dyDescent="0.2">
      <c r="A107" s="115" t="s">
        <v>40</v>
      </c>
      <c r="B107" s="127" t="s">
        <v>85</v>
      </c>
      <c r="C107" s="127"/>
      <c r="D107" s="127"/>
      <c r="E107" s="116"/>
      <c r="F107" s="116"/>
      <c r="G107" s="125"/>
      <c r="H107" s="117" t="str">
        <f>IF(J114=TRUE,G107*'VREDNOST NU'!#REF!,"")</f>
        <v/>
      </c>
    </row>
    <row r="108" spans="1:8" x14ac:dyDescent="0.2">
      <c r="A108" s="143" t="s">
        <v>41</v>
      </c>
      <c r="B108" s="144" t="s">
        <v>86</v>
      </c>
      <c r="C108" s="144"/>
      <c r="D108" s="144"/>
      <c r="E108" s="145"/>
      <c r="F108" s="145"/>
      <c r="G108" s="120"/>
      <c r="H108" s="121" t="str">
        <f>IF(J115=TRUE,G108*'VREDNOST NU'!#REF!,"")</f>
        <v/>
      </c>
    </row>
    <row r="109" spans="1:8" x14ac:dyDescent="0.2">
      <c r="A109" s="142" t="s">
        <v>42</v>
      </c>
      <c r="B109" s="133" t="s">
        <v>43</v>
      </c>
      <c r="C109" s="133"/>
      <c r="D109" s="133"/>
      <c r="E109" s="134">
        <f>SUM(E110:E112)</f>
        <v>0.02</v>
      </c>
      <c r="F109" s="134">
        <f>SUM(F110:F112)</f>
        <v>0.02</v>
      </c>
      <c r="G109" s="135">
        <f>SUM(G110:G112)</f>
        <v>10.882482000000003</v>
      </c>
      <c r="H109" s="136">
        <f>SUM(H110:H112)</f>
        <v>435.29928000000012</v>
      </c>
    </row>
    <row r="110" spans="1:8" s="101" customFormat="1" x14ac:dyDescent="0.2">
      <c r="A110" s="118" t="s">
        <v>44</v>
      </c>
      <c r="B110" s="126" t="s">
        <v>87</v>
      </c>
      <c r="C110" s="126"/>
      <c r="D110" s="126"/>
      <c r="E110" s="116">
        <v>0.01</v>
      </c>
      <c r="F110" s="510">
        <f>E110*(100%+$F$98)</f>
        <v>0.01</v>
      </c>
      <c r="G110" s="125">
        <f>F110*'OSNOVNI PODATKI'!$I$244</f>
        <v>5.4412410000000015</v>
      </c>
      <c r="H110" s="117">
        <f>+G110*'ARHIGRAM 5'!$I$17</f>
        <v>217.64964000000006</v>
      </c>
    </row>
    <row r="111" spans="1:8" s="2" customFormat="1" x14ac:dyDescent="0.2">
      <c r="A111" s="118" t="s">
        <v>45</v>
      </c>
      <c r="B111" s="126" t="s">
        <v>88</v>
      </c>
      <c r="C111" s="126"/>
      <c r="D111" s="126"/>
      <c r="E111" s="116">
        <v>5.0000000000000001E-3</v>
      </c>
      <c r="F111" s="116">
        <f t="shared" ref="F111:F112" si="0">E111*(100%+$F$98)</f>
        <v>5.0000000000000001E-3</v>
      </c>
      <c r="G111" s="125">
        <f>F111*'OSNOVNI PODATKI'!$I$244</f>
        <v>2.7206205000000008</v>
      </c>
      <c r="H111" s="117">
        <f>+G111*'ARHIGRAM 5'!$I$17</f>
        <v>108.82482000000003</v>
      </c>
    </row>
    <row r="112" spans="1:8" s="13" customFormat="1" ht="14.25" x14ac:dyDescent="0.25">
      <c r="A112" s="148" t="s">
        <v>46</v>
      </c>
      <c r="B112" s="149" t="s">
        <v>741</v>
      </c>
      <c r="C112" s="149"/>
      <c r="D112" s="149"/>
      <c r="E112" s="145">
        <v>5.0000000000000001E-3</v>
      </c>
      <c r="F112" s="145">
        <f t="shared" si="0"/>
        <v>5.0000000000000001E-3</v>
      </c>
      <c r="G112" s="120">
        <f>F112*'OSNOVNI PODATKI'!$I$244</f>
        <v>2.7206205000000008</v>
      </c>
      <c r="H112" s="121">
        <f>+G112*'ARHIGRAM 5'!$I$17</f>
        <v>108.82482000000003</v>
      </c>
    </row>
    <row r="113" spans="1:8" s="14" customFormat="1" ht="14.25" x14ac:dyDescent="0.2">
      <c r="A113" s="146">
        <v>2</v>
      </c>
      <c r="B113" s="133" t="s">
        <v>47</v>
      </c>
      <c r="C113" s="133"/>
      <c r="D113" s="133"/>
      <c r="E113" s="134">
        <f>+E114+E115+E116+E117+E118</f>
        <v>0.57000000000000006</v>
      </c>
      <c r="F113" s="134">
        <f>+F114+F115+F116+F117+F118</f>
        <v>0.49000000000000005</v>
      </c>
      <c r="G113" s="147">
        <f>SUM(G114:G118)</f>
        <v>266.62080900000007</v>
      </c>
      <c r="H113" s="136">
        <f>SUM(H114:H118)</f>
        <v>10664.832360000004</v>
      </c>
    </row>
    <row r="114" spans="1:8" s="14" customFormat="1" ht="14.25" x14ac:dyDescent="0.2">
      <c r="A114" s="118" t="s">
        <v>70</v>
      </c>
      <c r="B114" s="126" t="s">
        <v>124</v>
      </c>
      <c r="C114" s="126"/>
      <c r="D114" s="126"/>
      <c r="E114" s="129">
        <v>0.09</v>
      </c>
      <c r="F114" s="129">
        <f>E114*(100%+$F$98+$F$99)</f>
        <v>0.09</v>
      </c>
      <c r="G114" s="125">
        <f>F114*'OSNOVNI PODATKI'!$I$244</f>
        <v>48.97116900000001</v>
      </c>
      <c r="H114" s="117">
        <f>+G114*'ARHIGRAM 5'!$I$17</f>
        <v>1958.8467600000004</v>
      </c>
    </row>
    <row r="115" spans="1:8" s="14" customFormat="1" ht="14.25" x14ac:dyDescent="0.2">
      <c r="A115" s="130" t="s">
        <v>71</v>
      </c>
      <c r="B115" s="131" t="s">
        <v>617</v>
      </c>
      <c r="C115" s="131"/>
      <c r="D115" s="131"/>
      <c r="E115" s="129">
        <v>0.17</v>
      </c>
      <c r="F115" s="129">
        <f>E115*(100%+$F$98+$F$99)</f>
        <v>0.17</v>
      </c>
      <c r="G115" s="125">
        <f>F115*'OSNOVNI PODATKI'!$I$244</f>
        <v>92.50109700000003</v>
      </c>
      <c r="H115" s="117">
        <f>+G115*'ARHIGRAM 5'!$I$17</f>
        <v>3700.0438800000011</v>
      </c>
    </row>
    <row r="116" spans="1:8" s="14" customFormat="1" ht="14.25" x14ac:dyDescent="0.2">
      <c r="A116" s="130" t="s">
        <v>72</v>
      </c>
      <c r="B116" s="131" t="s">
        <v>1074</v>
      </c>
      <c r="C116" s="131"/>
      <c r="D116" s="131"/>
      <c r="E116" s="129">
        <v>0.02</v>
      </c>
      <c r="F116" s="129">
        <f>E116*(100%+$F$98+$F$99)</f>
        <v>0.02</v>
      </c>
      <c r="G116" s="125">
        <f>F116*'OSNOVNI PODATKI'!$I$244</f>
        <v>10.882482000000003</v>
      </c>
      <c r="H116" s="117">
        <f>+G116*'ARHIGRAM 5'!$I$17</f>
        <v>435.29928000000012</v>
      </c>
    </row>
    <row r="117" spans="1:8" s="14" customFormat="1" ht="14.25" x14ac:dyDescent="0.2">
      <c r="A117" s="130" t="s">
        <v>125</v>
      </c>
      <c r="B117" s="131" t="s">
        <v>618</v>
      </c>
      <c r="C117" s="131"/>
      <c r="D117" s="131"/>
      <c r="E117" s="129">
        <v>0.22</v>
      </c>
      <c r="F117" s="129">
        <f>E117*(100%+$F$98+$F$99)+F101+F102</f>
        <v>0.13999999999999999</v>
      </c>
      <c r="G117" s="125">
        <f>F117*'OSNOVNI PODATKI'!$I$244</f>
        <v>76.177374000000015</v>
      </c>
      <c r="H117" s="117">
        <f>+G117*'ARHIGRAM 5'!$I$17</f>
        <v>3047.0949600000004</v>
      </c>
    </row>
    <row r="118" spans="1:8" s="14" customFormat="1" ht="14.25" x14ac:dyDescent="0.2">
      <c r="A118" s="151" t="s">
        <v>126</v>
      </c>
      <c r="B118" s="152" t="s">
        <v>742</v>
      </c>
      <c r="C118" s="152"/>
      <c r="D118" s="152"/>
      <c r="E118" s="153">
        <v>7.0000000000000007E-2</v>
      </c>
      <c r="F118" s="153">
        <f>E118*(100%+$F$98+$F$99)</f>
        <v>7.0000000000000007E-2</v>
      </c>
      <c r="G118" s="120">
        <f>F118*'OSNOVNI PODATKI'!$I$244</f>
        <v>38.088687000000014</v>
      </c>
      <c r="H118" s="121">
        <f>+G118*'ARHIGRAM 5'!$I$17</f>
        <v>1523.5474800000006</v>
      </c>
    </row>
    <row r="119" spans="1:8" s="14" customFormat="1" ht="14.25" x14ac:dyDescent="0.2">
      <c r="A119" s="150" t="s">
        <v>58</v>
      </c>
      <c r="B119" s="133" t="s">
        <v>801</v>
      </c>
      <c r="C119" s="133"/>
      <c r="D119" s="133"/>
      <c r="E119" s="134">
        <f>SUM(E120:E121)</f>
        <v>0.05</v>
      </c>
      <c r="F119" s="134">
        <f>SUM(F120:F121)</f>
        <v>0.05</v>
      </c>
      <c r="G119" s="135">
        <f>SUM(G120:G121)</f>
        <v>27.206205000000004</v>
      </c>
      <c r="H119" s="136">
        <f>SUM(H120:H121)</f>
        <v>1088.2482000000002</v>
      </c>
    </row>
    <row r="120" spans="1:8" s="14" customFormat="1" ht="14.25" x14ac:dyDescent="0.2">
      <c r="A120" s="119" t="s">
        <v>59</v>
      </c>
      <c r="B120" s="125" t="s">
        <v>743</v>
      </c>
      <c r="C120" s="125"/>
      <c r="D120" s="125"/>
      <c r="E120" s="116">
        <v>0.03</v>
      </c>
      <c r="F120" s="116">
        <f t="shared" ref="F120:F121" si="1">E120*(100%+$F$98)</f>
        <v>0.03</v>
      </c>
      <c r="G120" s="125">
        <f>F120*'OSNOVNI PODATKI'!$I$244</f>
        <v>16.323723000000001</v>
      </c>
      <c r="H120" s="117">
        <f>+G120*'ARHIGRAM 5'!$I$17</f>
        <v>652.94892000000004</v>
      </c>
    </row>
    <row r="121" spans="1:8" s="14" customFormat="1" ht="14.25" x14ac:dyDescent="0.2">
      <c r="A121" s="155" t="s">
        <v>60</v>
      </c>
      <c r="B121" s="120" t="s">
        <v>255</v>
      </c>
      <c r="C121" s="120"/>
      <c r="D121" s="120"/>
      <c r="E121" s="145">
        <v>0.02</v>
      </c>
      <c r="F121" s="145">
        <f t="shared" si="1"/>
        <v>0.02</v>
      </c>
      <c r="G121" s="120">
        <f>F121*'OSNOVNI PODATKI'!$I$244</f>
        <v>10.882482000000003</v>
      </c>
      <c r="H121" s="121">
        <f>+G121*'ARHIGRAM 5'!$I$17</f>
        <v>435.29928000000012</v>
      </c>
    </row>
    <row r="122" spans="1:8" s="14" customFormat="1" ht="14.25" x14ac:dyDescent="0.2">
      <c r="A122" s="154">
        <v>4</v>
      </c>
      <c r="B122" s="133" t="s">
        <v>80</v>
      </c>
      <c r="C122" s="133"/>
      <c r="D122" s="133"/>
      <c r="E122" s="134">
        <f>SUM(E123:E127)</f>
        <v>0.35000000000000003</v>
      </c>
      <c r="F122" s="134">
        <f>SUM(F123:F127)</f>
        <v>0.14999999999999994</v>
      </c>
      <c r="G122" s="135">
        <f>SUM(G123:G127)</f>
        <v>81.618615000000005</v>
      </c>
      <c r="H122" s="136">
        <f>SUM(H123:H127)</f>
        <v>3264.7446000000004</v>
      </c>
    </row>
    <row r="123" spans="1:8" s="14" customFormat="1" ht="14.25" x14ac:dyDescent="0.2">
      <c r="A123" s="119" t="s">
        <v>61</v>
      </c>
      <c r="B123" s="125" t="s">
        <v>256</v>
      </c>
      <c r="C123" s="125"/>
      <c r="D123" s="125"/>
      <c r="E123" s="116">
        <v>0.01</v>
      </c>
      <c r="F123" s="116">
        <f>E123*(100%+$F$98)</f>
        <v>0.01</v>
      </c>
      <c r="G123" s="125">
        <f>F123*'OSNOVNI PODATKI'!$I$244</f>
        <v>5.4412410000000015</v>
      </c>
      <c r="H123" s="117">
        <f>+G123*'ARHIGRAM 5'!$I$17</f>
        <v>217.64964000000006</v>
      </c>
    </row>
    <row r="124" spans="1:8" s="14" customFormat="1" ht="14.25" x14ac:dyDescent="0.2">
      <c r="A124" s="119" t="s">
        <v>62</v>
      </c>
      <c r="B124" s="125" t="s">
        <v>779</v>
      </c>
      <c r="C124" s="125"/>
      <c r="D124" s="125"/>
      <c r="E124" s="116">
        <v>0.28999999999999998</v>
      </c>
      <c r="F124" s="116">
        <f>(E124-20%+F100)*(100%+$F$98+$F$99)</f>
        <v>8.9999999999999969E-2</v>
      </c>
      <c r="G124" s="125">
        <f>F124*'OSNOVNI PODATKI'!$I$244</f>
        <v>48.971168999999996</v>
      </c>
      <c r="H124" s="117">
        <f>+G124*'ARHIGRAM 5'!$I$17</f>
        <v>1958.8467599999999</v>
      </c>
    </row>
    <row r="125" spans="1:8" s="14" customFormat="1" ht="14.25" x14ac:dyDescent="0.2">
      <c r="A125" s="119" t="s">
        <v>63</v>
      </c>
      <c r="B125" s="125" t="s">
        <v>1076</v>
      </c>
      <c r="C125" s="125"/>
      <c r="D125" s="125"/>
      <c r="E125" s="116">
        <v>0.01</v>
      </c>
      <c r="F125" s="116">
        <f>E125*(100%+$F$98)</f>
        <v>0.01</v>
      </c>
      <c r="G125" s="125">
        <f>F125*'OSNOVNI PODATKI'!$I$244</f>
        <v>5.4412410000000015</v>
      </c>
      <c r="H125" s="117">
        <f>+G125*'ARHIGRAM 5'!$I$17</f>
        <v>217.64964000000006</v>
      </c>
    </row>
    <row r="126" spans="1:8" s="14" customFormat="1" ht="14.25" x14ac:dyDescent="0.2">
      <c r="A126" s="119" t="s">
        <v>64</v>
      </c>
      <c r="B126" s="125" t="s">
        <v>780</v>
      </c>
      <c r="C126" s="125"/>
      <c r="D126" s="125"/>
      <c r="E126" s="116">
        <v>0.02</v>
      </c>
      <c r="F126" s="116">
        <f>E126*(100%+$F$98)</f>
        <v>0.02</v>
      </c>
      <c r="G126" s="125">
        <f>F126*'OSNOVNI PODATKI'!$I$244</f>
        <v>10.882482000000003</v>
      </c>
      <c r="H126" s="117">
        <f>+G126*'ARHIGRAM 5'!$I$17</f>
        <v>435.29928000000012</v>
      </c>
    </row>
    <row r="127" spans="1:8" s="14" customFormat="1" ht="14.25" x14ac:dyDescent="0.2">
      <c r="A127" s="155" t="s">
        <v>65</v>
      </c>
      <c r="B127" s="120" t="s">
        <v>744</v>
      </c>
      <c r="C127" s="120"/>
      <c r="D127" s="120"/>
      <c r="E127" s="145">
        <v>0.02</v>
      </c>
      <c r="F127" s="145">
        <f>E127*(100%+$F$98+$F$99)</f>
        <v>0.02</v>
      </c>
      <c r="G127" s="120">
        <f>F127*'OSNOVNI PODATKI'!$I$244</f>
        <v>10.882482000000003</v>
      </c>
      <c r="H127" s="121">
        <f>+G127*'ARHIGRAM 5'!$I$17</f>
        <v>435.29928000000012</v>
      </c>
    </row>
    <row r="128" spans="1:8" s="14" customFormat="1" ht="14.25" x14ac:dyDescent="0.2">
      <c r="A128" s="156">
        <v>5</v>
      </c>
      <c r="B128" s="133" t="s">
        <v>66</v>
      </c>
      <c r="C128" s="133"/>
      <c r="D128" s="133"/>
      <c r="E128" s="134">
        <f>SUM(E129:E130)</f>
        <v>0.01</v>
      </c>
      <c r="F128" s="134">
        <f>SUM(F129:F130)</f>
        <v>0.01</v>
      </c>
      <c r="G128" s="135">
        <f>SUM(G129:G130)</f>
        <v>5.4412410000000015</v>
      </c>
      <c r="H128" s="136">
        <f>SUM(H129:H130)</f>
        <v>217.64964000000006</v>
      </c>
    </row>
    <row r="129" spans="1:8" s="14" customFormat="1" ht="14.25" x14ac:dyDescent="0.2">
      <c r="A129" s="119" t="s">
        <v>67</v>
      </c>
      <c r="B129" s="128" t="s">
        <v>257</v>
      </c>
      <c r="C129" s="128"/>
      <c r="D129" s="128"/>
      <c r="E129" s="116">
        <v>5.0000000000000001E-3</v>
      </c>
      <c r="F129" s="116">
        <f t="shared" ref="F129:F130" si="2">E129*(100%+$F$98)</f>
        <v>5.0000000000000001E-3</v>
      </c>
      <c r="G129" s="125">
        <f>F129*'OSNOVNI PODATKI'!$I$244</f>
        <v>2.7206205000000008</v>
      </c>
      <c r="H129" s="117">
        <f>+G129*'ARHIGRAM 5'!$I$17</f>
        <v>108.82482000000003</v>
      </c>
    </row>
    <row r="130" spans="1:8" s="14" customFormat="1" ht="14.25" x14ac:dyDescent="0.2">
      <c r="A130" s="155" t="s">
        <v>68</v>
      </c>
      <c r="B130" s="158" t="s">
        <v>781</v>
      </c>
      <c r="C130" s="158"/>
      <c r="D130" s="158"/>
      <c r="E130" s="145">
        <v>5.0000000000000001E-3</v>
      </c>
      <c r="F130" s="145">
        <f t="shared" si="2"/>
        <v>5.0000000000000001E-3</v>
      </c>
      <c r="G130" s="120">
        <f>F130*'OSNOVNI PODATKI'!$I$244</f>
        <v>2.7206205000000008</v>
      </c>
      <c r="H130" s="121">
        <f>+G130*'ARHIGRAM 5'!$I$17</f>
        <v>108.82482000000003</v>
      </c>
    </row>
    <row r="131" spans="1:8" s="14" customFormat="1" ht="14.25" x14ac:dyDescent="0.2">
      <c r="A131" s="157">
        <v>6</v>
      </c>
      <c r="B131" s="133" t="s">
        <v>69</v>
      </c>
      <c r="C131" s="133"/>
      <c r="D131" s="133"/>
      <c r="E131" s="134"/>
      <c r="F131" s="134"/>
      <c r="G131" s="135"/>
      <c r="H131" s="136"/>
    </row>
    <row r="132" spans="1:8" s="14" customFormat="1" ht="14.25" x14ac:dyDescent="0.2">
      <c r="A132" s="119" t="s">
        <v>73</v>
      </c>
      <c r="B132" s="128" t="s">
        <v>259</v>
      </c>
      <c r="C132" s="128"/>
      <c r="D132" s="128"/>
      <c r="E132" s="116"/>
      <c r="F132" s="116"/>
      <c r="G132" s="125"/>
      <c r="H132" s="117"/>
    </row>
    <row r="133" spans="1:8" s="14" customFormat="1" ht="14.25" x14ac:dyDescent="0.2">
      <c r="A133" s="119" t="s">
        <v>74</v>
      </c>
      <c r="B133" s="128" t="s">
        <v>260</v>
      </c>
      <c r="C133" s="128"/>
      <c r="D133" s="128"/>
      <c r="E133" s="116"/>
      <c r="F133" s="116"/>
      <c r="G133" s="125"/>
      <c r="H133" s="117"/>
    </row>
    <row r="134" spans="1:8" s="14" customFormat="1" ht="14.25" x14ac:dyDescent="0.2">
      <c r="A134" s="155" t="s">
        <v>75</v>
      </c>
      <c r="B134" s="158" t="s">
        <v>261</v>
      </c>
      <c r="C134" s="158"/>
      <c r="D134" s="158"/>
      <c r="E134" s="145"/>
      <c r="F134" s="145"/>
      <c r="G134" s="120"/>
      <c r="H134" s="121"/>
    </row>
    <row r="135" spans="1:8" s="14" customFormat="1" ht="14.25" x14ac:dyDescent="0.2">
      <c r="A135" s="122"/>
      <c r="B135" s="123"/>
      <c r="C135" s="123"/>
      <c r="D135" s="123"/>
      <c r="E135" s="124"/>
      <c r="F135" s="124"/>
      <c r="G135" s="159"/>
      <c r="H135" s="160"/>
    </row>
    <row r="136" spans="1:8" s="14" customFormat="1" ht="14.25" x14ac:dyDescent="0.2">
      <c r="A136" s="165"/>
      <c r="B136" s="166" t="s">
        <v>1</v>
      </c>
      <c r="C136" s="166"/>
      <c r="D136" s="166"/>
      <c r="E136" s="167">
        <f>E106+E109+E113+E119+E122+E128+E131</f>
        <v>1.0000000000000002</v>
      </c>
      <c r="F136" s="167">
        <f>F106+F109+F113+F119+F122+F128+F131</f>
        <v>0.72</v>
      </c>
      <c r="G136" s="174">
        <f>G106+G109+G113+G119+G122+G128+G131</f>
        <v>391.76935200000003</v>
      </c>
      <c r="H136" s="168">
        <f>H106+H109+H113+H119+H122+H128+H131</f>
        <v>15670.774080000003</v>
      </c>
    </row>
    <row r="137" spans="1:8" s="14" customFormat="1" ht="14.25" x14ac:dyDescent="0.2">
      <c r="A137" s="161"/>
      <c r="B137" s="162" t="s">
        <v>248</v>
      </c>
      <c r="C137" s="163"/>
      <c r="D137" s="163"/>
      <c r="E137" s="33"/>
      <c r="G137" s="33"/>
      <c r="H137" s="164">
        <f>IFERROR(H136/'OSNOVNI PODATKI'!$D$170,0)</f>
        <v>5.2235913600000008E-3</v>
      </c>
    </row>
    <row r="138" spans="1:8" s="14" customFormat="1" ht="14.25" x14ac:dyDescent="0.2">
      <c r="A138" s="161"/>
      <c r="B138" s="162" t="s">
        <v>247</v>
      </c>
      <c r="C138" s="163"/>
      <c r="D138" s="163"/>
      <c r="E138" s="33"/>
      <c r="G138" s="33"/>
      <c r="H138" s="164">
        <f>IFERROR(H136/'OSNOVNI PODATKI'!$D$206,0)</f>
        <v>5.1379587147540994E-3</v>
      </c>
    </row>
    <row r="139" spans="1:8" s="14" customFormat="1" ht="14.25" x14ac:dyDescent="0.2">
      <c r="A139" s="98"/>
      <c r="B139" s="98"/>
      <c r="C139" s="98"/>
      <c r="D139" s="98"/>
      <c r="E139" s="98"/>
      <c r="F139" s="98"/>
      <c r="G139" s="98"/>
    </row>
    <row r="140" spans="1:8" s="14" customFormat="1" ht="14.25" x14ac:dyDescent="0.2">
      <c r="A140" s="366"/>
      <c r="B140" s="366" t="s">
        <v>162</v>
      </c>
      <c r="C140" s="366"/>
      <c r="D140" s="366"/>
      <c r="E140" s="366"/>
      <c r="F140" s="366"/>
      <c r="G140" s="366"/>
    </row>
    <row r="141" spans="1:8" s="101" customFormat="1" x14ac:dyDescent="0.2">
      <c r="A141" s="367"/>
      <c r="B141" s="367"/>
      <c r="C141" s="367"/>
      <c r="D141" s="367"/>
      <c r="E141" s="367"/>
      <c r="F141" s="458"/>
      <c r="G141" s="367"/>
      <c r="H141" s="367"/>
    </row>
    <row r="142" spans="1:8" s="101" customFormat="1" x14ac:dyDescent="0.2">
      <c r="A142" s="458"/>
      <c r="B142" s="470" t="str">
        <f>'OSNOVNI PODATKI'!$B$255</f>
        <v>PRIBITEK ZA PRENOVO</v>
      </c>
      <c r="C142" s="467"/>
      <c r="D142" s="471"/>
      <c r="E142" s="471"/>
      <c r="F142" s="520">
        <f>'OSNOVNI PODATKI'!$E$255</f>
        <v>0</v>
      </c>
      <c r="G142" s="467"/>
      <c r="H142" s="467"/>
    </row>
    <row r="143" spans="1:8" s="101" customFormat="1" x14ac:dyDescent="0.2">
      <c r="A143" s="458"/>
      <c r="B143" s="470" t="str">
        <f>'OSNOVNI PODATKI'!$B$257</f>
        <v>UPORABA BIM PROCESOV</v>
      </c>
      <c r="C143" s="467"/>
      <c r="D143" s="471"/>
      <c r="E143" s="471"/>
      <c r="F143" s="521">
        <f>'OSNOVNI PODATKI'!$E$257</f>
        <v>0</v>
      </c>
      <c r="G143" s="467"/>
      <c r="H143" s="467"/>
    </row>
    <row r="144" spans="1:8" s="101" customFormat="1" x14ac:dyDescent="0.2">
      <c r="A144" s="458"/>
      <c r="B144" s="470" t="str">
        <f>'OSNOVNI PODATKI'!$B$259</f>
        <v>GRADBENI NADZOR</v>
      </c>
      <c r="C144" s="467"/>
      <c r="D144" s="471"/>
      <c r="E144" s="471"/>
      <c r="F144" s="520">
        <f>IF('OSNOVNI PODATKI'!$E$259=TRUE,20%,0%)</f>
        <v>0</v>
      </c>
      <c r="G144" s="467"/>
      <c r="H144" s="467"/>
    </row>
    <row r="145" spans="1:8" s="101" customFormat="1" ht="27.75" customHeight="1" x14ac:dyDescent="0.2">
      <c r="A145" s="458"/>
      <c r="B145" s="1126" t="str">
        <f>'OSNOVNI PODATKI'!$B$262</f>
        <v>BREZ NAČRTA UTOROV IN PREBOJEV V NAČRTIH INŠTALACIJ</v>
      </c>
      <c r="C145" s="1126"/>
      <c r="D145" s="1126"/>
      <c r="E145" s="1126"/>
      <c r="F145" s="521">
        <f>'OSNOVNI PODATKI'!$E$262</f>
        <v>-0.04</v>
      </c>
      <c r="G145" s="467"/>
      <c r="H145" s="467"/>
    </row>
    <row r="146" spans="1:8" s="101" customFormat="1" ht="27" customHeight="1" x14ac:dyDescent="0.2">
      <c r="A146" s="458"/>
      <c r="B146" s="1126" t="str">
        <f>'OSNOVNI PODATKI'!$B$263</f>
        <v>BREZ PREVERJANJA MONTAŽNIH IN DELAVNIŠKIH NAČRTOV V TEHNIČNIH NAČRTIH</v>
      </c>
      <c r="C146" s="1126"/>
      <c r="D146" s="1126"/>
      <c r="E146" s="1126"/>
      <c r="F146" s="521">
        <f>'OSNOVNI PODATKI'!$E$263</f>
        <v>-0.04</v>
      </c>
      <c r="G146" s="467"/>
      <c r="H146" s="467"/>
    </row>
    <row r="147" spans="1:8" s="2" customFormat="1" x14ac:dyDescent="0.2">
      <c r="A147" s="458"/>
      <c r="B147" s="365"/>
      <c r="C147" s="365"/>
      <c r="D147" s="365"/>
      <c r="E147" s="365"/>
      <c r="F147" s="365"/>
      <c r="G147" s="365"/>
    </row>
    <row r="148" spans="1:8" s="14" customFormat="1" ht="14.25" x14ac:dyDescent="0.2">
      <c r="A148" s="367"/>
      <c r="B148" s="367"/>
      <c r="C148" s="367"/>
      <c r="D148" s="367"/>
      <c r="E148" s="367"/>
      <c r="F148" s="367"/>
      <c r="G148" s="367"/>
      <c r="H148" s="367"/>
    </row>
    <row r="149" spans="1:8" s="14" customFormat="1" ht="25.5" x14ac:dyDescent="0.2">
      <c r="A149" s="137"/>
      <c r="B149" s="138"/>
      <c r="C149" s="138"/>
      <c r="D149" s="138"/>
      <c r="E149" s="139" t="s">
        <v>31</v>
      </c>
      <c r="F149" s="509" t="s">
        <v>442</v>
      </c>
      <c r="G149" s="140" t="s">
        <v>76</v>
      </c>
      <c r="H149" s="141" t="s">
        <v>90</v>
      </c>
    </row>
    <row r="150" spans="1:8" s="14" customFormat="1" ht="14.25" x14ac:dyDescent="0.2">
      <c r="A150" s="132" t="s">
        <v>38</v>
      </c>
      <c r="B150" s="133" t="s">
        <v>39</v>
      </c>
      <c r="C150" s="133"/>
      <c r="D150" s="133"/>
      <c r="E150" s="134"/>
      <c r="F150" s="134"/>
      <c r="G150" s="135"/>
      <c r="H150" s="136"/>
    </row>
    <row r="151" spans="1:8" s="14" customFormat="1" ht="14.25" x14ac:dyDescent="0.2">
      <c r="A151" s="115" t="s">
        <v>40</v>
      </c>
      <c r="B151" s="127" t="s">
        <v>85</v>
      </c>
      <c r="C151" s="127"/>
      <c r="D151" s="127"/>
      <c r="E151" s="116"/>
      <c r="F151" s="116"/>
      <c r="G151" s="125"/>
      <c r="H151" s="117" t="str">
        <f>IF(J158=TRUE,G151*'VREDNOST NU'!#REF!,"")</f>
        <v/>
      </c>
    </row>
    <row r="152" spans="1:8" x14ac:dyDescent="0.2">
      <c r="A152" s="143" t="s">
        <v>41</v>
      </c>
      <c r="B152" s="144" t="s">
        <v>86</v>
      </c>
      <c r="C152" s="144"/>
      <c r="D152" s="144"/>
      <c r="E152" s="145"/>
      <c r="F152" s="145"/>
      <c r="G152" s="120"/>
      <c r="H152" s="121" t="str">
        <f>IF(J159=TRUE,G152*'VREDNOST NU'!#REF!,"")</f>
        <v/>
      </c>
    </row>
    <row r="153" spans="1:8" x14ac:dyDescent="0.2">
      <c r="A153" s="142" t="s">
        <v>42</v>
      </c>
      <c r="B153" s="133" t="s">
        <v>43</v>
      </c>
      <c r="C153" s="133"/>
      <c r="D153" s="133"/>
      <c r="E153" s="134">
        <f>SUM(E154:E156)</f>
        <v>0.02</v>
      </c>
      <c r="F153" s="134">
        <f>SUM(F154:F156)</f>
        <v>0.02</v>
      </c>
      <c r="G153" s="135">
        <f>SUM(G154:G156)</f>
        <v>22.095145999999996</v>
      </c>
      <c r="H153" s="136">
        <f>SUM(H154:H156)</f>
        <v>883.80583999999988</v>
      </c>
    </row>
    <row r="154" spans="1:8" s="101" customFormat="1" x14ac:dyDescent="0.2">
      <c r="A154" s="118" t="s">
        <v>44</v>
      </c>
      <c r="B154" s="126" t="s">
        <v>87</v>
      </c>
      <c r="C154" s="126"/>
      <c r="D154" s="126"/>
      <c r="E154" s="116">
        <v>0.01</v>
      </c>
      <c r="F154" s="510">
        <f>E154*(100%+$F$142)</f>
        <v>0.01</v>
      </c>
      <c r="G154" s="125">
        <f>F154*'OSNOVNI PODATKI'!$I$245</f>
        <v>11.047572999999998</v>
      </c>
      <c r="H154" s="117">
        <f>+G154*'ARHIGRAM 5'!$I$17</f>
        <v>441.90291999999994</v>
      </c>
    </row>
    <row r="155" spans="1:8" s="2" customFormat="1" x14ac:dyDescent="0.2">
      <c r="A155" s="118" t="s">
        <v>45</v>
      </c>
      <c r="B155" s="126" t="s">
        <v>88</v>
      </c>
      <c r="C155" s="126"/>
      <c r="D155" s="126"/>
      <c r="E155" s="116">
        <v>5.0000000000000001E-3</v>
      </c>
      <c r="F155" s="116">
        <f t="shared" ref="F155:F156" si="3">E155*(100%+$F$142)</f>
        <v>5.0000000000000001E-3</v>
      </c>
      <c r="G155" s="125">
        <f>F155*'OSNOVNI PODATKI'!$I$245</f>
        <v>5.523786499999999</v>
      </c>
      <c r="H155" s="117">
        <f>+G155*'ARHIGRAM 5'!$I$17</f>
        <v>220.95145999999997</v>
      </c>
    </row>
    <row r="156" spans="1:8" s="13" customFormat="1" ht="14.25" x14ac:dyDescent="0.25">
      <c r="A156" s="148" t="s">
        <v>46</v>
      </c>
      <c r="B156" s="149" t="s">
        <v>741</v>
      </c>
      <c r="C156" s="149"/>
      <c r="D156" s="149"/>
      <c r="E156" s="145">
        <v>5.0000000000000001E-3</v>
      </c>
      <c r="F156" s="145">
        <f t="shared" si="3"/>
        <v>5.0000000000000001E-3</v>
      </c>
      <c r="G156" s="120">
        <f>F156*'OSNOVNI PODATKI'!$I$245</f>
        <v>5.523786499999999</v>
      </c>
      <c r="H156" s="121">
        <f>+G156*'ARHIGRAM 5'!$I$17</f>
        <v>220.95145999999997</v>
      </c>
    </row>
    <row r="157" spans="1:8" s="14" customFormat="1" ht="14.25" x14ac:dyDescent="0.2">
      <c r="A157" s="146">
        <v>2</v>
      </c>
      <c r="B157" s="133" t="s">
        <v>47</v>
      </c>
      <c r="C157" s="133"/>
      <c r="D157" s="133"/>
      <c r="E157" s="134">
        <f>+E158+E159+E160+E161+E162</f>
        <v>0.57000000000000006</v>
      </c>
      <c r="F157" s="134">
        <f>+F158+F159+F160+F161+F162</f>
        <v>0.49000000000000005</v>
      </c>
      <c r="G157" s="147">
        <f>SUM(G158:G162)</f>
        <v>541.33107699999982</v>
      </c>
      <c r="H157" s="136">
        <f>SUM(H158:H162)</f>
        <v>21653.243079999993</v>
      </c>
    </row>
    <row r="158" spans="1:8" s="14" customFormat="1" ht="14.25" x14ac:dyDescent="0.2">
      <c r="A158" s="118" t="s">
        <v>70</v>
      </c>
      <c r="B158" s="126" t="s">
        <v>124</v>
      </c>
      <c r="C158" s="126"/>
      <c r="D158" s="126"/>
      <c r="E158" s="129">
        <v>0.09</v>
      </c>
      <c r="F158" s="129">
        <f>E158*(100%+$F$142+$F$143)</f>
        <v>0.09</v>
      </c>
      <c r="G158" s="125">
        <f>F158*'OSNOVNI PODATKI'!$I$245</f>
        <v>99.42815699999997</v>
      </c>
      <c r="H158" s="117">
        <f>+G158*'ARHIGRAM 5'!$I$17</f>
        <v>3977.1262799999986</v>
      </c>
    </row>
    <row r="159" spans="1:8" s="14" customFormat="1" ht="14.25" x14ac:dyDescent="0.2">
      <c r="A159" s="130" t="s">
        <v>71</v>
      </c>
      <c r="B159" s="131" t="s">
        <v>617</v>
      </c>
      <c r="C159" s="131"/>
      <c r="D159" s="131"/>
      <c r="E159" s="129">
        <v>0.17</v>
      </c>
      <c r="F159" s="129">
        <f>E159*(100%+$F$142+$F$143)</f>
        <v>0.17</v>
      </c>
      <c r="G159" s="125">
        <f>F159*'OSNOVNI PODATKI'!$I$245</f>
        <v>187.80874099999997</v>
      </c>
      <c r="H159" s="117">
        <f>+G159*'ARHIGRAM 5'!$I$17</f>
        <v>7512.3496399999985</v>
      </c>
    </row>
    <row r="160" spans="1:8" s="14" customFormat="1" ht="14.25" x14ac:dyDescent="0.2">
      <c r="A160" s="130" t="s">
        <v>72</v>
      </c>
      <c r="B160" s="131" t="s">
        <v>1074</v>
      </c>
      <c r="C160" s="131"/>
      <c r="D160" s="131"/>
      <c r="E160" s="129">
        <v>0.02</v>
      </c>
      <c r="F160" s="129">
        <f>E160*(100%+$F$142+$F$143)</f>
        <v>0.02</v>
      </c>
      <c r="G160" s="125">
        <f>F160*'OSNOVNI PODATKI'!$I$245</f>
        <v>22.095145999999996</v>
      </c>
      <c r="H160" s="117">
        <f>+G160*'ARHIGRAM 5'!$I$17</f>
        <v>883.80583999999988</v>
      </c>
    </row>
    <row r="161" spans="1:8" s="14" customFormat="1" ht="14.25" x14ac:dyDescent="0.2">
      <c r="A161" s="130" t="s">
        <v>125</v>
      </c>
      <c r="B161" s="131" t="s">
        <v>618</v>
      </c>
      <c r="C161" s="131"/>
      <c r="D161" s="131"/>
      <c r="E161" s="129">
        <v>0.22</v>
      </c>
      <c r="F161" s="129">
        <f>E161*(100%+$F$142+$F$143)+F145+F146</f>
        <v>0.13999999999999999</v>
      </c>
      <c r="G161" s="125">
        <f>F161*'OSNOVNI PODATKI'!$I$245</f>
        <v>154.66602199999994</v>
      </c>
      <c r="H161" s="117">
        <f>+G161*'ARHIGRAM 5'!$I$17</f>
        <v>6186.6408799999972</v>
      </c>
    </row>
    <row r="162" spans="1:8" s="14" customFormat="1" ht="14.25" x14ac:dyDescent="0.2">
      <c r="A162" s="151" t="s">
        <v>126</v>
      </c>
      <c r="B162" s="152" t="s">
        <v>742</v>
      </c>
      <c r="C162" s="152"/>
      <c r="D162" s="152"/>
      <c r="E162" s="153">
        <v>7.0000000000000007E-2</v>
      </c>
      <c r="F162" s="153">
        <f>E162*(100%+$F$142+$F$143)</f>
        <v>7.0000000000000007E-2</v>
      </c>
      <c r="G162" s="120">
        <f>F162*'OSNOVNI PODATKI'!$I$245</f>
        <v>77.333010999999985</v>
      </c>
      <c r="H162" s="121">
        <f>+G162*'ARHIGRAM 5'!$I$17</f>
        <v>3093.3204399999995</v>
      </c>
    </row>
    <row r="163" spans="1:8" s="14" customFormat="1" ht="14.25" x14ac:dyDescent="0.2">
      <c r="A163" s="150" t="s">
        <v>58</v>
      </c>
      <c r="B163" s="133" t="s">
        <v>801</v>
      </c>
      <c r="C163" s="133"/>
      <c r="D163" s="133"/>
      <c r="E163" s="134">
        <f>SUM(E164:E165)</f>
        <v>0.05</v>
      </c>
      <c r="F163" s="134">
        <f>SUM(F164:F165)</f>
        <v>0.05</v>
      </c>
      <c r="G163" s="135">
        <f>SUM(G164:G165)</f>
        <v>55.237864999999985</v>
      </c>
      <c r="H163" s="136">
        <f>SUM(H164:H165)</f>
        <v>2209.5145999999995</v>
      </c>
    </row>
    <row r="164" spans="1:8" s="14" customFormat="1" ht="14.25" x14ac:dyDescent="0.2">
      <c r="A164" s="119" t="s">
        <v>59</v>
      </c>
      <c r="B164" s="125" t="s">
        <v>743</v>
      </c>
      <c r="C164" s="125"/>
      <c r="D164" s="125"/>
      <c r="E164" s="116">
        <v>0.03</v>
      </c>
      <c r="F164" s="116">
        <f t="shared" ref="F164:F165" si="4">E164*(100%+$F$142)</f>
        <v>0.03</v>
      </c>
      <c r="G164" s="125">
        <f>F164*'OSNOVNI PODATKI'!$I$245</f>
        <v>33.142718999999992</v>
      </c>
      <c r="H164" s="117">
        <f>+G164*'ARHIGRAM 5'!$I$17</f>
        <v>1325.7087599999998</v>
      </c>
    </row>
    <row r="165" spans="1:8" s="14" customFormat="1" ht="14.25" x14ac:dyDescent="0.2">
      <c r="A165" s="155" t="s">
        <v>60</v>
      </c>
      <c r="B165" s="120" t="s">
        <v>255</v>
      </c>
      <c r="C165" s="120"/>
      <c r="D165" s="120"/>
      <c r="E165" s="145">
        <v>0.02</v>
      </c>
      <c r="F165" s="145">
        <f t="shared" si="4"/>
        <v>0.02</v>
      </c>
      <c r="G165" s="120">
        <f>F165*'OSNOVNI PODATKI'!$I$245</f>
        <v>22.095145999999996</v>
      </c>
      <c r="H165" s="121">
        <f>+G165*'ARHIGRAM 5'!$I$17</f>
        <v>883.80583999999988</v>
      </c>
    </row>
    <row r="166" spans="1:8" s="14" customFormat="1" ht="14.25" x14ac:dyDescent="0.2">
      <c r="A166" s="154">
        <v>4</v>
      </c>
      <c r="B166" s="133" t="s">
        <v>80</v>
      </c>
      <c r="C166" s="133"/>
      <c r="D166" s="133"/>
      <c r="E166" s="134">
        <f>SUM(E167:E171)</f>
        <v>0.35000000000000003</v>
      </c>
      <c r="F166" s="134">
        <f>SUM(F167:F171)</f>
        <v>0.14999999999999994</v>
      </c>
      <c r="G166" s="135">
        <f>SUM(G167:G171)</f>
        <v>165.71359499999994</v>
      </c>
      <c r="H166" s="136">
        <f>SUM(H167:H171)</f>
        <v>6628.5437999999967</v>
      </c>
    </row>
    <row r="167" spans="1:8" s="14" customFormat="1" ht="14.25" x14ac:dyDescent="0.2">
      <c r="A167" s="119" t="s">
        <v>61</v>
      </c>
      <c r="B167" s="125" t="s">
        <v>256</v>
      </c>
      <c r="C167" s="125"/>
      <c r="D167" s="125"/>
      <c r="E167" s="116">
        <v>0.01</v>
      </c>
      <c r="F167" s="116">
        <f t="shared" ref="F167:F169" si="5">E167*(100%+$F$142)</f>
        <v>0.01</v>
      </c>
      <c r="G167" s="125">
        <f>F167*'OSNOVNI PODATKI'!$I$245</f>
        <v>11.047572999999998</v>
      </c>
      <c r="H167" s="117">
        <f>+G167*'ARHIGRAM 5'!$I$17</f>
        <v>441.90291999999994</v>
      </c>
    </row>
    <row r="168" spans="1:8" s="14" customFormat="1" ht="14.25" x14ac:dyDescent="0.2">
      <c r="A168" s="119" t="s">
        <v>62</v>
      </c>
      <c r="B168" s="125" t="s">
        <v>779</v>
      </c>
      <c r="C168" s="125"/>
      <c r="D168" s="125"/>
      <c r="E168" s="116">
        <v>0.28999999999999998</v>
      </c>
      <c r="F168" s="116">
        <f>(E168-20%+F144)*(100%+$F$142+$F$143)</f>
        <v>8.9999999999999969E-2</v>
      </c>
      <c r="G168" s="125">
        <f>F168*'OSNOVNI PODATKI'!$I$245</f>
        <v>99.428156999999942</v>
      </c>
      <c r="H168" s="117">
        <f>+G168*'ARHIGRAM 5'!$I$17</f>
        <v>3977.1262799999977</v>
      </c>
    </row>
    <row r="169" spans="1:8" s="14" customFormat="1" ht="14.25" x14ac:dyDescent="0.2">
      <c r="A169" s="119" t="s">
        <v>63</v>
      </c>
      <c r="B169" s="125" t="s">
        <v>1076</v>
      </c>
      <c r="C169" s="125"/>
      <c r="D169" s="125"/>
      <c r="E169" s="116">
        <v>0.01</v>
      </c>
      <c r="F169" s="116">
        <f t="shared" si="5"/>
        <v>0.01</v>
      </c>
      <c r="G169" s="125">
        <f>F169*'OSNOVNI PODATKI'!$I$245</f>
        <v>11.047572999999998</v>
      </c>
      <c r="H169" s="117">
        <f>+G169*'ARHIGRAM 5'!$I$17</f>
        <v>441.90291999999994</v>
      </c>
    </row>
    <row r="170" spans="1:8" s="14" customFormat="1" ht="14.25" x14ac:dyDescent="0.2">
      <c r="A170" s="119" t="s">
        <v>64</v>
      </c>
      <c r="B170" s="125" t="s">
        <v>780</v>
      </c>
      <c r="C170" s="125"/>
      <c r="D170" s="125"/>
      <c r="E170" s="116">
        <v>0.02</v>
      </c>
      <c r="F170" s="116">
        <f>E170*(100%+$F$142)</f>
        <v>0.02</v>
      </c>
      <c r="G170" s="125">
        <f>F170*'OSNOVNI PODATKI'!$I$245</f>
        <v>22.095145999999996</v>
      </c>
      <c r="H170" s="117">
        <f>+G170*'ARHIGRAM 5'!$I$17</f>
        <v>883.80583999999988</v>
      </c>
    </row>
    <row r="171" spans="1:8" s="14" customFormat="1" ht="14.25" x14ac:dyDescent="0.2">
      <c r="A171" s="155" t="s">
        <v>65</v>
      </c>
      <c r="B171" s="120" t="s">
        <v>744</v>
      </c>
      <c r="C171" s="120"/>
      <c r="D171" s="120"/>
      <c r="E171" s="145">
        <v>0.02</v>
      </c>
      <c r="F171" s="145">
        <f>E171*(100%+$F$142+$F$143)</f>
        <v>0.02</v>
      </c>
      <c r="G171" s="120">
        <f>F171*'OSNOVNI PODATKI'!$I$245</f>
        <v>22.095145999999996</v>
      </c>
      <c r="H171" s="121">
        <f>+G171*'ARHIGRAM 5'!$I$17</f>
        <v>883.80583999999988</v>
      </c>
    </row>
    <row r="172" spans="1:8" s="14" customFormat="1" ht="14.25" x14ac:dyDescent="0.2">
      <c r="A172" s="156">
        <v>5</v>
      </c>
      <c r="B172" s="133" t="s">
        <v>66</v>
      </c>
      <c r="C172" s="133"/>
      <c r="D172" s="133"/>
      <c r="E172" s="134">
        <f>SUM(E173:E174)</f>
        <v>0.01</v>
      </c>
      <c r="F172" s="134">
        <f>SUM(F173:F174)</f>
        <v>0.01</v>
      </c>
      <c r="G172" s="135">
        <f>SUM(G173:G174)</f>
        <v>11.047572999999998</v>
      </c>
      <c r="H172" s="136">
        <f>SUM(H173:H174)</f>
        <v>441.90291999999994</v>
      </c>
    </row>
    <row r="173" spans="1:8" s="14" customFormat="1" ht="14.25" x14ac:dyDescent="0.2">
      <c r="A173" s="119" t="s">
        <v>67</v>
      </c>
      <c r="B173" s="128" t="s">
        <v>257</v>
      </c>
      <c r="C173" s="128"/>
      <c r="D173" s="128"/>
      <c r="E173" s="116">
        <v>5.0000000000000001E-3</v>
      </c>
      <c r="F173" s="116">
        <f t="shared" ref="F173:F174" si="6">E173*(100%+$F$142)</f>
        <v>5.0000000000000001E-3</v>
      </c>
      <c r="G173" s="125">
        <f>F173*'OSNOVNI PODATKI'!$I$245</f>
        <v>5.523786499999999</v>
      </c>
      <c r="H173" s="117">
        <f>+G173*'ARHIGRAM 5'!$I$17</f>
        <v>220.95145999999997</v>
      </c>
    </row>
    <row r="174" spans="1:8" s="14" customFormat="1" ht="14.25" x14ac:dyDescent="0.2">
      <c r="A174" s="155" t="s">
        <v>68</v>
      </c>
      <c r="B174" s="158" t="s">
        <v>781</v>
      </c>
      <c r="C174" s="158"/>
      <c r="D174" s="158"/>
      <c r="E174" s="145">
        <v>5.0000000000000001E-3</v>
      </c>
      <c r="F174" s="145">
        <f t="shared" si="6"/>
        <v>5.0000000000000001E-3</v>
      </c>
      <c r="G174" s="120">
        <f>F174*'OSNOVNI PODATKI'!$I$245</f>
        <v>5.523786499999999</v>
      </c>
      <c r="H174" s="121">
        <f>+G174*'ARHIGRAM 5'!$I$17</f>
        <v>220.95145999999997</v>
      </c>
    </row>
    <row r="175" spans="1:8" s="14" customFormat="1" ht="14.25" x14ac:dyDescent="0.2">
      <c r="A175" s="157">
        <v>6</v>
      </c>
      <c r="B175" s="133" t="s">
        <v>69</v>
      </c>
      <c r="C175" s="133"/>
      <c r="D175" s="133"/>
      <c r="E175" s="134"/>
      <c r="F175" s="134"/>
      <c r="G175" s="135"/>
      <c r="H175" s="136"/>
    </row>
    <row r="176" spans="1:8" s="14" customFormat="1" ht="14.25" x14ac:dyDescent="0.2">
      <c r="A176" s="119" t="s">
        <v>73</v>
      </c>
      <c r="B176" s="128" t="s">
        <v>259</v>
      </c>
      <c r="C176" s="128"/>
      <c r="D176" s="128"/>
      <c r="E176" s="116"/>
      <c r="F176" s="116"/>
      <c r="G176" s="125"/>
      <c r="H176" s="117"/>
    </row>
    <row r="177" spans="1:8" s="14" customFormat="1" ht="14.25" x14ac:dyDescent="0.2">
      <c r="A177" s="119" t="s">
        <v>74</v>
      </c>
      <c r="B177" s="128" t="s">
        <v>260</v>
      </c>
      <c r="C177" s="128"/>
      <c r="D177" s="128"/>
      <c r="E177" s="116"/>
      <c r="F177" s="116"/>
      <c r="G177" s="125"/>
      <c r="H177" s="117"/>
    </row>
    <row r="178" spans="1:8" s="14" customFormat="1" ht="14.25" x14ac:dyDescent="0.2">
      <c r="A178" s="155" t="s">
        <v>75</v>
      </c>
      <c r="B178" s="158" t="s">
        <v>261</v>
      </c>
      <c r="C178" s="158"/>
      <c r="D178" s="158"/>
      <c r="E178" s="145"/>
      <c r="F178" s="145"/>
      <c r="G178" s="120"/>
      <c r="H178" s="121"/>
    </row>
    <row r="179" spans="1:8" s="14" customFormat="1" ht="14.25" x14ac:dyDescent="0.2">
      <c r="A179" s="482"/>
      <c r="B179" s="483"/>
      <c r="C179" s="483"/>
      <c r="D179" s="483"/>
      <c r="E179" s="484"/>
      <c r="F179" s="124"/>
      <c r="G179" s="173"/>
      <c r="H179" s="485"/>
    </row>
    <row r="180" spans="1:8" s="14" customFormat="1" ht="14.25" x14ac:dyDescent="0.2">
      <c r="A180" s="165"/>
      <c r="B180" s="166" t="s">
        <v>1</v>
      </c>
      <c r="C180" s="166"/>
      <c r="D180" s="166"/>
      <c r="E180" s="167">
        <f>E150+E153+E157+E163+E166+E172+E175</f>
        <v>1.0000000000000002</v>
      </c>
      <c r="F180" s="167">
        <f>F150+F153+F157+F163+F166+F172+F175</f>
        <v>0.72</v>
      </c>
      <c r="G180" s="174">
        <f>G150+G153+G157+G163+G166+G172+G175</f>
        <v>795.42525599999965</v>
      </c>
      <c r="H180" s="168">
        <f>H150+H153+H157+H163+H166+H172+H175</f>
        <v>31817.010239999989</v>
      </c>
    </row>
    <row r="181" spans="1:8" s="14" customFormat="1" ht="14.25" x14ac:dyDescent="0.2">
      <c r="A181" s="161"/>
      <c r="B181" s="162" t="s">
        <v>248</v>
      </c>
      <c r="C181" s="163"/>
      <c r="D181" s="163"/>
      <c r="E181" s="33"/>
      <c r="G181" s="33"/>
      <c r="H181" s="164">
        <f>IFERROR(H180/'OSNOVNI PODATKI'!$D$170,0)</f>
        <v>1.0605670079999996E-2</v>
      </c>
    </row>
    <row r="182" spans="1:8" s="14" customFormat="1" ht="14.25" x14ac:dyDescent="0.2">
      <c r="A182" s="161"/>
      <c r="B182" s="162" t="s">
        <v>247</v>
      </c>
      <c r="C182" s="163"/>
      <c r="D182" s="163"/>
      <c r="E182" s="33"/>
      <c r="G182" s="33"/>
      <c r="H182" s="164">
        <f>IFERROR(H180/'OSNOVNI PODATKI'!$D$206,0)</f>
        <v>1.043180663606557E-2</v>
      </c>
    </row>
    <row r="183" spans="1:8" s="14" customFormat="1" ht="14.25" x14ac:dyDescent="0.2"/>
    <row r="184" spans="1:8" s="14" customFormat="1" ht="14.25" x14ac:dyDescent="0.2">
      <c r="A184" s="366"/>
      <c r="B184" s="366" t="s">
        <v>421</v>
      </c>
      <c r="C184" s="366"/>
      <c r="D184" s="366"/>
      <c r="E184" s="366"/>
      <c r="F184" s="366"/>
      <c r="G184" s="366"/>
    </row>
    <row r="185" spans="1:8" s="101" customFormat="1" x14ac:dyDescent="0.2">
      <c r="A185" s="367"/>
      <c r="B185" s="367"/>
      <c r="C185" s="367"/>
      <c r="D185" s="367"/>
      <c r="E185" s="367"/>
      <c r="F185" s="458"/>
      <c r="G185" s="367"/>
      <c r="H185" s="367"/>
    </row>
    <row r="186" spans="1:8" s="101" customFormat="1" x14ac:dyDescent="0.2">
      <c r="A186" s="458"/>
      <c r="B186" s="470" t="str">
        <f>'OSNOVNI PODATKI'!$B$255</f>
        <v>PRIBITEK ZA PRENOVO</v>
      </c>
      <c r="C186" s="467"/>
      <c r="D186" s="471"/>
      <c r="E186" s="471"/>
      <c r="F186" s="520">
        <f>'OSNOVNI PODATKI'!$E$255</f>
        <v>0</v>
      </c>
      <c r="G186" s="467"/>
      <c r="H186" s="467"/>
    </row>
    <row r="187" spans="1:8" s="101" customFormat="1" x14ac:dyDescent="0.2">
      <c r="A187" s="458"/>
      <c r="B187" s="470" t="str">
        <f>'OSNOVNI PODATKI'!$B$257</f>
        <v>UPORABA BIM PROCESOV</v>
      </c>
      <c r="C187" s="467"/>
      <c r="D187" s="471"/>
      <c r="E187" s="471"/>
      <c r="F187" s="521">
        <f>'OSNOVNI PODATKI'!$E$257</f>
        <v>0</v>
      </c>
      <c r="G187" s="467"/>
      <c r="H187" s="467"/>
    </row>
    <row r="188" spans="1:8" s="101" customFormat="1" x14ac:dyDescent="0.2">
      <c r="A188" s="458"/>
      <c r="B188" s="470" t="str">
        <f>'OSNOVNI PODATKI'!$B$259</f>
        <v>GRADBENI NADZOR</v>
      </c>
      <c r="C188" s="467"/>
      <c r="D188" s="471"/>
      <c r="E188" s="471"/>
      <c r="F188" s="520">
        <f>IF('OSNOVNI PODATKI'!$E$259=TRUE,20%,0%)</f>
        <v>0</v>
      </c>
      <c r="G188" s="467"/>
      <c r="H188" s="467"/>
    </row>
    <row r="189" spans="1:8" s="101" customFormat="1" ht="27" customHeight="1" x14ac:dyDescent="0.2">
      <c r="A189" s="458"/>
      <c r="B189" s="1126" t="str">
        <f>'OSNOVNI PODATKI'!$B$263</f>
        <v>BREZ PREVERJANJA MONTAŽNIH IN DELAVNIŠKIH NAČRTOV V TEHNIČNIH NAČRTIH</v>
      </c>
      <c r="C189" s="1126"/>
      <c r="D189" s="1126"/>
      <c r="E189" s="1126"/>
      <c r="F189" s="521">
        <f>'OSNOVNI PODATKI'!$E$263</f>
        <v>-0.04</v>
      </c>
      <c r="G189" s="467"/>
      <c r="H189" s="467"/>
    </row>
    <row r="190" spans="1:8" s="2" customFormat="1" x14ac:dyDescent="0.2">
      <c r="A190" s="458"/>
      <c r="B190" s="365"/>
      <c r="C190" s="365"/>
      <c r="D190" s="365"/>
      <c r="E190" s="365"/>
      <c r="F190" s="365"/>
      <c r="G190" s="365"/>
    </row>
    <row r="191" spans="1:8" s="14" customFormat="1" ht="14.25" x14ac:dyDescent="0.2">
      <c r="A191" s="367"/>
      <c r="B191" s="367"/>
      <c r="C191" s="367"/>
      <c r="D191" s="367"/>
      <c r="E191" s="367"/>
      <c r="F191" s="367"/>
      <c r="G191" s="367"/>
      <c r="H191" s="367"/>
    </row>
    <row r="192" spans="1:8" s="14" customFormat="1" ht="25.5" x14ac:dyDescent="0.2">
      <c r="A192" s="137"/>
      <c r="B192" s="138"/>
      <c r="C192" s="138"/>
      <c r="D192" s="138"/>
      <c r="E192" s="139" t="s">
        <v>31</v>
      </c>
      <c r="F192" s="509" t="s">
        <v>442</v>
      </c>
      <c r="G192" s="140" t="s">
        <v>76</v>
      </c>
      <c r="H192" s="141" t="s">
        <v>90</v>
      </c>
    </row>
    <row r="193" spans="1:8" s="14" customFormat="1" ht="14.25" x14ac:dyDescent="0.2">
      <c r="A193" s="132" t="s">
        <v>38</v>
      </c>
      <c r="B193" s="133" t="s">
        <v>39</v>
      </c>
      <c r="C193" s="133"/>
      <c r="D193" s="133"/>
      <c r="E193" s="134"/>
      <c r="F193" s="134"/>
      <c r="G193" s="135"/>
      <c r="H193" s="136"/>
    </row>
    <row r="194" spans="1:8" s="14" customFormat="1" ht="14.25" x14ac:dyDescent="0.2">
      <c r="A194" s="115" t="s">
        <v>40</v>
      </c>
      <c r="B194" s="127" t="s">
        <v>85</v>
      </c>
      <c r="C194" s="127"/>
      <c r="D194" s="127"/>
      <c r="E194" s="116"/>
      <c r="F194" s="116"/>
      <c r="G194" s="125"/>
      <c r="H194" s="117" t="str">
        <f>IF(J201=TRUE,G194*'VREDNOST NU'!#REF!,"")</f>
        <v/>
      </c>
    </row>
    <row r="195" spans="1:8" x14ac:dyDescent="0.2">
      <c r="A195" s="143" t="s">
        <v>41</v>
      </c>
      <c r="B195" s="144" t="s">
        <v>86</v>
      </c>
      <c r="C195" s="144"/>
      <c r="D195" s="144"/>
      <c r="E195" s="145"/>
      <c r="F195" s="145"/>
      <c r="G195" s="120"/>
      <c r="H195" s="121" t="str">
        <f>IF(J202=TRUE,G195*'VREDNOST NU'!#REF!,"")</f>
        <v/>
      </c>
    </row>
    <row r="196" spans="1:8" x14ac:dyDescent="0.2">
      <c r="A196" s="142" t="s">
        <v>42</v>
      </c>
      <c r="B196" s="133" t="s">
        <v>43</v>
      </c>
      <c r="C196" s="133"/>
      <c r="D196" s="133"/>
      <c r="E196" s="134">
        <f>SUM(E197:E199)</f>
        <v>0.02</v>
      </c>
      <c r="F196" s="134">
        <f>SUM(F197:F199)</f>
        <v>0.02</v>
      </c>
      <c r="G196" s="135">
        <f>SUM(G197:G199)</f>
        <v>3.1661000000000001</v>
      </c>
      <c r="H196" s="136">
        <f>SUM(H197:H199)</f>
        <v>126.64400000000001</v>
      </c>
    </row>
    <row r="197" spans="1:8" s="101" customFormat="1" x14ac:dyDescent="0.2">
      <c r="A197" s="118" t="s">
        <v>44</v>
      </c>
      <c r="B197" s="126" t="s">
        <v>87</v>
      </c>
      <c r="C197" s="126"/>
      <c r="D197" s="126"/>
      <c r="E197" s="116">
        <v>0.01</v>
      </c>
      <c r="F197" s="510">
        <f>E197*(100%+$F$186)</f>
        <v>0.01</v>
      </c>
      <c r="G197" s="125">
        <f>F197*'OSNOVNI PODATKI'!$I$246</f>
        <v>1.5830500000000001</v>
      </c>
      <c r="H197" s="117">
        <f>+G197*'ARHIGRAM 5'!$I$17</f>
        <v>63.322000000000003</v>
      </c>
    </row>
    <row r="198" spans="1:8" s="2" customFormat="1" x14ac:dyDescent="0.2">
      <c r="A198" s="118" t="s">
        <v>45</v>
      </c>
      <c r="B198" s="126" t="s">
        <v>88</v>
      </c>
      <c r="C198" s="126"/>
      <c r="D198" s="126"/>
      <c r="E198" s="116">
        <v>5.0000000000000001E-3</v>
      </c>
      <c r="F198" s="116">
        <f t="shared" ref="F198:F199" si="7">E198*(100%+$F$186)</f>
        <v>5.0000000000000001E-3</v>
      </c>
      <c r="G198" s="125">
        <f>F198*'OSNOVNI PODATKI'!$I$246</f>
        <v>0.79152500000000003</v>
      </c>
      <c r="H198" s="117">
        <f>+G198*'ARHIGRAM 5'!$I$17</f>
        <v>31.661000000000001</v>
      </c>
    </row>
    <row r="199" spans="1:8" s="13" customFormat="1" ht="14.25" x14ac:dyDescent="0.25">
      <c r="A199" s="148" t="s">
        <v>46</v>
      </c>
      <c r="B199" s="149" t="s">
        <v>741</v>
      </c>
      <c r="C199" s="149"/>
      <c r="D199" s="149"/>
      <c r="E199" s="145">
        <v>5.0000000000000001E-3</v>
      </c>
      <c r="F199" s="145">
        <f t="shared" si="7"/>
        <v>5.0000000000000001E-3</v>
      </c>
      <c r="G199" s="120">
        <f>F199*'OSNOVNI PODATKI'!$I$246</f>
        <v>0.79152500000000003</v>
      </c>
      <c r="H199" s="121">
        <f>+G199*'ARHIGRAM 5'!$I$17</f>
        <v>31.661000000000001</v>
      </c>
    </row>
    <row r="200" spans="1:8" s="14" customFormat="1" ht="14.25" x14ac:dyDescent="0.2">
      <c r="A200" s="146">
        <v>2</v>
      </c>
      <c r="B200" s="133" t="s">
        <v>47</v>
      </c>
      <c r="C200" s="133"/>
      <c r="D200" s="133"/>
      <c r="E200" s="134">
        <f>+E201+E202+E203+E204+E205</f>
        <v>0.57000000000000006</v>
      </c>
      <c r="F200" s="134">
        <f>+F201+F202+F203+F204+F205</f>
        <v>0.53</v>
      </c>
      <c r="G200" s="147">
        <f>SUM(G201:G205)</f>
        <v>83.901650000000004</v>
      </c>
      <c r="H200" s="136">
        <f>SUM(H201:H205)</f>
        <v>3356.0660000000003</v>
      </c>
    </row>
    <row r="201" spans="1:8" s="14" customFormat="1" ht="14.25" x14ac:dyDescent="0.2">
      <c r="A201" s="118" t="s">
        <v>70</v>
      </c>
      <c r="B201" s="126" t="s">
        <v>124</v>
      </c>
      <c r="C201" s="126"/>
      <c r="D201" s="126"/>
      <c r="E201" s="129">
        <v>0.09</v>
      </c>
      <c r="F201" s="129">
        <f>E201*(100%+$F$186+$F$187)</f>
        <v>0.09</v>
      </c>
      <c r="G201" s="125">
        <f>F201*'OSNOVNI PODATKI'!$I$246</f>
        <v>14.247450000000001</v>
      </c>
      <c r="H201" s="117">
        <f>+G201*'ARHIGRAM 5'!$I$17</f>
        <v>569.89800000000002</v>
      </c>
    </row>
    <row r="202" spans="1:8" s="14" customFormat="1" ht="14.25" x14ac:dyDescent="0.2">
      <c r="A202" s="130" t="s">
        <v>71</v>
      </c>
      <c r="B202" s="131" t="s">
        <v>617</v>
      </c>
      <c r="C202" s="131"/>
      <c r="D202" s="131"/>
      <c r="E202" s="129">
        <v>0.17</v>
      </c>
      <c r="F202" s="129">
        <f>E202*(100%+$F$186+$F$187)</f>
        <v>0.17</v>
      </c>
      <c r="G202" s="125">
        <f>F202*'OSNOVNI PODATKI'!$I$246</f>
        <v>26.911850000000005</v>
      </c>
      <c r="H202" s="117">
        <f>+G202*'ARHIGRAM 5'!$I$17</f>
        <v>1076.4740000000002</v>
      </c>
    </row>
    <row r="203" spans="1:8" s="14" customFormat="1" ht="14.25" x14ac:dyDescent="0.2">
      <c r="A203" s="130" t="s">
        <v>72</v>
      </c>
      <c r="B203" s="131" t="s">
        <v>1074</v>
      </c>
      <c r="C203" s="131"/>
      <c r="D203" s="131"/>
      <c r="E203" s="129">
        <v>0.02</v>
      </c>
      <c r="F203" s="129">
        <f>E203*(100%+$F$186+$F$187)</f>
        <v>0.02</v>
      </c>
      <c r="G203" s="125">
        <f>F203*'OSNOVNI PODATKI'!$I$246</f>
        <v>3.1661000000000001</v>
      </c>
      <c r="H203" s="117">
        <f>+G203*'ARHIGRAM 5'!$I$17</f>
        <v>126.64400000000001</v>
      </c>
    </row>
    <row r="204" spans="1:8" s="14" customFormat="1" ht="14.25" x14ac:dyDescent="0.2">
      <c r="A204" s="130" t="s">
        <v>125</v>
      </c>
      <c r="B204" s="131" t="s">
        <v>618</v>
      </c>
      <c r="C204" s="131"/>
      <c r="D204" s="131"/>
      <c r="E204" s="129">
        <v>0.22</v>
      </c>
      <c r="F204" s="129">
        <f>E204*(100%+$F$186+$F$187)+F189</f>
        <v>0.18</v>
      </c>
      <c r="G204" s="125">
        <f>F204*'OSNOVNI PODATKI'!$I$246</f>
        <v>28.494900000000001</v>
      </c>
      <c r="H204" s="117">
        <f>+G204*'ARHIGRAM 5'!$I$17</f>
        <v>1139.796</v>
      </c>
    </row>
    <row r="205" spans="1:8" s="14" customFormat="1" ht="14.25" x14ac:dyDescent="0.2">
      <c r="A205" s="151" t="s">
        <v>126</v>
      </c>
      <c r="B205" s="152" t="s">
        <v>742</v>
      </c>
      <c r="C205" s="152"/>
      <c r="D205" s="152"/>
      <c r="E205" s="153">
        <v>7.0000000000000007E-2</v>
      </c>
      <c r="F205" s="153">
        <f>E205*(100%+$F$186+$F$187)</f>
        <v>7.0000000000000007E-2</v>
      </c>
      <c r="G205" s="120">
        <f>F205*'OSNOVNI PODATKI'!$I$246</f>
        <v>11.081350000000002</v>
      </c>
      <c r="H205" s="121">
        <f>+G205*'ARHIGRAM 5'!$I$17</f>
        <v>443.25400000000008</v>
      </c>
    </row>
    <row r="206" spans="1:8" s="14" customFormat="1" ht="14.25" x14ac:dyDescent="0.2">
      <c r="A206" s="150" t="s">
        <v>58</v>
      </c>
      <c r="B206" s="133" t="s">
        <v>801</v>
      </c>
      <c r="C206" s="133"/>
      <c r="D206" s="133"/>
      <c r="E206" s="134">
        <f>SUM(E207:E208)</f>
        <v>0.05</v>
      </c>
      <c r="F206" s="134">
        <f>SUM(F207:F208)</f>
        <v>0.05</v>
      </c>
      <c r="G206" s="135">
        <f>SUM(G207:G208)</f>
        <v>7.9152500000000003</v>
      </c>
      <c r="H206" s="136">
        <f>SUM(H207:H208)</f>
        <v>316.61</v>
      </c>
    </row>
    <row r="207" spans="1:8" s="14" customFormat="1" ht="14.25" x14ac:dyDescent="0.2">
      <c r="A207" s="119" t="s">
        <v>59</v>
      </c>
      <c r="B207" s="125" t="s">
        <v>743</v>
      </c>
      <c r="C207" s="125"/>
      <c r="D207" s="125"/>
      <c r="E207" s="116">
        <v>0.03</v>
      </c>
      <c r="F207" s="116">
        <f t="shared" ref="F207:F208" si="8">E207*(100%+$F$186)</f>
        <v>0.03</v>
      </c>
      <c r="G207" s="125">
        <f>F207*'OSNOVNI PODATKI'!$I$246</f>
        <v>4.7491500000000002</v>
      </c>
      <c r="H207" s="117">
        <f>+G207*'ARHIGRAM 5'!$I$17</f>
        <v>189.96600000000001</v>
      </c>
    </row>
    <row r="208" spans="1:8" s="14" customFormat="1" ht="14.25" x14ac:dyDescent="0.2">
      <c r="A208" s="155" t="s">
        <v>60</v>
      </c>
      <c r="B208" s="120" t="s">
        <v>255</v>
      </c>
      <c r="C208" s="120"/>
      <c r="D208" s="120"/>
      <c r="E208" s="145">
        <v>0.02</v>
      </c>
      <c r="F208" s="145">
        <f t="shared" si="8"/>
        <v>0.02</v>
      </c>
      <c r="G208" s="120">
        <f>F208*'OSNOVNI PODATKI'!$I$246</f>
        <v>3.1661000000000001</v>
      </c>
      <c r="H208" s="121">
        <f>+G208*'ARHIGRAM 5'!$I$17</f>
        <v>126.64400000000001</v>
      </c>
    </row>
    <row r="209" spans="1:8" s="14" customFormat="1" ht="14.25" x14ac:dyDescent="0.2">
      <c r="A209" s="154">
        <v>4</v>
      </c>
      <c r="B209" s="133" t="s">
        <v>80</v>
      </c>
      <c r="C209" s="133"/>
      <c r="D209" s="133"/>
      <c r="E209" s="134">
        <f>SUM(E210:E214)</f>
        <v>0.35000000000000003</v>
      </c>
      <c r="F209" s="134">
        <f>SUM(F210:F214)</f>
        <v>0.14999999999999994</v>
      </c>
      <c r="G209" s="135">
        <f>SUM(G210:G214)</f>
        <v>23.745749999999994</v>
      </c>
      <c r="H209" s="136">
        <f>SUM(H210:H214)</f>
        <v>949.82999999999981</v>
      </c>
    </row>
    <row r="210" spans="1:8" s="14" customFormat="1" ht="14.25" x14ac:dyDescent="0.2">
      <c r="A210" s="119" t="s">
        <v>61</v>
      </c>
      <c r="B210" s="125" t="s">
        <v>256</v>
      </c>
      <c r="C210" s="125"/>
      <c r="D210" s="125"/>
      <c r="E210" s="116">
        <v>0.01</v>
      </c>
      <c r="F210" s="116">
        <f t="shared" ref="F210:F212" si="9">E210*(100%+$F$186)</f>
        <v>0.01</v>
      </c>
      <c r="G210" s="125">
        <f>F210*'OSNOVNI PODATKI'!$I$246</f>
        <v>1.5830500000000001</v>
      </c>
      <c r="H210" s="117">
        <f>+G210*'ARHIGRAM 5'!$I$17</f>
        <v>63.322000000000003</v>
      </c>
    </row>
    <row r="211" spans="1:8" s="14" customFormat="1" ht="14.25" x14ac:dyDescent="0.2">
      <c r="A211" s="119" t="s">
        <v>62</v>
      </c>
      <c r="B211" s="125" t="s">
        <v>779</v>
      </c>
      <c r="C211" s="125"/>
      <c r="D211" s="125"/>
      <c r="E211" s="116">
        <v>0.28999999999999998</v>
      </c>
      <c r="F211" s="116">
        <f>(E211-20%+F188)*(100%+$F$186+$F$187)</f>
        <v>8.9999999999999969E-2</v>
      </c>
      <c r="G211" s="125">
        <f>F211*'OSNOVNI PODATKI'!$I$246</f>
        <v>14.247449999999995</v>
      </c>
      <c r="H211" s="117">
        <f>+G211*'ARHIGRAM 5'!$I$17</f>
        <v>569.8979999999998</v>
      </c>
    </row>
    <row r="212" spans="1:8" s="14" customFormat="1" ht="14.25" x14ac:dyDescent="0.2">
      <c r="A212" s="119" t="s">
        <v>63</v>
      </c>
      <c r="B212" s="125" t="s">
        <v>1076</v>
      </c>
      <c r="C212" s="125"/>
      <c r="D212" s="125"/>
      <c r="E212" s="116">
        <v>0.01</v>
      </c>
      <c r="F212" s="116">
        <f t="shared" si="9"/>
        <v>0.01</v>
      </c>
      <c r="G212" s="125">
        <f>F212*'OSNOVNI PODATKI'!$I$246</f>
        <v>1.5830500000000001</v>
      </c>
      <c r="H212" s="117">
        <f>+G212*'ARHIGRAM 5'!$I$17</f>
        <v>63.322000000000003</v>
      </c>
    </row>
    <row r="213" spans="1:8" s="14" customFormat="1" ht="14.25" x14ac:dyDescent="0.2">
      <c r="A213" s="119" t="s">
        <v>64</v>
      </c>
      <c r="B213" s="125" t="s">
        <v>780</v>
      </c>
      <c r="C213" s="125"/>
      <c r="D213" s="125"/>
      <c r="E213" s="116">
        <v>0.02</v>
      </c>
      <c r="F213" s="116">
        <f>E213*(100%+$F$186)</f>
        <v>0.02</v>
      </c>
      <c r="G213" s="125">
        <f>F213*'OSNOVNI PODATKI'!$I$246</f>
        <v>3.1661000000000001</v>
      </c>
      <c r="H213" s="117">
        <f>+G213*'ARHIGRAM 5'!$I$17</f>
        <v>126.64400000000001</v>
      </c>
    </row>
    <row r="214" spans="1:8" s="14" customFormat="1" ht="14.25" x14ac:dyDescent="0.2">
      <c r="A214" s="155" t="s">
        <v>65</v>
      </c>
      <c r="B214" s="120" t="s">
        <v>744</v>
      </c>
      <c r="C214" s="120"/>
      <c r="D214" s="120"/>
      <c r="E214" s="145">
        <v>0.02</v>
      </c>
      <c r="F214" s="145">
        <f>E214*(100%+$F$186+$F$187)</f>
        <v>0.02</v>
      </c>
      <c r="G214" s="120">
        <f>F214*'OSNOVNI PODATKI'!$I$246</f>
        <v>3.1661000000000001</v>
      </c>
      <c r="H214" s="121">
        <f>+G214*'ARHIGRAM 5'!$I$17</f>
        <v>126.64400000000001</v>
      </c>
    </row>
    <row r="215" spans="1:8" s="14" customFormat="1" ht="14.25" x14ac:dyDescent="0.2">
      <c r="A215" s="156">
        <v>5</v>
      </c>
      <c r="B215" s="133" t="s">
        <v>66</v>
      </c>
      <c r="C215" s="133"/>
      <c r="D215" s="133"/>
      <c r="E215" s="134">
        <f>SUM(E216:E217)</f>
        <v>0.01</v>
      </c>
      <c r="F215" s="134">
        <f>SUM(F216:F217)</f>
        <v>0.01</v>
      </c>
      <c r="G215" s="135">
        <f>SUM(G216:G217)</f>
        <v>1.5830500000000001</v>
      </c>
      <c r="H215" s="136">
        <f>SUM(H216:H217)</f>
        <v>63.322000000000003</v>
      </c>
    </row>
    <row r="216" spans="1:8" s="14" customFormat="1" ht="14.25" x14ac:dyDescent="0.2">
      <c r="A216" s="119" t="s">
        <v>67</v>
      </c>
      <c r="B216" s="128" t="s">
        <v>257</v>
      </c>
      <c r="C216" s="128"/>
      <c r="D216" s="128"/>
      <c r="E216" s="116">
        <v>5.0000000000000001E-3</v>
      </c>
      <c r="F216" s="116">
        <f t="shared" ref="F216:F217" si="10">E216*(100%+$F$186)</f>
        <v>5.0000000000000001E-3</v>
      </c>
      <c r="G216" s="125">
        <f>F216*'OSNOVNI PODATKI'!$I$246</f>
        <v>0.79152500000000003</v>
      </c>
      <c r="H216" s="117">
        <f>+G216*'ARHIGRAM 5'!$I$17</f>
        <v>31.661000000000001</v>
      </c>
    </row>
    <row r="217" spans="1:8" s="14" customFormat="1" ht="14.25" x14ac:dyDescent="0.2">
      <c r="A217" s="155" t="s">
        <v>68</v>
      </c>
      <c r="B217" s="158" t="s">
        <v>781</v>
      </c>
      <c r="C217" s="158"/>
      <c r="D217" s="158"/>
      <c r="E217" s="145">
        <v>5.0000000000000001E-3</v>
      </c>
      <c r="F217" s="145">
        <f t="shared" si="10"/>
        <v>5.0000000000000001E-3</v>
      </c>
      <c r="G217" s="120">
        <f>F217*'OSNOVNI PODATKI'!$I$246</f>
        <v>0.79152500000000003</v>
      </c>
      <c r="H217" s="121">
        <f>+G217*'ARHIGRAM 5'!$I$17</f>
        <v>31.661000000000001</v>
      </c>
    </row>
    <row r="218" spans="1:8" s="14" customFormat="1" ht="14.25" x14ac:dyDescent="0.2">
      <c r="A218" s="157">
        <v>6</v>
      </c>
      <c r="B218" s="133" t="s">
        <v>69</v>
      </c>
      <c r="C218" s="133"/>
      <c r="D218" s="133"/>
      <c r="E218" s="134"/>
      <c r="F218" s="134"/>
      <c r="G218" s="135"/>
      <c r="H218" s="136"/>
    </row>
    <row r="219" spans="1:8" s="14" customFormat="1" ht="14.25" x14ac:dyDescent="0.2">
      <c r="A219" s="119" t="s">
        <v>73</v>
      </c>
      <c r="B219" s="128" t="s">
        <v>259</v>
      </c>
      <c r="C219" s="128"/>
      <c r="D219" s="128"/>
      <c r="E219" s="116"/>
      <c r="F219" s="116"/>
      <c r="G219" s="125"/>
      <c r="H219" s="117"/>
    </row>
    <row r="220" spans="1:8" s="14" customFormat="1" ht="14.25" x14ac:dyDescent="0.2">
      <c r="A220" s="119" t="s">
        <v>74</v>
      </c>
      <c r="B220" s="128" t="s">
        <v>260</v>
      </c>
      <c r="C220" s="128"/>
      <c r="D220" s="128"/>
      <c r="E220" s="116"/>
      <c r="F220" s="116"/>
      <c r="G220" s="125"/>
      <c r="H220" s="117"/>
    </row>
    <row r="221" spans="1:8" s="14" customFormat="1" ht="14.25" x14ac:dyDescent="0.2">
      <c r="A221" s="155" t="s">
        <v>75</v>
      </c>
      <c r="B221" s="158" t="s">
        <v>261</v>
      </c>
      <c r="C221" s="158"/>
      <c r="D221" s="158"/>
      <c r="E221" s="145"/>
      <c r="F221" s="145"/>
      <c r="G221" s="120"/>
      <c r="H221" s="121"/>
    </row>
    <row r="222" spans="1:8" s="14" customFormat="1" ht="14.25" x14ac:dyDescent="0.2">
      <c r="A222" s="482"/>
      <c r="B222" s="483"/>
      <c r="C222" s="483"/>
      <c r="D222" s="483"/>
      <c r="E222" s="484"/>
      <c r="F222" s="124"/>
      <c r="G222" s="173"/>
      <c r="H222" s="485"/>
    </row>
    <row r="223" spans="1:8" s="14" customFormat="1" ht="14.25" x14ac:dyDescent="0.2">
      <c r="A223" s="165"/>
      <c r="B223" s="166" t="s">
        <v>1</v>
      </c>
      <c r="C223" s="166"/>
      <c r="D223" s="166"/>
      <c r="E223" s="167">
        <f>E193+E196+E200+E206+E209+E215+E218</f>
        <v>1.0000000000000002</v>
      </c>
      <c r="F223" s="167">
        <f>F193+F196+F200+F206+F209+F215+F218</f>
        <v>0.76</v>
      </c>
      <c r="G223" s="174">
        <f>G193+G196+G200+G206+G209+G215+G218</f>
        <v>120.31179999999999</v>
      </c>
      <c r="H223" s="168">
        <f>H193+H196+H200+H206+H209+H215+H218</f>
        <v>4812.4719999999998</v>
      </c>
    </row>
    <row r="224" spans="1:8" s="14" customFormat="1" ht="14.25" x14ac:dyDescent="0.2">
      <c r="A224" s="161"/>
      <c r="B224" s="162" t="s">
        <v>248</v>
      </c>
      <c r="C224" s="163"/>
      <c r="D224" s="163"/>
      <c r="E224" s="33"/>
      <c r="G224" s="33"/>
      <c r="H224" s="164">
        <f>IFERROR(H223/'OSNOVNI PODATKI'!$D$170,0)</f>
        <v>1.6041573333333333E-3</v>
      </c>
    </row>
    <row r="225" spans="1:8" s="14" customFormat="1" ht="14.25" x14ac:dyDescent="0.2">
      <c r="A225" s="161"/>
      <c r="B225" s="162" t="s">
        <v>247</v>
      </c>
      <c r="C225" s="163"/>
      <c r="D225" s="163"/>
      <c r="E225" s="33"/>
      <c r="G225" s="33"/>
      <c r="H225" s="164">
        <f>IFERROR(H223/'OSNOVNI PODATKI'!$D$206,0)</f>
        <v>1.5778596721311474E-3</v>
      </c>
    </row>
    <row r="226" spans="1:8" s="14" customFormat="1" ht="14.25" x14ac:dyDescent="0.2"/>
    <row r="227" spans="1:8" s="14" customFormat="1" ht="14.25" x14ac:dyDescent="0.2"/>
    <row r="228" spans="1:8" s="14" customFormat="1" ht="14.25" x14ac:dyDescent="0.2"/>
    <row r="229" spans="1:8" s="14" customFormat="1" ht="14.25" x14ac:dyDescent="0.2"/>
    <row r="230" spans="1:8" s="14" customFormat="1" ht="14.25" x14ac:dyDescent="0.2"/>
  </sheetData>
  <mergeCells count="6">
    <mergeCell ref="B146:E146"/>
    <mergeCell ref="B189:E189"/>
    <mergeCell ref="B4:B5"/>
    <mergeCell ref="B102:E102"/>
    <mergeCell ref="B101:E101"/>
    <mergeCell ref="B145:E14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1B56-B98F-4C60-8049-6097967B2B49}">
  <sheetPr codeName="Sheet15"/>
  <dimension ref="A1:L126"/>
  <sheetViews>
    <sheetView workbookViewId="0">
      <selection activeCell="F31" sqref="F31"/>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5.5" x14ac:dyDescent="0.2">
      <c r="B1" s="6" t="s">
        <v>319</v>
      </c>
      <c r="C1" s="4"/>
      <c r="D1" s="4"/>
      <c r="E1" s="4"/>
      <c r="F1" s="4"/>
      <c r="G1" s="4"/>
      <c r="H1" s="4"/>
      <c r="I1" s="5"/>
      <c r="J1" s="5"/>
      <c r="K1" s="5"/>
      <c r="L1" s="5"/>
    </row>
    <row r="2" spans="2:12" s="99" customFormat="1" x14ac:dyDescent="0.2">
      <c r="B2" s="111" t="s">
        <v>334</v>
      </c>
      <c r="C2" s="112"/>
      <c r="D2" s="112"/>
      <c r="E2" s="112"/>
      <c r="F2" s="112"/>
      <c r="G2" s="112"/>
      <c r="H2" s="112"/>
      <c r="I2" s="113"/>
      <c r="J2" s="113"/>
      <c r="K2" s="113"/>
      <c r="L2" s="113"/>
    </row>
    <row r="3" spans="2:12" ht="14.25" x14ac:dyDescent="0.25">
      <c r="B3" s="10"/>
      <c r="C3" s="8"/>
      <c r="D3" s="8"/>
      <c r="E3" s="8"/>
      <c r="F3" s="8"/>
      <c r="G3" s="8"/>
      <c r="H3" s="8"/>
      <c r="I3" s="9"/>
      <c r="J3" s="9"/>
      <c r="K3" s="9"/>
      <c r="L3" s="9"/>
    </row>
    <row r="4" spans="2:12" ht="13.5" customHeight="1" x14ac:dyDescent="0.25">
      <c r="B4" s="7"/>
      <c r="C4" s="7"/>
    </row>
    <row r="5" spans="2:12" ht="13.5" customHeight="1" x14ac:dyDescent="0.2">
      <c r="B5" s="1123" t="s">
        <v>91</v>
      </c>
      <c r="C5" s="109" t="s">
        <v>793</v>
      </c>
    </row>
    <row r="6" spans="2:12" x14ac:dyDescent="0.2">
      <c r="B6" s="1124"/>
      <c r="C6" s="348"/>
    </row>
    <row r="7" spans="2:12" x14ac:dyDescent="0.2">
      <c r="B7" s="349"/>
      <c r="C7" s="349"/>
    </row>
    <row r="8" spans="2:12" x14ac:dyDescent="0.2">
      <c r="B8" s="110">
        <v>50000</v>
      </c>
      <c r="C8" s="110">
        <v>24</v>
      </c>
    </row>
    <row r="9" spans="2:12" x14ac:dyDescent="0.2">
      <c r="B9" s="110">
        <v>100000</v>
      </c>
      <c r="C9" s="110">
        <v>26</v>
      </c>
    </row>
    <row r="10" spans="2:12" x14ac:dyDescent="0.2">
      <c r="B10" s="110">
        <v>150000</v>
      </c>
      <c r="C10" s="110">
        <v>28</v>
      </c>
    </row>
    <row r="11" spans="2:12" x14ac:dyDescent="0.2">
      <c r="B11" s="110">
        <v>200000</v>
      </c>
      <c r="C11" s="110">
        <v>30</v>
      </c>
    </row>
    <row r="12" spans="2:12" x14ac:dyDescent="0.2">
      <c r="B12" s="110">
        <v>300000</v>
      </c>
      <c r="C12" s="110">
        <v>35</v>
      </c>
    </row>
    <row r="13" spans="2:12" x14ac:dyDescent="0.2">
      <c r="B13" s="110">
        <v>400000</v>
      </c>
      <c r="C13" s="110">
        <v>39</v>
      </c>
    </row>
    <row r="14" spans="2:12" x14ac:dyDescent="0.2">
      <c r="B14" s="110">
        <v>500000</v>
      </c>
      <c r="C14" s="110">
        <v>44</v>
      </c>
    </row>
    <row r="15" spans="2:12" x14ac:dyDescent="0.2">
      <c r="B15" s="110">
        <v>1000000</v>
      </c>
      <c r="C15" s="110">
        <v>62</v>
      </c>
    </row>
    <row r="16" spans="2:12" x14ac:dyDescent="0.2">
      <c r="B16" s="110">
        <v>1250000</v>
      </c>
      <c r="C16" s="110">
        <v>72</v>
      </c>
    </row>
    <row r="17" spans="2:12" x14ac:dyDescent="0.2">
      <c r="B17" s="110">
        <v>1500000</v>
      </c>
      <c r="C17" s="110">
        <v>81</v>
      </c>
    </row>
    <row r="18" spans="2:12" x14ac:dyDescent="0.2">
      <c r="B18" s="110">
        <v>1750000</v>
      </c>
      <c r="C18" s="110">
        <v>90</v>
      </c>
    </row>
    <row r="19" spans="2:12" x14ac:dyDescent="0.2">
      <c r="B19" s="110">
        <v>2000000</v>
      </c>
      <c r="C19" s="110">
        <v>98</v>
      </c>
    </row>
    <row r="20" spans="2:12" x14ac:dyDescent="0.2">
      <c r="B20" s="110">
        <v>2500000</v>
      </c>
      <c r="C20" s="110">
        <v>113</v>
      </c>
    </row>
    <row r="21" spans="2:12" x14ac:dyDescent="0.2">
      <c r="B21" s="110">
        <v>3000000</v>
      </c>
      <c r="C21" s="110">
        <v>128</v>
      </c>
    </row>
    <row r="22" spans="2:12" x14ac:dyDescent="0.2">
      <c r="B22" s="110">
        <v>3500000</v>
      </c>
      <c r="C22" s="110">
        <v>142</v>
      </c>
    </row>
    <row r="23" spans="2:12" x14ac:dyDescent="0.2">
      <c r="B23" s="110">
        <v>4000000</v>
      </c>
      <c r="C23" s="110">
        <v>157</v>
      </c>
    </row>
    <row r="24" spans="2:12" x14ac:dyDescent="0.2">
      <c r="B24" s="110">
        <v>4500000</v>
      </c>
      <c r="C24" s="110">
        <v>171</v>
      </c>
    </row>
    <row r="25" spans="2:12" x14ac:dyDescent="0.2">
      <c r="B25" s="110">
        <v>5000000</v>
      </c>
      <c r="C25" s="110">
        <v>186</v>
      </c>
    </row>
    <row r="26" spans="2:12" x14ac:dyDescent="0.2">
      <c r="B26" s="110">
        <v>5500000</v>
      </c>
      <c r="C26" s="110">
        <v>194</v>
      </c>
    </row>
    <row r="27" spans="2:12" x14ac:dyDescent="0.2">
      <c r="B27" s="110">
        <v>6000000</v>
      </c>
      <c r="C27" s="110">
        <v>203</v>
      </c>
    </row>
    <row r="28" spans="2:12" x14ac:dyDescent="0.2">
      <c r="B28" s="110">
        <v>6500000</v>
      </c>
      <c r="C28" s="110">
        <v>209</v>
      </c>
    </row>
    <row r="29" spans="2:12" x14ac:dyDescent="0.2">
      <c r="B29" s="110">
        <v>7000000</v>
      </c>
      <c r="C29" s="110">
        <v>215</v>
      </c>
      <c r="D29" s="353"/>
      <c r="E29" s="353"/>
      <c r="F29" s="353"/>
      <c r="G29" s="353"/>
      <c r="H29" s="353"/>
      <c r="I29" s="353"/>
      <c r="J29" s="353"/>
      <c r="K29" s="353"/>
      <c r="L29" s="353"/>
    </row>
    <row r="30" spans="2:12" x14ac:dyDescent="0.2">
      <c r="B30" s="110">
        <v>7500000</v>
      </c>
      <c r="C30" s="110">
        <v>219</v>
      </c>
      <c r="D30" s="353"/>
      <c r="E30" s="353"/>
      <c r="F30" s="353"/>
      <c r="G30" s="353"/>
      <c r="H30" s="353"/>
      <c r="I30" s="353"/>
      <c r="J30" s="353"/>
      <c r="K30" s="353"/>
      <c r="L30" s="353"/>
    </row>
    <row r="31" spans="2:12" x14ac:dyDescent="0.2">
      <c r="B31" s="110">
        <v>8000000</v>
      </c>
      <c r="C31" s="110">
        <v>225</v>
      </c>
      <c r="D31" s="353"/>
      <c r="E31" s="353"/>
      <c r="F31" s="353"/>
      <c r="G31" s="353"/>
      <c r="H31" s="353"/>
      <c r="I31" s="353"/>
      <c r="J31" s="353"/>
      <c r="K31" s="353"/>
      <c r="L31" s="353"/>
    </row>
    <row r="32" spans="2:12" x14ac:dyDescent="0.2">
      <c r="B32" s="110">
        <v>9000000</v>
      </c>
      <c r="C32" s="110">
        <v>234</v>
      </c>
      <c r="D32" s="353"/>
      <c r="E32" s="353"/>
      <c r="F32" s="353"/>
      <c r="G32" s="353"/>
      <c r="H32" s="353"/>
      <c r="I32" s="353"/>
      <c r="J32" s="353"/>
      <c r="K32" s="353"/>
      <c r="L32" s="353"/>
    </row>
    <row r="33" spans="2:12" x14ac:dyDescent="0.2">
      <c r="B33" s="110">
        <v>10000000</v>
      </c>
      <c r="C33" s="110">
        <v>242</v>
      </c>
      <c r="D33" s="353"/>
      <c r="E33" s="353"/>
      <c r="F33" s="353"/>
      <c r="G33" s="353"/>
      <c r="H33" s="353"/>
      <c r="I33" s="353"/>
      <c r="J33" s="353"/>
      <c r="K33" s="353"/>
      <c r="L33" s="353"/>
    </row>
    <row r="34" spans="2:12" x14ac:dyDescent="0.2">
      <c r="B34" s="110">
        <v>12500000</v>
      </c>
      <c r="C34" s="110">
        <v>267</v>
      </c>
      <c r="D34" s="353"/>
      <c r="E34" s="353"/>
      <c r="F34" s="353"/>
      <c r="G34" s="353"/>
      <c r="H34" s="353"/>
      <c r="I34" s="353"/>
      <c r="J34" s="353"/>
      <c r="K34" s="353"/>
      <c r="L34" s="353"/>
    </row>
    <row r="35" spans="2:12" x14ac:dyDescent="0.2">
      <c r="B35" s="110">
        <v>15000000</v>
      </c>
      <c r="C35" s="110">
        <v>297</v>
      </c>
      <c r="D35" s="353"/>
      <c r="E35" s="353"/>
      <c r="F35" s="353"/>
      <c r="G35" s="353"/>
      <c r="H35" s="353"/>
      <c r="I35" s="353"/>
      <c r="J35" s="353"/>
      <c r="K35" s="353"/>
      <c r="L35" s="353"/>
    </row>
    <row r="36" spans="2:12" x14ac:dyDescent="0.2">
      <c r="B36" s="110">
        <v>17500000</v>
      </c>
      <c r="C36" s="110">
        <v>329</v>
      </c>
      <c r="D36" s="353"/>
      <c r="E36" s="353"/>
      <c r="F36" s="353"/>
      <c r="G36" s="353"/>
      <c r="H36" s="353"/>
      <c r="I36" s="353"/>
      <c r="J36" s="353"/>
      <c r="K36" s="353"/>
      <c r="L36" s="353"/>
    </row>
    <row r="37" spans="2:12" x14ac:dyDescent="0.2">
      <c r="B37" s="110">
        <v>20000000</v>
      </c>
      <c r="C37" s="110">
        <v>363</v>
      </c>
      <c r="D37" s="353"/>
      <c r="E37" s="353"/>
      <c r="F37" s="353"/>
      <c r="G37" s="353"/>
      <c r="H37" s="353"/>
      <c r="I37" s="353"/>
      <c r="J37" s="353"/>
      <c r="K37" s="353"/>
      <c r="L37" s="353"/>
    </row>
    <row r="38" spans="2:12" x14ac:dyDescent="0.2">
      <c r="B38" s="110">
        <v>25000000</v>
      </c>
      <c r="C38" s="110">
        <v>444</v>
      </c>
      <c r="D38" s="353"/>
      <c r="E38" s="353"/>
      <c r="F38" s="353"/>
      <c r="G38" s="353"/>
      <c r="H38" s="353"/>
      <c r="I38" s="353"/>
      <c r="J38" s="353"/>
      <c r="K38" s="353"/>
      <c r="L38" s="353"/>
    </row>
    <row r="39" spans="2:12" x14ac:dyDescent="0.2">
      <c r="B39" s="110">
        <v>30000000</v>
      </c>
      <c r="C39" s="110">
        <v>528</v>
      </c>
    </row>
    <row r="40" spans="2:12" x14ac:dyDescent="0.2">
      <c r="B40" s="110">
        <v>35000000</v>
      </c>
      <c r="C40" s="110">
        <v>612</v>
      </c>
    </row>
    <row r="41" spans="2:12" x14ac:dyDescent="0.2">
      <c r="B41" s="470">
        <v>50000000</v>
      </c>
      <c r="C41" s="470">
        <v>720</v>
      </c>
    </row>
    <row r="42" spans="2:12" x14ac:dyDescent="0.2">
      <c r="B42" s="470">
        <v>100000000</v>
      </c>
      <c r="C42" s="470">
        <v>1200</v>
      </c>
    </row>
    <row r="43" spans="2:12" x14ac:dyDescent="0.2">
      <c r="B43" s="470">
        <v>150000000</v>
      </c>
      <c r="C43" s="470">
        <v>1440</v>
      </c>
    </row>
    <row r="44" spans="2:12" x14ac:dyDescent="0.2">
      <c r="B44" s="470">
        <v>200000000</v>
      </c>
      <c r="C44" s="470">
        <v>1536</v>
      </c>
    </row>
    <row r="45" spans="2:12" x14ac:dyDescent="0.2">
      <c r="B45" s="353"/>
      <c r="C45" s="353"/>
    </row>
    <row r="46" spans="2:12" x14ac:dyDescent="0.2">
      <c r="B46" s="353"/>
      <c r="C46" s="353"/>
    </row>
    <row r="47" spans="2:12" x14ac:dyDescent="0.2">
      <c r="B47" s="353"/>
      <c r="C47" s="353"/>
    </row>
    <row r="48" spans="2:12" x14ac:dyDescent="0.2">
      <c r="B48" s="353"/>
      <c r="C48" s="353"/>
    </row>
    <row r="49" spans="2:6" x14ac:dyDescent="0.2">
      <c r="B49" s="353"/>
      <c r="C49" s="353"/>
    </row>
    <row r="50" spans="2:6" x14ac:dyDescent="0.2">
      <c r="B50" s="353"/>
      <c r="C50" s="353"/>
    </row>
    <row r="51" spans="2:6" x14ac:dyDescent="0.2">
      <c r="B51" s="353"/>
      <c r="C51" s="353"/>
    </row>
    <row r="52" spans="2:6" x14ac:dyDescent="0.2">
      <c r="B52" s="353"/>
      <c r="C52" s="353"/>
    </row>
    <row r="53" spans="2:6" x14ac:dyDescent="0.2">
      <c r="B53" s="353"/>
      <c r="C53" s="353"/>
    </row>
    <row r="54" spans="2:6" x14ac:dyDescent="0.2">
      <c r="B54" s="353"/>
      <c r="C54" s="353"/>
    </row>
    <row r="55" spans="2:6" x14ac:dyDescent="0.2">
      <c r="B55" s="353"/>
      <c r="C55" s="353"/>
    </row>
    <row r="56" spans="2:6" x14ac:dyDescent="0.2">
      <c r="B56" s="353"/>
      <c r="C56" s="353"/>
    </row>
    <row r="57" spans="2:6" ht="14.25" x14ac:dyDescent="0.2">
      <c r="B57" s="97"/>
    </row>
    <row r="58" spans="2:6" s="101" customFormat="1" x14ac:dyDescent="0.2">
      <c r="B58" s="365" t="s">
        <v>432</v>
      </c>
      <c r="C58" s="365"/>
      <c r="D58" s="365"/>
      <c r="E58" s="365"/>
      <c r="F58" s="365"/>
    </row>
    <row r="59" spans="2:6" s="101" customFormat="1" x14ac:dyDescent="0.2">
      <c r="B59" s="350" t="s">
        <v>127</v>
      </c>
      <c r="C59" s="355"/>
      <c r="D59" s="355"/>
      <c r="E59" s="356"/>
      <c r="F59" s="357">
        <f>'OSNOVNI PODATKI'!C247</f>
        <v>3000000</v>
      </c>
    </row>
    <row r="60" spans="2:6" s="101" customFormat="1" x14ac:dyDescent="0.2">
      <c r="B60" s="351" t="s">
        <v>150</v>
      </c>
      <c r="C60" s="358"/>
      <c r="D60" s="358"/>
      <c r="E60" s="359"/>
      <c r="F60" s="360">
        <f>'OSNOVNI PODATKI'!D247</f>
        <v>0</v>
      </c>
    </row>
    <row r="61" spans="2:6" s="101" customFormat="1" x14ac:dyDescent="0.2">
      <c r="B61" s="110" t="s">
        <v>33</v>
      </c>
      <c r="C61" s="358"/>
      <c r="D61" s="109"/>
      <c r="E61" s="109"/>
      <c r="F61" s="109">
        <v>1</v>
      </c>
    </row>
    <row r="62" spans="2:6" s="101" customFormat="1" x14ac:dyDescent="0.2">
      <c r="B62" s="110" t="s">
        <v>151</v>
      </c>
      <c r="C62" s="358"/>
      <c r="D62" s="109"/>
      <c r="E62" s="109"/>
      <c r="F62" s="109">
        <f>F61+1</f>
        <v>2</v>
      </c>
    </row>
    <row r="63" spans="2:6" s="101" customFormat="1" x14ac:dyDescent="0.2">
      <c r="B63" s="110" t="s">
        <v>34</v>
      </c>
      <c r="C63" s="358"/>
      <c r="D63" s="109"/>
      <c r="E63" s="109"/>
      <c r="F63" s="109">
        <f>IF(OR(F59&gt;B44,F59&lt;B8),"/",IFERROR(MATCH(F59,B8:B44),"/"))</f>
        <v>14</v>
      </c>
    </row>
    <row r="64" spans="2:6" s="101" customFormat="1" x14ac:dyDescent="0.2">
      <c r="B64" s="110" t="s">
        <v>35</v>
      </c>
      <c r="C64" s="358"/>
      <c r="D64" s="109"/>
      <c r="E64" s="109"/>
      <c r="F64" s="109">
        <f>IFERROR(F63+1,"/")</f>
        <v>15</v>
      </c>
    </row>
    <row r="65" spans="1:8" s="101" customFormat="1" x14ac:dyDescent="0.2">
      <c r="B65" s="110" t="s">
        <v>153</v>
      </c>
      <c r="C65" s="358"/>
      <c r="D65" s="109"/>
      <c r="E65" s="109"/>
      <c r="F65" s="109">
        <f>IFERROR(INDEX($C$8:$C$44,F63,F61),0)</f>
        <v>128</v>
      </c>
    </row>
    <row r="66" spans="1:8" s="101" customFormat="1" x14ac:dyDescent="0.2">
      <c r="B66" s="110" t="s">
        <v>110</v>
      </c>
      <c r="C66" s="358"/>
      <c r="D66" s="109"/>
      <c r="E66" s="109"/>
      <c r="F66" s="109">
        <f>IFERROR(INDEX($C$8:$C$44,F64,F61),0)</f>
        <v>142</v>
      </c>
    </row>
    <row r="67" spans="1:8" s="101" customFormat="1" x14ac:dyDescent="0.2">
      <c r="B67" s="110" t="s">
        <v>122</v>
      </c>
      <c r="C67" s="358"/>
      <c r="D67" s="109"/>
      <c r="E67" s="109"/>
      <c r="F67" s="109">
        <f>IFERROR(INDEX($B$8:$B$44,F63),0)</f>
        <v>3000000</v>
      </c>
    </row>
    <row r="68" spans="1:8" s="101" customFormat="1" x14ac:dyDescent="0.2">
      <c r="B68" s="110" t="s">
        <v>467</v>
      </c>
      <c r="C68" s="358"/>
      <c r="D68" s="109"/>
      <c r="E68" s="109"/>
      <c r="F68" s="109">
        <f>IFERROR(INDEX($B$8:$B$44,F64),0)</f>
        <v>3500000</v>
      </c>
    </row>
    <row r="69" spans="1:8" s="101" customFormat="1" x14ac:dyDescent="0.2">
      <c r="B69" s="110" t="s">
        <v>155</v>
      </c>
      <c r="C69" s="358"/>
      <c r="D69" s="109"/>
      <c r="E69" s="109"/>
      <c r="F69" s="109">
        <f>IFERROR(FORECAST(F59,F65:F66,F67:F68),0)</f>
        <v>128</v>
      </c>
    </row>
    <row r="70" spans="1:8" s="101" customFormat="1" x14ac:dyDescent="0.2">
      <c r="B70" s="353"/>
      <c r="D70" s="102"/>
      <c r="E70" s="102"/>
      <c r="F70" s="108">
        <f>IF(F63="/","NI DOLOČENO",F69)</f>
        <v>128</v>
      </c>
    </row>
    <row r="71" spans="1:8" ht="14.25" x14ac:dyDescent="0.2">
      <c r="B71" s="97"/>
    </row>
    <row r="74" spans="1:8" s="101" customFormat="1" x14ac:dyDescent="0.2">
      <c r="A74" s="366"/>
      <c r="B74" s="366" t="s">
        <v>160</v>
      </c>
      <c r="C74" s="366"/>
      <c r="D74" s="366"/>
      <c r="E74" s="366"/>
      <c r="F74" s="366"/>
      <c r="G74" s="366"/>
    </row>
    <row r="75" spans="1:8" s="101" customFormat="1" x14ac:dyDescent="0.2">
      <c r="A75" s="367"/>
      <c r="B75" s="367"/>
      <c r="C75" s="367"/>
      <c r="D75" s="367"/>
      <c r="E75" s="367"/>
      <c r="F75" s="458"/>
      <c r="G75" s="367"/>
      <c r="H75" s="367"/>
    </row>
    <row r="76" spans="1:8" s="101" customFormat="1" x14ac:dyDescent="0.2">
      <c r="A76" s="458"/>
      <c r="B76" s="470" t="str">
        <f>'OSNOVNI PODATKI'!$B$255</f>
        <v>PRIBITEK ZA PRENOVO</v>
      </c>
      <c r="C76" s="467"/>
      <c r="D76" s="471"/>
      <c r="E76" s="471"/>
      <c r="F76" s="520">
        <f>'OSNOVNI PODATKI'!$E$255</f>
        <v>0</v>
      </c>
      <c r="G76" s="467"/>
      <c r="H76" s="467"/>
    </row>
    <row r="77" spans="1:8" s="101" customFormat="1" x14ac:dyDescent="0.2">
      <c r="A77" s="458"/>
      <c r="B77" s="470"/>
      <c r="C77" s="467"/>
      <c r="D77" s="471"/>
      <c r="E77" s="471"/>
      <c r="F77" s="471"/>
      <c r="G77" s="467"/>
      <c r="H77" s="467"/>
    </row>
    <row r="78" spans="1:8" s="2" customFormat="1" x14ac:dyDescent="0.2">
      <c r="A78" s="367"/>
      <c r="B78" s="367"/>
      <c r="C78" s="367"/>
      <c r="D78" s="367"/>
      <c r="E78" s="367"/>
      <c r="F78" s="367"/>
      <c r="G78" s="367"/>
      <c r="H78" s="367"/>
    </row>
    <row r="79" spans="1:8" s="13" customFormat="1" ht="26.25" x14ac:dyDescent="0.25">
      <c r="A79" s="137"/>
      <c r="B79" s="138"/>
      <c r="C79" s="138"/>
      <c r="D79" s="138"/>
      <c r="E79" s="139" t="s">
        <v>31</v>
      </c>
      <c r="F79" s="509" t="s">
        <v>442</v>
      </c>
      <c r="G79" s="140" t="s">
        <v>76</v>
      </c>
      <c r="H79" s="141" t="s">
        <v>90</v>
      </c>
    </row>
    <row r="80" spans="1:8" s="14" customFormat="1" ht="14.25" x14ac:dyDescent="0.2">
      <c r="A80" s="132" t="s">
        <v>38</v>
      </c>
      <c r="B80" s="133" t="s">
        <v>39</v>
      </c>
      <c r="C80" s="133"/>
      <c r="D80" s="133"/>
      <c r="E80" s="134"/>
      <c r="F80" s="134"/>
      <c r="G80" s="135"/>
      <c r="H80" s="136"/>
    </row>
    <row r="81" spans="1:8" s="14" customFormat="1" ht="14.25" x14ac:dyDescent="0.2">
      <c r="A81" s="115" t="s">
        <v>40</v>
      </c>
      <c r="B81" s="127" t="s">
        <v>85</v>
      </c>
      <c r="C81" s="127"/>
      <c r="D81" s="127"/>
      <c r="E81" s="116"/>
      <c r="F81" s="116"/>
      <c r="G81" s="125"/>
      <c r="H81" s="117" t="str">
        <f>IF(I81=TRUE,G81*'VREDNOST NU'!#REF!,"")</f>
        <v/>
      </c>
    </row>
    <row r="82" spans="1:8" s="14" customFormat="1" ht="14.25" x14ac:dyDescent="0.2">
      <c r="A82" s="143" t="s">
        <v>41</v>
      </c>
      <c r="B82" s="144" t="s">
        <v>86</v>
      </c>
      <c r="C82" s="144"/>
      <c r="D82" s="144"/>
      <c r="E82" s="145"/>
      <c r="F82" s="145"/>
      <c r="G82" s="120"/>
      <c r="H82" s="121" t="str">
        <f>IF(I82=TRUE,G82*'VREDNOST NU'!#REF!,"")</f>
        <v/>
      </c>
    </row>
    <row r="83" spans="1:8" s="14" customFormat="1" ht="14.25" x14ac:dyDescent="0.2">
      <c r="A83" s="142" t="s">
        <v>42</v>
      </c>
      <c r="B83" s="133" t="s">
        <v>43</v>
      </c>
      <c r="C83" s="133"/>
      <c r="D83" s="133"/>
      <c r="E83" s="134">
        <f>SUM(E84:E86)</f>
        <v>0</v>
      </c>
      <c r="F83" s="134">
        <f>SUM(F84:F86)</f>
        <v>0</v>
      </c>
      <c r="G83" s="135">
        <f>SUM(G84:G86)</f>
        <v>0</v>
      </c>
      <c r="H83" s="136">
        <f>SUM(H84:H86)</f>
        <v>0</v>
      </c>
    </row>
    <row r="84" spans="1:8" s="14" customFormat="1" ht="14.25" x14ac:dyDescent="0.2">
      <c r="A84" s="118" t="s">
        <v>44</v>
      </c>
      <c r="B84" s="126" t="s">
        <v>87</v>
      </c>
      <c r="C84" s="126"/>
      <c r="D84" s="126"/>
      <c r="E84" s="116">
        <v>0</v>
      </c>
      <c r="F84" s="510">
        <f>E84*(100%+$F$76)</f>
        <v>0</v>
      </c>
      <c r="G84" s="125">
        <f>F84*'OSNOVNI PODATKI'!$I$247</f>
        <v>0</v>
      </c>
      <c r="H84" s="117">
        <f>+G84*'ARHIGRAM 5'!$I$17</f>
        <v>0</v>
      </c>
    </row>
    <row r="85" spans="1:8" s="14" customFormat="1" ht="14.25" x14ac:dyDescent="0.2">
      <c r="A85" s="118" t="s">
        <v>45</v>
      </c>
      <c r="B85" s="126" t="s">
        <v>88</v>
      </c>
      <c r="C85" s="126"/>
      <c r="D85" s="126"/>
      <c r="E85" s="116">
        <v>0</v>
      </c>
      <c r="F85" s="116">
        <f t="shared" ref="F85:F86" si="0">E85*(100%+$F$76)</f>
        <v>0</v>
      </c>
      <c r="G85" s="125">
        <f>F85*'OSNOVNI PODATKI'!$I$247</f>
        <v>0</v>
      </c>
      <c r="H85" s="117">
        <f>+G85*'ARHIGRAM 5'!$I$17</f>
        <v>0</v>
      </c>
    </row>
    <row r="86" spans="1:8" s="14" customFormat="1" ht="14.25" x14ac:dyDescent="0.2">
      <c r="A86" s="148" t="s">
        <v>46</v>
      </c>
      <c r="B86" s="149" t="s">
        <v>741</v>
      </c>
      <c r="C86" s="149"/>
      <c r="D86" s="149"/>
      <c r="E86" s="145">
        <v>0</v>
      </c>
      <c r="F86" s="145">
        <f t="shared" si="0"/>
        <v>0</v>
      </c>
      <c r="G86" s="120">
        <f>F86*'OSNOVNI PODATKI'!$I$247</f>
        <v>0</v>
      </c>
      <c r="H86" s="121">
        <f>+G86*'ARHIGRAM 5'!$I$17</f>
        <v>0</v>
      </c>
    </row>
    <row r="87" spans="1:8" s="14" customFormat="1" ht="14.25" x14ac:dyDescent="0.2">
      <c r="A87" s="146">
        <v>2</v>
      </c>
      <c r="B87" s="133" t="s">
        <v>47</v>
      </c>
      <c r="C87" s="133"/>
      <c r="D87" s="133"/>
      <c r="E87" s="134">
        <f>+E88+E89+E90+E91+E92</f>
        <v>0.95000000000000007</v>
      </c>
      <c r="F87" s="134">
        <f>+F88+F89+F90+F91+F92</f>
        <v>0.95000000000000007</v>
      </c>
      <c r="G87" s="147">
        <f>SUM(G88:G92)</f>
        <v>60.800000000000004</v>
      </c>
      <c r="H87" s="136">
        <f>SUM(H88:H92)</f>
        <v>2432</v>
      </c>
    </row>
    <row r="88" spans="1:8" s="14" customFormat="1" ht="14.25" x14ac:dyDescent="0.2">
      <c r="A88" s="118" t="s">
        <v>70</v>
      </c>
      <c r="B88" s="126" t="s">
        <v>124</v>
      </c>
      <c r="C88" s="126"/>
      <c r="D88" s="126"/>
      <c r="E88" s="129">
        <v>0.15</v>
      </c>
      <c r="F88" s="129">
        <f t="shared" ref="F88:F92" si="1">E88*(100%+$F$76)</f>
        <v>0.15</v>
      </c>
      <c r="G88" s="125">
        <f>F88*'OSNOVNI PODATKI'!$I$247</f>
        <v>9.6</v>
      </c>
      <c r="H88" s="117">
        <f>+G88*'ARHIGRAM 5'!$I$17</f>
        <v>384</v>
      </c>
    </row>
    <row r="89" spans="1:8" s="14" customFormat="1" ht="14.25" x14ac:dyDescent="0.2">
      <c r="A89" s="130" t="s">
        <v>71</v>
      </c>
      <c r="B89" s="131" t="s">
        <v>617</v>
      </c>
      <c r="C89" s="131"/>
      <c r="D89" s="131"/>
      <c r="E89" s="129">
        <v>0.4</v>
      </c>
      <c r="F89" s="129">
        <f t="shared" si="1"/>
        <v>0.4</v>
      </c>
      <c r="G89" s="125">
        <f>F89*'OSNOVNI PODATKI'!$I$247</f>
        <v>25.6</v>
      </c>
      <c r="H89" s="117">
        <f>+G89*'ARHIGRAM 5'!$I$17</f>
        <v>1024</v>
      </c>
    </row>
    <row r="90" spans="1:8" s="14" customFormat="1" ht="14.25" x14ac:dyDescent="0.2">
      <c r="A90" s="130" t="s">
        <v>72</v>
      </c>
      <c r="B90" s="131" t="s">
        <v>1074</v>
      </c>
      <c r="C90" s="131"/>
      <c r="D90" s="131"/>
      <c r="E90" s="129">
        <v>0.05</v>
      </c>
      <c r="F90" s="129">
        <f t="shared" si="1"/>
        <v>0.05</v>
      </c>
      <c r="G90" s="125">
        <f>F90*'OSNOVNI PODATKI'!$I$247</f>
        <v>3.2</v>
      </c>
      <c r="H90" s="117">
        <f>+G90*'ARHIGRAM 5'!$I$17</f>
        <v>128</v>
      </c>
    </row>
    <row r="91" spans="1:8" s="14" customFormat="1" ht="14.25" x14ac:dyDescent="0.2">
      <c r="A91" s="130" t="s">
        <v>125</v>
      </c>
      <c r="B91" s="131" t="s">
        <v>618</v>
      </c>
      <c r="C91" s="131"/>
      <c r="D91" s="131"/>
      <c r="E91" s="129">
        <v>0.35</v>
      </c>
      <c r="F91" s="129">
        <f t="shared" si="1"/>
        <v>0.35</v>
      </c>
      <c r="G91" s="125">
        <f>F91*'OSNOVNI PODATKI'!$I$247</f>
        <v>22.4</v>
      </c>
      <c r="H91" s="117">
        <f>+G91*'ARHIGRAM 5'!$I$17</f>
        <v>896</v>
      </c>
    </row>
    <row r="92" spans="1:8" s="14" customFormat="1" ht="14.25" x14ac:dyDescent="0.2">
      <c r="A92" s="151" t="s">
        <v>126</v>
      </c>
      <c r="B92" s="152" t="s">
        <v>742</v>
      </c>
      <c r="C92" s="152"/>
      <c r="D92" s="152"/>
      <c r="E92" s="153">
        <v>0</v>
      </c>
      <c r="F92" s="153">
        <f t="shared" si="1"/>
        <v>0</v>
      </c>
      <c r="G92" s="120">
        <f>F92*'OSNOVNI PODATKI'!$I$247</f>
        <v>0</v>
      </c>
      <c r="H92" s="121">
        <f>+G92*'ARHIGRAM 5'!$I$17</f>
        <v>0</v>
      </c>
    </row>
    <row r="93" spans="1:8" s="14" customFormat="1" ht="14.25" x14ac:dyDescent="0.2">
      <c r="A93" s="150" t="s">
        <v>58</v>
      </c>
      <c r="B93" s="133" t="s">
        <v>801</v>
      </c>
      <c r="C93" s="133"/>
      <c r="D93" s="133"/>
      <c r="E93" s="134">
        <f>SUM(E94:E95)</f>
        <v>0</v>
      </c>
      <c r="F93" s="134">
        <f>SUM(F94:F95)</f>
        <v>0</v>
      </c>
      <c r="G93" s="135">
        <f>SUM(G94:G95)</f>
        <v>0</v>
      </c>
      <c r="H93" s="136">
        <f>SUM(H94:H95)</f>
        <v>0</v>
      </c>
    </row>
    <row r="94" spans="1:8" s="14" customFormat="1" ht="14.25" x14ac:dyDescent="0.2">
      <c r="A94" s="119" t="s">
        <v>59</v>
      </c>
      <c r="B94" s="125" t="s">
        <v>743</v>
      </c>
      <c r="C94" s="125"/>
      <c r="D94" s="125"/>
      <c r="E94" s="116">
        <v>0</v>
      </c>
      <c r="F94" s="116">
        <f t="shared" ref="F94:F95" si="2">E94*(100%+$F$76)</f>
        <v>0</v>
      </c>
      <c r="G94" s="125">
        <f>F94*'OSNOVNI PODATKI'!$I$247</f>
        <v>0</v>
      </c>
      <c r="H94" s="117">
        <f>+G94*'ARHIGRAM 5'!$I$17</f>
        <v>0</v>
      </c>
    </row>
    <row r="95" spans="1:8" s="14" customFormat="1" ht="14.25" x14ac:dyDescent="0.2">
      <c r="A95" s="155" t="s">
        <v>60</v>
      </c>
      <c r="B95" s="120" t="s">
        <v>255</v>
      </c>
      <c r="C95" s="120"/>
      <c r="D95" s="120"/>
      <c r="E95" s="145">
        <v>0</v>
      </c>
      <c r="F95" s="145">
        <f t="shared" si="2"/>
        <v>0</v>
      </c>
      <c r="G95" s="120">
        <f>F95*'OSNOVNI PODATKI'!$I$247</f>
        <v>0</v>
      </c>
      <c r="H95" s="121">
        <f>+G95*'ARHIGRAM 5'!$I$17</f>
        <v>0</v>
      </c>
    </row>
    <row r="96" spans="1:8" s="14" customFormat="1" ht="14.25" x14ac:dyDescent="0.2">
      <c r="A96" s="154">
        <v>4</v>
      </c>
      <c r="B96" s="133" t="s">
        <v>80</v>
      </c>
      <c r="C96" s="133"/>
      <c r="D96" s="133"/>
      <c r="E96" s="134">
        <f>SUM(E97:E101)</f>
        <v>0.05</v>
      </c>
      <c r="F96" s="134">
        <f>SUM(F97:F101)</f>
        <v>0.05</v>
      </c>
      <c r="G96" s="135">
        <f>SUM(G97:G101)</f>
        <v>3.2</v>
      </c>
      <c r="H96" s="136">
        <f>SUM(H97:H101)</f>
        <v>128</v>
      </c>
    </row>
    <row r="97" spans="1:8" s="14" customFormat="1" ht="14.25" x14ac:dyDescent="0.2">
      <c r="A97" s="119" t="s">
        <v>61</v>
      </c>
      <c r="B97" s="125" t="s">
        <v>256</v>
      </c>
      <c r="C97" s="125"/>
      <c r="D97" s="125"/>
      <c r="E97" s="116">
        <v>0</v>
      </c>
      <c r="F97" s="116">
        <f t="shared" ref="F97:F101" si="3">E97*(100%+$F$76)</f>
        <v>0</v>
      </c>
      <c r="G97" s="125">
        <f>F97*'OSNOVNI PODATKI'!$I$247</f>
        <v>0</v>
      </c>
      <c r="H97" s="117">
        <f>+G97*'ARHIGRAM 5'!$I$17</f>
        <v>0</v>
      </c>
    </row>
    <row r="98" spans="1:8" s="14" customFormat="1" ht="14.25" x14ac:dyDescent="0.2">
      <c r="A98" s="119" t="s">
        <v>62</v>
      </c>
      <c r="B98" s="125" t="s">
        <v>779</v>
      </c>
      <c r="C98" s="125"/>
      <c r="D98" s="125"/>
      <c r="E98" s="116">
        <v>0</v>
      </c>
      <c r="F98" s="116">
        <f t="shared" si="3"/>
        <v>0</v>
      </c>
      <c r="G98" s="125">
        <f>F98*'OSNOVNI PODATKI'!$I$247</f>
        <v>0</v>
      </c>
      <c r="H98" s="117">
        <f>+G98*'ARHIGRAM 5'!$I$17</f>
        <v>0</v>
      </c>
    </row>
    <row r="99" spans="1:8" s="14" customFormat="1" ht="14.25" x14ac:dyDescent="0.2">
      <c r="A99" s="119" t="s">
        <v>63</v>
      </c>
      <c r="B99" s="125" t="s">
        <v>1076</v>
      </c>
      <c r="C99" s="125"/>
      <c r="D99" s="125"/>
      <c r="E99" s="116">
        <v>0</v>
      </c>
      <c r="F99" s="116">
        <f t="shared" si="3"/>
        <v>0</v>
      </c>
      <c r="G99" s="125">
        <f>F99*'OSNOVNI PODATKI'!$I$247</f>
        <v>0</v>
      </c>
      <c r="H99" s="117">
        <f>+G99*'ARHIGRAM 5'!$I$17</f>
        <v>0</v>
      </c>
    </row>
    <row r="100" spans="1:8" s="14" customFormat="1" ht="14.25" x14ac:dyDescent="0.2">
      <c r="A100" s="119" t="s">
        <v>64</v>
      </c>
      <c r="B100" s="125" t="s">
        <v>780</v>
      </c>
      <c r="C100" s="125"/>
      <c r="D100" s="125"/>
      <c r="E100" s="116">
        <v>0</v>
      </c>
      <c r="F100" s="116">
        <f t="shared" si="3"/>
        <v>0</v>
      </c>
      <c r="G100" s="125">
        <f>F100*'OSNOVNI PODATKI'!$I$247</f>
        <v>0</v>
      </c>
      <c r="H100" s="117">
        <f>+G100*'ARHIGRAM 5'!$I$17</f>
        <v>0</v>
      </c>
    </row>
    <row r="101" spans="1:8" s="14" customFormat="1" ht="14.25" x14ac:dyDescent="0.2">
      <c r="A101" s="155" t="s">
        <v>65</v>
      </c>
      <c r="B101" s="120" t="s">
        <v>744</v>
      </c>
      <c r="C101" s="120"/>
      <c r="D101" s="120"/>
      <c r="E101" s="145">
        <v>0.05</v>
      </c>
      <c r="F101" s="145">
        <f t="shared" si="3"/>
        <v>0.05</v>
      </c>
      <c r="G101" s="120">
        <f>F101*'OSNOVNI PODATKI'!$I$247</f>
        <v>3.2</v>
      </c>
      <c r="H101" s="121">
        <f>+G101*'ARHIGRAM 5'!$I$17</f>
        <v>128</v>
      </c>
    </row>
    <row r="102" spans="1:8" s="14" customFormat="1" ht="14.25" x14ac:dyDescent="0.2">
      <c r="A102" s="156">
        <v>5</v>
      </c>
      <c r="B102" s="133" t="s">
        <v>66</v>
      </c>
      <c r="C102" s="133"/>
      <c r="D102" s="133"/>
      <c r="E102" s="134">
        <f>SUM(E103:E104)</f>
        <v>0</v>
      </c>
      <c r="F102" s="134">
        <f>SUM(F103:F104)</f>
        <v>0</v>
      </c>
      <c r="G102" s="135">
        <f>SUM(G103:G104)</f>
        <v>0</v>
      </c>
      <c r="H102" s="136">
        <f>SUM(H103:H104)</f>
        <v>0</v>
      </c>
    </row>
    <row r="103" spans="1:8" s="14" customFormat="1" ht="14.25" x14ac:dyDescent="0.2">
      <c r="A103" s="119" t="s">
        <v>67</v>
      </c>
      <c r="B103" s="128" t="s">
        <v>257</v>
      </c>
      <c r="C103" s="128"/>
      <c r="D103" s="128"/>
      <c r="E103" s="116">
        <v>0</v>
      </c>
      <c r="F103" s="116">
        <f t="shared" ref="F103:F104" si="4">E103*(100%+$F$76)</f>
        <v>0</v>
      </c>
      <c r="G103" s="125">
        <f>F103*'OSNOVNI PODATKI'!$I$247</f>
        <v>0</v>
      </c>
      <c r="H103" s="117">
        <f>+G103*'ARHIGRAM 5'!$I$17</f>
        <v>0</v>
      </c>
    </row>
    <row r="104" spans="1:8" s="14" customFormat="1" ht="14.25" x14ac:dyDescent="0.2">
      <c r="A104" s="155" t="s">
        <v>68</v>
      </c>
      <c r="B104" s="158" t="s">
        <v>781</v>
      </c>
      <c r="C104" s="158"/>
      <c r="D104" s="158"/>
      <c r="E104" s="145">
        <v>0</v>
      </c>
      <c r="F104" s="145">
        <f t="shared" si="4"/>
        <v>0</v>
      </c>
      <c r="G104" s="120">
        <f>F104*'OSNOVNI PODATKI'!$I$247</f>
        <v>0</v>
      </c>
      <c r="H104" s="121">
        <f>+G104*'ARHIGRAM 5'!$I$17</f>
        <v>0</v>
      </c>
    </row>
    <row r="105" spans="1:8" s="14" customFormat="1" ht="14.25" x14ac:dyDescent="0.2">
      <c r="A105" s="157">
        <v>6</v>
      </c>
      <c r="B105" s="133" t="s">
        <v>69</v>
      </c>
      <c r="C105" s="133"/>
      <c r="D105" s="133"/>
      <c r="E105" s="134"/>
      <c r="F105" s="134"/>
      <c r="G105" s="135"/>
      <c r="H105" s="136"/>
    </row>
    <row r="106" spans="1:8" s="14" customFormat="1" ht="14.25" x14ac:dyDescent="0.2">
      <c r="A106" s="119" t="s">
        <v>73</v>
      </c>
      <c r="B106" s="128" t="s">
        <v>259</v>
      </c>
      <c r="C106" s="128"/>
      <c r="D106" s="128"/>
      <c r="E106" s="116"/>
      <c r="F106" s="116"/>
      <c r="G106" s="125"/>
      <c r="H106" s="117"/>
    </row>
    <row r="107" spans="1:8" s="14" customFormat="1" ht="14.25" x14ac:dyDescent="0.2">
      <c r="A107" s="119" t="s">
        <v>74</v>
      </c>
      <c r="B107" s="128" t="s">
        <v>260</v>
      </c>
      <c r="C107" s="128"/>
      <c r="D107" s="128"/>
      <c r="E107" s="116"/>
      <c r="F107" s="116"/>
      <c r="G107" s="125"/>
      <c r="H107" s="117"/>
    </row>
    <row r="108" spans="1:8" s="14" customFormat="1" ht="14.25" x14ac:dyDescent="0.2">
      <c r="A108" s="155" t="s">
        <v>75</v>
      </c>
      <c r="B108" s="158" t="s">
        <v>261</v>
      </c>
      <c r="C108" s="158"/>
      <c r="D108" s="158"/>
      <c r="E108" s="145"/>
      <c r="F108" s="145"/>
      <c r="G108" s="120"/>
      <c r="H108" s="121"/>
    </row>
    <row r="109" spans="1:8" s="14" customFormat="1" ht="14.25" x14ac:dyDescent="0.2">
      <c r="A109" s="122"/>
      <c r="B109" s="123"/>
      <c r="C109" s="123"/>
      <c r="D109" s="123"/>
      <c r="E109" s="124"/>
      <c r="F109" s="124"/>
      <c r="G109" s="159"/>
      <c r="H109" s="160"/>
    </row>
    <row r="110" spans="1:8" s="14" customFormat="1" ht="14.25" x14ac:dyDescent="0.2">
      <c r="A110" s="165"/>
      <c r="B110" s="166" t="s">
        <v>1</v>
      </c>
      <c r="C110" s="166"/>
      <c r="D110" s="166"/>
      <c r="E110" s="167">
        <f>E80+E83+E87+E93+E96+E102+E105</f>
        <v>1</v>
      </c>
      <c r="F110" s="167">
        <f>F80+F83+F87+F93+F96+F102+F105</f>
        <v>1</v>
      </c>
      <c r="G110" s="174">
        <f>G80+G83+G87+G93+G96+G102+G105</f>
        <v>64</v>
      </c>
      <c r="H110" s="168">
        <f>H80+H83+H87+H93+H96+H102+H105</f>
        <v>2560</v>
      </c>
    </row>
    <row r="111" spans="1:8" s="14" customFormat="1" ht="14.25" x14ac:dyDescent="0.2">
      <c r="A111" s="161"/>
      <c r="B111" s="162" t="s">
        <v>248</v>
      </c>
      <c r="C111" s="163"/>
      <c r="D111" s="163"/>
      <c r="E111" s="33"/>
      <c r="G111" s="33"/>
      <c r="H111" s="164">
        <f>IFERROR(H110/'OSNOVNI PODATKI'!$D$170,0)</f>
        <v>8.5333333333333333E-4</v>
      </c>
    </row>
    <row r="112" spans="1:8" ht="14.25" x14ac:dyDescent="0.2">
      <c r="A112" s="161"/>
      <c r="B112" s="162" t="s">
        <v>247</v>
      </c>
      <c r="C112" s="163"/>
      <c r="D112" s="163"/>
      <c r="E112" s="33"/>
      <c r="G112" s="33"/>
      <c r="H112" s="164">
        <f>IFERROR(H110/'OSNOVNI PODATKI'!$D$206,0)</f>
        <v>8.3934426229508193E-4</v>
      </c>
    </row>
    <row r="123" spans="5:6" x14ac:dyDescent="0.2">
      <c r="E123" s="401"/>
      <c r="F123" s="400"/>
    </row>
    <row r="124" spans="5:6" x14ac:dyDescent="0.2">
      <c r="E124" s="401"/>
      <c r="F124" s="400"/>
    </row>
    <row r="125" spans="5:6" x14ac:dyDescent="0.2">
      <c r="E125" s="401"/>
      <c r="F125" s="400"/>
    </row>
    <row r="126" spans="5:6" x14ac:dyDescent="0.2">
      <c r="E126" s="401"/>
      <c r="F126" s="400"/>
    </row>
  </sheetData>
  <mergeCells count="1">
    <mergeCell ref="B5:B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90E1E-5257-47BE-8804-8A9D9FCBD668}">
  <sheetPr codeName="Sheet16"/>
  <dimension ref="A1:L293"/>
  <sheetViews>
    <sheetView topLeftCell="A61" zoomScale="85" zoomScaleNormal="85" workbookViewId="0">
      <selection activeCell="A68" sqref="A68:XFD68"/>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5.5" x14ac:dyDescent="0.2">
      <c r="B1" s="6" t="s">
        <v>423</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2.75" customHeight="1" x14ac:dyDescent="0.2">
      <c r="B4" s="1127" t="s">
        <v>91</v>
      </c>
      <c r="C4" s="109" t="s">
        <v>92</v>
      </c>
      <c r="D4" s="109"/>
      <c r="E4" s="109" t="s">
        <v>93</v>
      </c>
      <c r="F4" s="109"/>
      <c r="G4" s="109" t="s">
        <v>94</v>
      </c>
      <c r="H4" s="109"/>
      <c r="I4" s="109" t="s">
        <v>95</v>
      </c>
      <c r="J4" s="109"/>
      <c r="K4" s="109" t="s">
        <v>96</v>
      </c>
      <c r="L4" s="109"/>
    </row>
    <row r="5" spans="2:12" x14ac:dyDescent="0.2">
      <c r="B5" s="1128"/>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110">
        <v>250000</v>
      </c>
      <c r="C7" s="110">
        <v>22</v>
      </c>
      <c r="D7" s="110">
        <v>25</v>
      </c>
      <c r="E7" s="110">
        <v>25</v>
      </c>
      <c r="F7" s="110">
        <v>30</v>
      </c>
      <c r="G7" s="110">
        <v>30</v>
      </c>
      <c r="H7" s="110">
        <v>37</v>
      </c>
      <c r="I7" s="110">
        <v>37</v>
      </c>
      <c r="J7" s="110">
        <v>41</v>
      </c>
      <c r="K7" s="110">
        <v>41</v>
      </c>
      <c r="L7" s="110">
        <v>45</v>
      </c>
    </row>
    <row r="8" spans="2:12" x14ac:dyDescent="0.2">
      <c r="B8" s="110">
        <v>275000</v>
      </c>
      <c r="C8" s="110">
        <v>22</v>
      </c>
      <c r="D8" s="110">
        <v>26</v>
      </c>
      <c r="E8" s="110">
        <v>26</v>
      </c>
      <c r="F8" s="110">
        <v>31</v>
      </c>
      <c r="G8" s="110">
        <v>31</v>
      </c>
      <c r="H8" s="110">
        <v>37</v>
      </c>
      <c r="I8" s="110">
        <v>37</v>
      </c>
      <c r="J8" s="110">
        <v>42</v>
      </c>
      <c r="K8" s="110">
        <v>42</v>
      </c>
      <c r="L8" s="110">
        <v>45</v>
      </c>
    </row>
    <row r="9" spans="2:12" x14ac:dyDescent="0.2">
      <c r="B9" s="110">
        <v>300000</v>
      </c>
      <c r="C9" s="110">
        <v>23</v>
      </c>
      <c r="D9" s="110">
        <v>26</v>
      </c>
      <c r="E9" s="110">
        <v>26</v>
      </c>
      <c r="F9" s="110">
        <v>31</v>
      </c>
      <c r="G9" s="110">
        <v>31</v>
      </c>
      <c r="H9" s="110">
        <v>38</v>
      </c>
      <c r="I9" s="110">
        <v>38</v>
      </c>
      <c r="J9" s="110">
        <v>43</v>
      </c>
      <c r="K9" s="110">
        <v>43</v>
      </c>
      <c r="L9" s="110">
        <v>46</v>
      </c>
    </row>
    <row r="10" spans="2:12" x14ac:dyDescent="0.2">
      <c r="B10" s="110">
        <v>350000</v>
      </c>
      <c r="C10" s="110">
        <v>24</v>
      </c>
      <c r="D10" s="110">
        <v>27</v>
      </c>
      <c r="E10" s="110">
        <v>27</v>
      </c>
      <c r="F10" s="110">
        <v>32</v>
      </c>
      <c r="G10" s="110">
        <v>32</v>
      </c>
      <c r="H10" s="110">
        <v>39</v>
      </c>
      <c r="I10" s="110">
        <v>39</v>
      </c>
      <c r="J10" s="110">
        <v>44</v>
      </c>
      <c r="K10" s="110">
        <v>44</v>
      </c>
      <c r="L10" s="110">
        <v>48</v>
      </c>
    </row>
    <row r="11" spans="2:12" x14ac:dyDescent="0.2">
      <c r="B11" s="110">
        <v>400000</v>
      </c>
      <c r="C11" s="110">
        <v>24</v>
      </c>
      <c r="D11" s="110">
        <v>28</v>
      </c>
      <c r="E11" s="110">
        <v>28</v>
      </c>
      <c r="F11" s="110">
        <v>33</v>
      </c>
      <c r="G11" s="110">
        <v>33</v>
      </c>
      <c r="H11" s="110">
        <v>40</v>
      </c>
      <c r="I11" s="110">
        <v>40</v>
      </c>
      <c r="J11" s="110">
        <v>46</v>
      </c>
      <c r="K11" s="110">
        <v>46</v>
      </c>
      <c r="L11" s="110">
        <v>49</v>
      </c>
    </row>
    <row r="12" spans="2:12" x14ac:dyDescent="0.2">
      <c r="B12" s="110">
        <v>500000</v>
      </c>
      <c r="C12" s="110">
        <v>26</v>
      </c>
      <c r="D12" s="110">
        <v>29</v>
      </c>
      <c r="E12" s="110">
        <v>29</v>
      </c>
      <c r="F12" s="110">
        <v>35</v>
      </c>
      <c r="G12" s="110">
        <v>35</v>
      </c>
      <c r="H12" s="110">
        <v>43</v>
      </c>
      <c r="I12" s="110">
        <v>43</v>
      </c>
      <c r="J12" s="110">
        <v>48</v>
      </c>
      <c r="K12" s="110">
        <v>48</v>
      </c>
      <c r="L12" s="110">
        <v>52</v>
      </c>
    </row>
    <row r="13" spans="2:12" x14ac:dyDescent="0.2">
      <c r="B13" s="110">
        <v>600000</v>
      </c>
      <c r="C13" s="110">
        <v>27</v>
      </c>
      <c r="D13" s="110">
        <v>31</v>
      </c>
      <c r="E13" s="110">
        <v>31</v>
      </c>
      <c r="F13" s="110">
        <v>37</v>
      </c>
      <c r="G13" s="110">
        <v>37</v>
      </c>
      <c r="H13" s="110">
        <v>45</v>
      </c>
      <c r="I13" s="110">
        <v>45</v>
      </c>
      <c r="J13" s="110">
        <v>50</v>
      </c>
      <c r="K13" s="110">
        <v>50</v>
      </c>
      <c r="L13" s="110">
        <v>54</v>
      </c>
    </row>
    <row r="14" spans="2:12" x14ac:dyDescent="0.2">
      <c r="B14" s="110">
        <v>750000</v>
      </c>
      <c r="C14" s="110">
        <v>28</v>
      </c>
      <c r="D14" s="110">
        <v>33</v>
      </c>
      <c r="E14" s="110">
        <v>33</v>
      </c>
      <c r="F14" s="110">
        <v>39</v>
      </c>
      <c r="G14" s="110">
        <v>39</v>
      </c>
      <c r="H14" s="110">
        <v>47</v>
      </c>
      <c r="I14" s="110">
        <v>47</v>
      </c>
      <c r="J14" s="110">
        <v>53</v>
      </c>
      <c r="K14" s="110">
        <v>53</v>
      </c>
      <c r="L14" s="110">
        <v>58</v>
      </c>
    </row>
    <row r="15" spans="2:12" x14ac:dyDescent="0.2">
      <c r="B15" s="110">
        <v>1000000</v>
      </c>
      <c r="C15" s="110">
        <v>31</v>
      </c>
      <c r="D15" s="110">
        <v>35</v>
      </c>
      <c r="E15" s="110">
        <v>35</v>
      </c>
      <c r="F15" s="110">
        <v>42</v>
      </c>
      <c r="G15" s="110">
        <v>42</v>
      </c>
      <c r="H15" s="110">
        <v>51</v>
      </c>
      <c r="I15" s="110">
        <v>51</v>
      </c>
      <c r="J15" s="110">
        <v>57</v>
      </c>
      <c r="K15" s="110">
        <v>57</v>
      </c>
      <c r="L15" s="110">
        <v>62</v>
      </c>
    </row>
    <row r="16" spans="2:12" x14ac:dyDescent="0.2">
      <c r="B16" s="110">
        <v>1250000</v>
      </c>
      <c r="C16" s="110">
        <v>34</v>
      </c>
      <c r="D16" s="110">
        <v>40</v>
      </c>
      <c r="E16" s="110">
        <v>40</v>
      </c>
      <c r="F16" s="110">
        <v>47</v>
      </c>
      <c r="G16" s="110">
        <v>47</v>
      </c>
      <c r="H16" s="110">
        <v>57</v>
      </c>
      <c r="I16" s="110">
        <v>57</v>
      </c>
      <c r="J16" s="110">
        <v>65</v>
      </c>
      <c r="K16" s="110">
        <v>65</v>
      </c>
      <c r="L16" s="110">
        <v>70</v>
      </c>
    </row>
    <row r="17" spans="2:12" x14ac:dyDescent="0.2">
      <c r="B17" s="110">
        <v>1500000</v>
      </c>
      <c r="C17" s="110">
        <v>38</v>
      </c>
      <c r="D17" s="110">
        <v>44</v>
      </c>
      <c r="E17" s="110">
        <v>44</v>
      </c>
      <c r="F17" s="110">
        <v>52</v>
      </c>
      <c r="G17" s="110">
        <v>52</v>
      </c>
      <c r="H17" s="110">
        <v>64</v>
      </c>
      <c r="I17" s="110">
        <v>64</v>
      </c>
      <c r="J17" s="110">
        <v>72</v>
      </c>
      <c r="K17" s="110">
        <v>72</v>
      </c>
      <c r="L17" s="110">
        <v>77</v>
      </c>
    </row>
    <row r="18" spans="2:12" x14ac:dyDescent="0.2">
      <c r="B18" s="110">
        <v>2000000</v>
      </c>
      <c r="C18" s="110">
        <v>45</v>
      </c>
      <c r="D18" s="110">
        <v>52</v>
      </c>
      <c r="E18" s="110">
        <v>52</v>
      </c>
      <c r="F18" s="110">
        <v>62</v>
      </c>
      <c r="G18" s="110">
        <v>62</v>
      </c>
      <c r="H18" s="110">
        <v>76</v>
      </c>
      <c r="I18" s="110">
        <v>76</v>
      </c>
      <c r="J18" s="110">
        <v>85</v>
      </c>
      <c r="K18" s="110">
        <v>85</v>
      </c>
      <c r="L18" s="110">
        <v>92</v>
      </c>
    </row>
    <row r="19" spans="2:12" x14ac:dyDescent="0.2">
      <c r="B19" s="110">
        <v>2500000</v>
      </c>
      <c r="C19" s="110">
        <v>53</v>
      </c>
      <c r="D19" s="110">
        <v>61</v>
      </c>
      <c r="E19" s="110">
        <v>61</v>
      </c>
      <c r="F19" s="110">
        <v>72</v>
      </c>
      <c r="G19" s="110">
        <v>72</v>
      </c>
      <c r="H19" s="110">
        <v>88</v>
      </c>
      <c r="I19" s="110">
        <v>88</v>
      </c>
      <c r="J19" s="110">
        <v>99</v>
      </c>
      <c r="K19" s="110">
        <v>99</v>
      </c>
      <c r="L19" s="110">
        <v>107</v>
      </c>
    </row>
    <row r="20" spans="2:12" x14ac:dyDescent="0.2">
      <c r="B20" s="110">
        <v>3500000</v>
      </c>
      <c r="C20" s="110">
        <v>67</v>
      </c>
      <c r="D20" s="110">
        <v>77</v>
      </c>
      <c r="E20" s="110">
        <v>77</v>
      </c>
      <c r="F20" s="110">
        <v>91</v>
      </c>
      <c r="G20" s="110">
        <v>91</v>
      </c>
      <c r="H20" s="110">
        <v>111</v>
      </c>
      <c r="I20" s="110">
        <v>111</v>
      </c>
      <c r="J20" s="110">
        <v>125</v>
      </c>
      <c r="K20" s="110">
        <v>125</v>
      </c>
      <c r="L20" s="110">
        <v>135</v>
      </c>
    </row>
    <row r="21" spans="2:12" x14ac:dyDescent="0.2">
      <c r="B21" s="110">
        <v>5000000</v>
      </c>
      <c r="C21" s="110">
        <v>87</v>
      </c>
      <c r="D21" s="110">
        <v>100</v>
      </c>
      <c r="E21" s="110">
        <v>100</v>
      </c>
      <c r="F21" s="110">
        <v>118</v>
      </c>
      <c r="G21" s="110">
        <v>118</v>
      </c>
      <c r="H21" s="110">
        <v>145</v>
      </c>
      <c r="I21" s="110">
        <v>145</v>
      </c>
      <c r="J21" s="110">
        <v>163</v>
      </c>
      <c r="K21" s="110">
        <v>163</v>
      </c>
      <c r="L21" s="110">
        <v>176</v>
      </c>
    </row>
    <row r="22" spans="2:12" x14ac:dyDescent="0.2">
      <c r="B22" s="110">
        <v>7500000</v>
      </c>
      <c r="C22" s="110">
        <v>119</v>
      </c>
      <c r="D22" s="110">
        <v>137</v>
      </c>
      <c r="E22" s="110">
        <v>137</v>
      </c>
      <c r="F22" s="110">
        <v>162</v>
      </c>
      <c r="G22" s="110">
        <v>162</v>
      </c>
      <c r="H22" s="110">
        <v>199</v>
      </c>
      <c r="I22" s="110">
        <v>199</v>
      </c>
      <c r="J22" s="110">
        <v>224</v>
      </c>
      <c r="K22" s="110">
        <v>224</v>
      </c>
      <c r="L22" s="110">
        <v>242</v>
      </c>
    </row>
    <row r="23" spans="2:12" x14ac:dyDescent="0.2">
      <c r="B23" s="110">
        <v>10000000</v>
      </c>
      <c r="C23" s="110">
        <v>150</v>
      </c>
      <c r="D23" s="110">
        <v>173</v>
      </c>
      <c r="E23" s="110">
        <v>173</v>
      </c>
      <c r="F23" s="110">
        <v>205</v>
      </c>
      <c r="G23" s="110">
        <v>205</v>
      </c>
      <c r="H23" s="110">
        <v>251</v>
      </c>
      <c r="I23" s="110">
        <v>251</v>
      </c>
      <c r="J23" s="110">
        <v>283</v>
      </c>
      <c r="K23" s="110">
        <v>283</v>
      </c>
      <c r="L23" s="110">
        <v>305</v>
      </c>
    </row>
    <row r="24" spans="2:12" x14ac:dyDescent="0.2">
      <c r="B24" s="110">
        <v>15000000</v>
      </c>
      <c r="C24" s="110">
        <v>211</v>
      </c>
      <c r="D24" s="110">
        <v>243</v>
      </c>
      <c r="E24" s="110">
        <v>243</v>
      </c>
      <c r="F24" s="110">
        <v>287</v>
      </c>
      <c r="G24" s="110">
        <v>287</v>
      </c>
      <c r="H24" s="110">
        <v>351</v>
      </c>
      <c r="I24" s="110">
        <v>351</v>
      </c>
      <c r="J24" s="110">
        <v>396</v>
      </c>
      <c r="K24" s="110">
        <v>396</v>
      </c>
      <c r="L24" s="110">
        <v>428</v>
      </c>
    </row>
    <row r="25" spans="2:12" x14ac:dyDescent="0.2">
      <c r="B25" s="470">
        <v>20000000</v>
      </c>
      <c r="C25" s="470">
        <v>269</v>
      </c>
      <c r="D25" s="470">
        <v>310</v>
      </c>
      <c r="E25" s="470">
        <v>310</v>
      </c>
      <c r="F25" s="470">
        <v>367</v>
      </c>
      <c r="G25" s="470">
        <v>367</v>
      </c>
      <c r="H25" s="470">
        <v>448</v>
      </c>
      <c r="I25" s="470">
        <v>448</v>
      </c>
      <c r="J25" s="470">
        <v>505</v>
      </c>
      <c r="K25" s="470">
        <v>505</v>
      </c>
      <c r="L25" s="470">
        <v>546</v>
      </c>
    </row>
    <row r="26" spans="2:12" x14ac:dyDescent="0.2">
      <c r="B26" s="470">
        <v>25000000</v>
      </c>
      <c r="C26" s="470">
        <v>326</v>
      </c>
      <c r="D26" s="470">
        <v>375</v>
      </c>
      <c r="E26" s="470">
        <v>375</v>
      </c>
      <c r="F26" s="470">
        <v>444</v>
      </c>
      <c r="G26" s="470">
        <v>444</v>
      </c>
      <c r="H26" s="470">
        <v>543</v>
      </c>
      <c r="I26" s="470">
        <v>543</v>
      </c>
      <c r="J26" s="470">
        <v>612</v>
      </c>
      <c r="K26" s="470">
        <v>612</v>
      </c>
      <c r="L26" s="470">
        <v>661</v>
      </c>
    </row>
    <row r="27" spans="2:12" s="2" customFormat="1" x14ac:dyDescent="0.2">
      <c r="B27" s="470">
        <v>50000000</v>
      </c>
      <c r="C27" s="470">
        <v>572</v>
      </c>
      <c r="D27" s="470">
        <v>650</v>
      </c>
      <c r="E27" s="470">
        <v>650</v>
      </c>
      <c r="F27" s="470">
        <v>780</v>
      </c>
      <c r="G27" s="470">
        <v>780</v>
      </c>
      <c r="H27" s="470">
        <v>962</v>
      </c>
      <c r="I27" s="470">
        <v>962</v>
      </c>
      <c r="J27" s="470">
        <v>1066</v>
      </c>
      <c r="K27" s="470">
        <v>1066</v>
      </c>
      <c r="L27" s="470">
        <v>1170</v>
      </c>
    </row>
    <row r="28" spans="2:12" s="2" customFormat="1" x14ac:dyDescent="0.2">
      <c r="B28" s="470">
        <v>100000000</v>
      </c>
      <c r="C28" s="470">
        <v>968</v>
      </c>
      <c r="D28" s="470">
        <v>1100</v>
      </c>
      <c r="E28" s="470">
        <v>1100</v>
      </c>
      <c r="F28" s="470">
        <v>1320</v>
      </c>
      <c r="G28" s="470">
        <v>1320</v>
      </c>
      <c r="H28" s="470">
        <v>1628</v>
      </c>
      <c r="I28" s="470">
        <v>1628</v>
      </c>
      <c r="J28" s="470">
        <v>1804</v>
      </c>
      <c r="K28" s="470">
        <v>1804</v>
      </c>
      <c r="L28" s="470">
        <v>1980</v>
      </c>
    </row>
    <row r="29" spans="2:12" s="2" customFormat="1" x14ac:dyDescent="0.2">
      <c r="B29" s="470">
        <v>150000000</v>
      </c>
      <c r="C29" s="470">
        <v>1188</v>
      </c>
      <c r="D29" s="470">
        <v>1350</v>
      </c>
      <c r="E29" s="470">
        <v>1350</v>
      </c>
      <c r="F29" s="470">
        <v>1620</v>
      </c>
      <c r="G29" s="470">
        <v>1620</v>
      </c>
      <c r="H29" s="470">
        <v>1998</v>
      </c>
      <c r="I29" s="470">
        <v>1998</v>
      </c>
      <c r="J29" s="470">
        <v>2214</v>
      </c>
      <c r="K29" s="470">
        <v>2214</v>
      </c>
      <c r="L29" s="470">
        <v>2430</v>
      </c>
    </row>
    <row r="30" spans="2:12" s="2" customFormat="1" x14ac:dyDescent="0.2">
      <c r="B30" s="470">
        <v>200000000</v>
      </c>
      <c r="C30" s="470">
        <v>1320</v>
      </c>
      <c r="D30" s="470">
        <v>1500</v>
      </c>
      <c r="E30" s="470">
        <v>1500</v>
      </c>
      <c r="F30" s="470">
        <v>1800</v>
      </c>
      <c r="G30" s="470">
        <v>1800</v>
      </c>
      <c r="H30" s="470">
        <v>2220</v>
      </c>
      <c r="I30" s="470">
        <v>2220</v>
      </c>
      <c r="J30" s="470">
        <v>2460</v>
      </c>
      <c r="K30" s="470">
        <v>2460</v>
      </c>
      <c r="L30" s="470">
        <v>2700</v>
      </c>
    </row>
    <row r="33" spans="2:12" ht="14.25" x14ac:dyDescent="0.2">
      <c r="C33" s="97"/>
    </row>
    <row r="34" spans="2:12" s="99" customFormat="1" ht="25.5" x14ac:dyDescent="0.2">
      <c r="B34" s="6" t="s">
        <v>424</v>
      </c>
      <c r="C34" s="4"/>
      <c r="D34" s="4"/>
      <c r="E34" s="4"/>
      <c r="F34" s="4"/>
      <c r="G34" s="4"/>
      <c r="H34" s="4"/>
      <c r="I34" s="5"/>
      <c r="J34" s="5"/>
      <c r="K34" s="5"/>
      <c r="L34" s="5"/>
    </row>
    <row r="35" spans="2:12" ht="14.25" x14ac:dyDescent="0.25">
      <c r="B35" s="10"/>
      <c r="C35" s="8"/>
      <c r="D35" s="8"/>
      <c r="E35" s="8"/>
      <c r="F35" s="8"/>
      <c r="G35" s="8"/>
      <c r="H35" s="8"/>
      <c r="I35" s="9"/>
      <c r="J35" s="9"/>
      <c r="K35" s="9"/>
      <c r="L35" s="9"/>
    </row>
    <row r="36" spans="2:12" ht="13.5" customHeight="1" x14ac:dyDescent="0.25">
      <c r="B36" s="7"/>
      <c r="C36" s="7"/>
      <c r="D36" s="7"/>
      <c r="E36" s="7"/>
      <c r="F36" s="7"/>
      <c r="G36" s="7"/>
      <c r="H36" s="7"/>
    </row>
    <row r="37" spans="2:12" ht="12.75" customHeight="1" x14ac:dyDescent="0.2">
      <c r="B37" s="1127" t="s">
        <v>91</v>
      </c>
      <c r="C37" s="109" t="s">
        <v>92</v>
      </c>
      <c r="D37" s="109"/>
      <c r="E37" s="109" t="s">
        <v>93</v>
      </c>
      <c r="F37" s="109"/>
      <c r="G37" s="109" t="s">
        <v>94</v>
      </c>
      <c r="H37" s="109"/>
    </row>
    <row r="38" spans="2:12" x14ac:dyDescent="0.2">
      <c r="B38" s="1128"/>
      <c r="C38" s="348" t="s">
        <v>98</v>
      </c>
      <c r="D38" s="348"/>
      <c r="E38" s="348" t="s">
        <v>99</v>
      </c>
      <c r="F38" s="348"/>
      <c r="G38" s="348" t="s">
        <v>100</v>
      </c>
      <c r="H38" s="348"/>
    </row>
    <row r="39" spans="2:12" x14ac:dyDescent="0.2">
      <c r="B39" s="349"/>
      <c r="C39" s="349"/>
      <c r="D39" s="349"/>
      <c r="E39" s="349"/>
      <c r="F39" s="349"/>
      <c r="G39" s="349"/>
      <c r="H39" s="349"/>
    </row>
    <row r="40" spans="2:12" x14ac:dyDescent="0.2">
      <c r="B40" s="470">
        <v>250000</v>
      </c>
      <c r="C40" s="470">
        <v>22</v>
      </c>
      <c r="D40" s="470">
        <v>25</v>
      </c>
      <c r="E40" s="470">
        <v>25</v>
      </c>
      <c r="F40" s="470">
        <v>29</v>
      </c>
      <c r="G40" s="470">
        <v>29</v>
      </c>
      <c r="H40" s="470">
        <v>33</v>
      </c>
    </row>
    <row r="41" spans="2:12" x14ac:dyDescent="0.2">
      <c r="B41" s="470">
        <v>275000</v>
      </c>
      <c r="C41" s="470">
        <v>23</v>
      </c>
      <c r="D41" s="470">
        <v>26</v>
      </c>
      <c r="E41" s="470">
        <v>26</v>
      </c>
      <c r="F41" s="470">
        <v>30</v>
      </c>
      <c r="G41" s="470">
        <v>30</v>
      </c>
      <c r="H41" s="470">
        <v>35</v>
      </c>
    </row>
    <row r="42" spans="2:12" x14ac:dyDescent="0.2">
      <c r="B42" s="470">
        <v>300000</v>
      </c>
      <c r="C42" s="470">
        <v>24</v>
      </c>
      <c r="D42" s="470">
        <v>28</v>
      </c>
      <c r="E42" s="470">
        <v>28</v>
      </c>
      <c r="F42" s="470">
        <v>32</v>
      </c>
      <c r="G42" s="470">
        <v>32</v>
      </c>
      <c r="H42" s="470">
        <v>37</v>
      </c>
    </row>
    <row r="43" spans="2:12" x14ac:dyDescent="0.2">
      <c r="B43" s="470">
        <v>350000</v>
      </c>
      <c r="C43" s="470">
        <v>27</v>
      </c>
      <c r="D43" s="470">
        <v>31</v>
      </c>
      <c r="E43" s="470">
        <v>31</v>
      </c>
      <c r="F43" s="470">
        <v>36</v>
      </c>
      <c r="G43" s="470">
        <v>36</v>
      </c>
      <c r="H43" s="470">
        <v>41</v>
      </c>
    </row>
    <row r="44" spans="2:12" x14ac:dyDescent="0.2">
      <c r="B44" s="470">
        <v>400000</v>
      </c>
      <c r="C44" s="470">
        <v>29</v>
      </c>
      <c r="D44" s="470">
        <v>34</v>
      </c>
      <c r="E44" s="470">
        <v>34</v>
      </c>
      <c r="F44" s="470">
        <v>39</v>
      </c>
      <c r="G44" s="470">
        <v>39</v>
      </c>
      <c r="H44" s="470">
        <v>45</v>
      </c>
    </row>
    <row r="45" spans="2:12" x14ac:dyDescent="0.2">
      <c r="B45" s="470">
        <v>500000</v>
      </c>
      <c r="C45" s="470">
        <v>34</v>
      </c>
      <c r="D45" s="470">
        <v>39</v>
      </c>
      <c r="E45" s="470">
        <v>39</v>
      </c>
      <c r="F45" s="470">
        <v>45</v>
      </c>
      <c r="G45" s="470">
        <v>45</v>
      </c>
      <c r="H45" s="470">
        <v>52</v>
      </c>
    </row>
    <row r="46" spans="2:12" x14ac:dyDescent="0.2">
      <c r="B46" s="470">
        <v>600000</v>
      </c>
      <c r="C46" s="470">
        <v>38</v>
      </c>
      <c r="D46" s="470">
        <v>44</v>
      </c>
      <c r="E46" s="470">
        <v>44</v>
      </c>
      <c r="F46" s="470">
        <v>51</v>
      </c>
      <c r="G46" s="470">
        <v>51</v>
      </c>
      <c r="H46" s="470">
        <v>58</v>
      </c>
    </row>
    <row r="47" spans="2:12" x14ac:dyDescent="0.2">
      <c r="B47" s="470">
        <v>750000</v>
      </c>
      <c r="C47" s="470">
        <v>44</v>
      </c>
      <c r="D47" s="470">
        <v>51</v>
      </c>
      <c r="E47" s="470">
        <v>51</v>
      </c>
      <c r="F47" s="470">
        <v>59</v>
      </c>
      <c r="G47" s="470">
        <v>59</v>
      </c>
      <c r="H47" s="470">
        <v>67</v>
      </c>
    </row>
    <row r="48" spans="2:12" x14ac:dyDescent="0.2">
      <c r="B48" s="470">
        <v>1000000</v>
      </c>
      <c r="C48" s="470">
        <v>54</v>
      </c>
      <c r="D48" s="470">
        <v>62</v>
      </c>
      <c r="E48" s="470">
        <v>62</v>
      </c>
      <c r="F48" s="470">
        <v>71</v>
      </c>
      <c r="G48" s="470">
        <v>71</v>
      </c>
      <c r="H48" s="470">
        <v>81</v>
      </c>
    </row>
    <row r="49" spans="2:12" x14ac:dyDescent="0.2">
      <c r="B49" s="470">
        <v>1250000</v>
      </c>
      <c r="C49" s="470">
        <v>62</v>
      </c>
      <c r="D49" s="470">
        <v>71</v>
      </c>
      <c r="E49" s="470">
        <v>71</v>
      </c>
      <c r="F49" s="470">
        <v>82</v>
      </c>
      <c r="G49" s="470">
        <v>82</v>
      </c>
      <c r="H49" s="470">
        <v>94</v>
      </c>
    </row>
    <row r="50" spans="2:12" x14ac:dyDescent="0.2">
      <c r="B50" s="470">
        <v>1500000</v>
      </c>
      <c r="C50" s="470">
        <v>70</v>
      </c>
      <c r="D50" s="470">
        <v>80</v>
      </c>
      <c r="E50" s="470">
        <v>80</v>
      </c>
      <c r="F50" s="470">
        <v>92</v>
      </c>
      <c r="G50" s="470">
        <v>92</v>
      </c>
      <c r="H50" s="470">
        <v>106</v>
      </c>
    </row>
    <row r="51" spans="2:12" x14ac:dyDescent="0.2">
      <c r="B51" s="470">
        <v>2000000</v>
      </c>
      <c r="C51" s="470">
        <v>85</v>
      </c>
      <c r="D51" s="470">
        <v>97</v>
      </c>
      <c r="E51" s="470">
        <v>97</v>
      </c>
      <c r="F51" s="470">
        <v>112</v>
      </c>
      <c r="G51" s="470">
        <v>112</v>
      </c>
      <c r="H51" s="470">
        <v>128</v>
      </c>
    </row>
    <row r="52" spans="2:12" x14ac:dyDescent="0.2">
      <c r="B52" s="470">
        <v>2500000</v>
      </c>
      <c r="C52" s="470">
        <v>98</v>
      </c>
      <c r="D52" s="470">
        <v>112</v>
      </c>
      <c r="E52" s="470">
        <v>112</v>
      </c>
      <c r="F52" s="470">
        <v>129</v>
      </c>
      <c r="G52" s="470">
        <v>129</v>
      </c>
      <c r="H52" s="470">
        <v>149</v>
      </c>
    </row>
    <row r="53" spans="2:12" x14ac:dyDescent="0.2">
      <c r="B53" s="470">
        <v>3500000</v>
      </c>
      <c r="C53" s="470">
        <v>122</v>
      </c>
      <c r="D53" s="470">
        <v>140</v>
      </c>
      <c r="E53" s="470">
        <v>140</v>
      </c>
      <c r="F53" s="470">
        <v>161</v>
      </c>
      <c r="G53" s="470">
        <v>161</v>
      </c>
      <c r="H53" s="470">
        <v>185</v>
      </c>
    </row>
    <row r="54" spans="2:12" x14ac:dyDescent="0.2">
      <c r="B54" s="470">
        <v>5000000</v>
      </c>
      <c r="C54" s="470">
        <v>154</v>
      </c>
      <c r="D54" s="470">
        <v>177</v>
      </c>
      <c r="E54" s="470">
        <v>177</v>
      </c>
      <c r="F54" s="470">
        <v>204</v>
      </c>
      <c r="G54" s="470">
        <v>204</v>
      </c>
      <c r="H54" s="470">
        <v>234</v>
      </c>
    </row>
    <row r="55" spans="2:12" x14ac:dyDescent="0.2">
      <c r="B55" s="470">
        <v>7500000</v>
      </c>
      <c r="C55" s="470">
        <v>201</v>
      </c>
      <c r="D55" s="470">
        <v>231</v>
      </c>
      <c r="E55" s="470">
        <v>231</v>
      </c>
      <c r="F55" s="470">
        <v>266</v>
      </c>
      <c r="G55" s="470">
        <v>266</v>
      </c>
      <c r="H55" s="470">
        <v>306</v>
      </c>
    </row>
    <row r="56" spans="2:12" x14ac:dyDescent="0.2">
      <c r="B56" s="470">
        <v>10000000</v>
      </c>
      <c r="C56" s="470">
        <v>243</v>
      </c>
      <c r="D56" s="470">
        <v>279</v>
      </c>
      <c r="E56" s="470">
        <v>279</v>
      </c>
      <c r="F56" s="470">
        <v>321</v>
      </c>
      <c r="G56" s="470">
        <v>321</v>
      </c>
      <c r="H56" s="470">
        <v>370</v>
      </c>
    </row>
    <row r="57" spans="2:12" x14ac:dyDescent="0.2">
      <c r="B57" s="470">
        <v>15000000</v>
      </c>
      <c r="C57" s="470">
        <v>318</v>
      </c>
      <c r="D57" s="470">
        <v>365</v>
      </c>
      <c r="E57" s="470">
        <v>365</v>
      </c>
      <c r="F57" s="470">
        <v>420</v>
      </c>
      <c r="G57" s="470">
        <v>420</v>
      </c>
      <c r="H57" s="470">
        <v>483</v>
      </c>
    </row>
    <row r="58" spans="2:12" x14ac:dyDescent="0.2">
      <c r="B58" s="470">
        <v>20000000</v>
      </c>
      <c r="C58" s="470">
        <v>384</v>
      </c>
      <c r="D58" s="470">
        <v>441</v>
      </c>
      <c r="E58" s="470">
        <v>441</v>
      </c>
      <c r="F58" s="470">
        <v>507</v>
      </c>
      <c r="G58" s="470">
        <v>507</v>
      </c>
      <c r="H58" s="470">
        <v>583</v>
      </c>
    </row>
    <row r="59" spans="2:12" x14ac:dyDescent="0.2">
      <c r="B59" s="470">
        <v>25000000</v>
      </c>
      <c r="C59" s="470">
        <v>445</v>
      </c>
      <c r="D59" s="470">
        <v>511</v>
      </c>
      <c r="E59" s="470">
        <v>511</v>
      </c>
      <c r="F59" s="470">
        <v>588</v>
      </c>
      <c r="G59" s="470">
        <v>588</v>
      </c>
      <c r="H59" s="470">
        <v>675</v>
      </c>
    </row>
    <row r="60" spans="2:12" s="2" customFormat="1" x14ac:dyDescent="0.2">
      <c r="B60" s="470">
        <v>50000000</v>
      </c>
      <c r="C60" s="470">
        <v>748</v>
      </c>
      <c r="D60" s="470">
        <v>850.00000000000011</v>
      </c>
      <c r="E60" s="470">
        <v>850.00000000000011</v>
      </c>
      <c r="F60" s="470">
        <v>986.00000000000011</v>
      </c>
      <c r="G60" s="470">
        <v>986.00000000000011</v>
      </c>
      <c r="H60" s="470">
        <v>1122</v>
      </c>
      <c r="I60" s="98"/>
      <c r="J60" s="98"/>
      <c r="K60" s="98"/>
      <c r="L60" s="98"/>
    </row>
    <row r="61" spans="2:12" s="2" customFormat="1" x14ac:dyDescent="0.2">
      <c r="B61" s="470">
        <v>100000000</v>
      </c>
      <c r="C61" s="470">
        <v>1144</v>
      </c>
      <c r="D61" s="470">
        <v>1300</v>
      </c>
      <c r="E61" s="470">
        <v>1300</v>
      </c>
      <c r="F61" s="470">
        <v>1508</v>
      </c>
      <c r="G61" s="470">
        <v>1508</v>
      </c>
      <c r="H61" s="470">
        <v>1716</v>
      </c>
      <c r="I61" s="98"/>
      <c r="J61" s="98"/>
      <c r="K61" s="98"/>
      <c r="L61" s="98"/>
    </row>
    <row r="62" spans="2:12" s="2" customFormat="1" x14ac:dyDescent="0.2">
      <c r="B62" s="470">
        <v>150000000</v>
      </c>
      <c r="C62" s="470">
        <v>1320</v>
      </c>
      <c r="D62" s="470">
        <v>1500</v>
      </c>
      <c r="E62" s="470">
        <v>1500</v>
      </c>
      <c r="F62" s="470">
        <v>1740</v>
      </c>
      <c r="G62" s="470">
        <v>1740</v>
      </c>
      <c r="H62" s="470">
        <v>1980</v>
      </c>
      <c r="I62" s="98"/>
      <c r="J62" s="98"/>
      <c r="K62" s="98"/>
      <c r="L62" s="98"/>
    </row>
    <row r="63" spans="2:12" s="2" customFormat="1" x14ac:dyDescent="0.2">
      <c r="B63" s="470">
        <v>200000000</v>
      </c>
      <c r="C63" s="470">
        <v>1408</v>
      </c>
      <c r="D63" s="470">
        <v>1600</v>
      </c>
      <c r="E63" s="470">
        <v>1600</v>
      </c>
      <c r="F63" s="470">
        <v>1856</v>
      </c>
      <c r="G63" s="470">
        <v>1856</v>
      </c>
      <c r="H63" s="470">
        <v>2112</v>
      </c>
      <c r="I63" s="98"/>
      <c r="J63" s="98"/>
      <c r="K63" s="98"/>
      <c r="L63" s="98"/>
    </row>
    <row r="66" spans="2:12" ht="14.25" x14ac:dyDescent="0.2">
      <c r="C66" s="97"/>
    </row>
    <row r="67" spans="2:12" s="99" customFormat="1" ht="25.5" x14ac:dyDescent="0.2">
      <c r="B67" s="6" t="s">
        <v>425</v>
      </c>
      <c r="C67" s="4"/>
      <c r="D67" s="4"/>
      <c r="E67" s="4"/>
      <c r="F67" s="4"/>
      <c r="G67" s="4"/>
      <c r="H67" s="4"/>
      <c r="I67" s="5"/>
      <c r="J67" s="5"/>
      <c r="K67" s="5"/>
      <c r="L67" s="5"/>
    </row>
    <row r="68" spans="2:12" ht="14.25" x14ac:dyDescent="0.25">
      <c r="B68" s="10"/>
      <c r="C68" s="8"/>
      <c r="D68" s="8"/>
      <c r="E68" s="8"/>
      <c r="F68" s="8"/>
      <c r="G68" s="8"/>
      <c r="H68" s="8"/>
      <c r="I68" s="9"/>
      <c r="J68" s="9"/>
      <c r="K68" s="9"/>
      <c r="L68" s="9"/>
    </row>
    <row r="69" spans="2:12" ht="13.5" customHeight="1" x14ac:dyDescent="0.25">
      <c r="B69" s="7"/>
      <c r="C69" s="7"/>
      <c r="D69" s="7"/>
      <c r="E69" s="7"/>
      <c r="F69" s="7"/>
      <c r="G69" s="7"/>
      <c r="H69" s="7"/>
    </row>
    <row r="70" spans="2:12" ht="12.75" customHeight="1" x14ac:dyDescent="0.2">
      <c r="B70" s="1127" t="s">
        <v>91</v>
      </c>
      <c r="C70" s="109" t="s">
        <v>92</v>
      </c>
      <c r="D70" s="109"/>
      <c r="E70" s="109" t="s">
        <v>93</v>
      </c>
      <c r="F70" s="109"/>
      <c r="G70" s="109" t="s">
        <v>94</v>
      </c>
      <c r="H70" s="109"/>
      <c r="I70" s="109" t="s">
        <v>95</v>
      </c>
      <c r="J70" s="109"/>
      <c r="K70" s="109" t="s">
        <v>96</v>
      </c>
      <c r="L70" s="109"/>
    </row>
    <row r="71" spans="2:12" x14ac:dyDescent="0.2">
      <c r="B71" s="1128"/>
      <c r="C71" s="348" t="s">
        <v>97</v>
      </c>
      <c r="D71" s="348"/>
      <c r="E71" s="348" t="s">
        <v>98</v>
      </c>
      <c r="F71" s="348"/>
      <c r="G71" s="348" t="s">
        <v>99</v>
      </c>
      <c r="H71" s="348"/>
      <c r="I71" s="348" t="s">
        <v>100</v>
      </c>
      <c r="J71" s="348"/>
      <c r="K71" s="348" t="s">
        <v>101</v>
      </c>
      <c r="L71" s="348"/>
    </row>
    <row r="72" spans="2:12" x14ac:dyDescent="0.2">
      <c r="B72" s="349"/>
      <c r="C72" s="349"/>
      <c r="D72" s="349"/>
      <c r="E72" s="349"/>
      <c r="F72" s="349"/>
      <c r="G72" s="349"/>
      <c r="H72" s="349"/>
      <c r="I72" s="349"/>
      <c r="J72" s="349"/>
      <c r="K72" s="349"/>
      <c r="L72" s="349"/>
    </row>
    <row r="73" spans="2:12" x14ac:dyDescent="0.2">
      <c r="B73" s="470">
        <v>50000</v>
      </c>
      <c r="C73" s="470">
        <v>21</v>
      </c>
      <c r="D73" s="470">
        <v>28</v>
      </c>
      <c r="E73" s="470">
        <v>28</v>
      </c>
      <c r="F73" s="470">
        <v>34</v>
      </c>
      <c r="G73" s="470">
        <v>34</v>
      </c>
      <c r="H73" s="470">
        <v>41</v>
      </c>
      <c r="I73" s="470">
        <v>41</v>
      </c>
      <c r="J73" s="470">
        <v>47</v>
      </c>
      <c r="K73" s="470">
        <v>47</v>
      </c>
      <c r="L73" s="470">
        <v>54</v>
      </c>
    </row>
    <row r="74" spans="2:12" x14ac:dyDescent="0.2">
      <c r="B74" s="470">
        <v>75000</v>
      </c>
      <c r="C74" s="470">
        <v>23</v>
      </c>
      <c r="D74" s="470">
        <v>29</v>
      </c>
      <c r="E74" s="470">
        <v>29</v>
      </c>
      <c r="F74" s="470">
        <v>36</v>
      </c>
      <c r="G74" s="470">
        <v>36</v>
      </c>
      <c r="H74" s="470">
        <v>43</v>
      </c>
      <c r="I74" s="470">
        <v>43</v>
      </c>
      <c r="J74" s="470">
        <v>50</v>
      </c>
      <c r="K74" s="470">
        <v>50</v>
      </c>
      <c r="L74" s="470">
        <v>57</v>
      </c>
    </row>
    <row r="75" spans="2:12" x14ac:dyDescent="0.2">
      <c r="B75" s="470">
        <v>100000</v>
      </c>
      <c r="C75" s="470">
        <v>24</v>
      </c>
      <c r="D75" s="470">
        <v>31</v>
      </c>
      <c r="E75" s="470">
        <v>31</v>
      </c>
      <c r="F75" s="470">
        <v>38</v>
      </c>
      <c r="G75" s="470">
        <v>38</v>
      </c>
      <c r="H75" s="470">
        <v>45</v>
      </c>
      <c r="I75" s="470">
        <v>45</v>
      </c>
      <c r="J75" s="470">
        <v>52</v>
      </c>
      <c r="K75" s="470">
        <v>52</v>
      </c>
      <c r="L75" s="470">
        <v>59</v>
      </c>
    </row>
    <row r="76" spans="2:12" x14ac:dyDescent="0.2">
      <c r="B76" s="470">
        <v>150000</v>
      </c>
      <c r="C76" s="470">
        <v>26</v>
      </c>
      <c r="D76" s="470">
        <v>33</v>
      </c>
      <c r="E76" s="470">
        <v>33</v>
      </c>
      <c r="F76" s="470">
        <v>41</v>
      </c>
      <c r="G76" s="470">
        <v>41</v>
      </c>
      <c r="H76" s="470">
        <v>49</v>
      </c>
      <c r="I76" s="470">
        <v>49</v>
      </c>
      <c r="J76" s="470">
        <v>57</v>
      </c>
      <c r="K76" s="470">
        <v>57</v>
      </c>
      <c r="L76" s="470">
        <v>65</v>
      </c>
    </row>
    <row r="77" spans="2:12" x14ac:dyDescent="0.2">
      <c r="B77" s="470">
        <v>200000</v>
      </c>
      <c r="C77" s="470">
        <v>28</v>
      </c>
      <c r="D77" s="470">
        <v>36</v>
      </c>
      <c r="E77" s="470">
        <v>36</v>
      </c>
      <c r="F77" s="470">
        <v>44</v>
      </c>
      <c r="G77" s="470">
        <v>44</v>
      </c>
      <c r="H77" s="470">
        <v>53</v>
      </c>
      <c r="I77" s="470">
        <v>53</v>
      </c>
      <c r="J77" s="470">
        <v>61</v>
      </c>
      <c r="K77" s="470">
        <v>61</v>
      </c>
      <c r="L77" s="470">
        <v>70</v>
      </c>
    </row>
    <row r="78" spans="2:12" x14ac:dyDescent="0.2">
      <c r="B78" s="470">
        <v>250000</v>
      </c>
      <c r="C78" s="470">
        <v>30</v>
      </c>
      <c r="D78" s="470">
        <v>39</v>
      </c>
      <c r="E78" s="470">
        <v>39</v>
      </c>
      <c r="F78" s="470">
        <v>48</v>
      </c>
      <c r="G78" s="470">
        <v>48</v>
      </c>
      <c r="H78" s="470">
        <v>57</v>
      </c>
      <c r="I78" s="470">
        <v>57</v>
      </c>
      <c r="J78" s="470">
        <v>66</v>
      </c>
      <c r="K78" s="470">
        <v>66</v>
      </c>
      <c r="L78" s="470">
        <v>75</v>
      </c>
    </row>
    <row r="79" spans="2:12" x14ac:dyDescent="0.2">
      <c r="B79" s="470">
        <v>300000</v>
      </c>
      <c r="C79" s="470">
        <v>32</v>
      </c>
      <c r="D79" s="470">
        <v>41</v>
      </c>
      <c r="E79" s="470">
        <v>41</v>
      </c>
      <c r="F79" s="470">
        <v>51</v>
      </c>
      <c r="G79" s="470">
        <v>51</v>
      </c>
      <c r="H79" s="470">
        <v>61</v>
      </c>
      <c r="I79" s="470">
        <v>61</v>
      </c>
      <c r="J79" s="470">
        <v>70</v>
      </c>
      <c r="K79" s="470">
        <v>70</v>
      </c>
      <c r="L79" s="470">
        <v>80</v>
      </c>
    </row>
    <row r="80" spans="2:12" x14ac:dyDescent="0.2">
      <c r="B80" s="470">
        <v>400000</v>
      </c>
      <c r="C80" s="470">
        <v>36</v>
      </c>
      <c r="D80" s="470">
        <v>46</v>
      </c>
      <c r="E80" s="470">
        <v>46</v>
      </c>
      <c r="F80" s="470">
        <v>57</v>
      </c>
      <c r="G80" s="470">
        <v>57</v>
      </c>
      <c r="H80" s="470">
        <v>68</v>
      </c>
      <c r="I80" s="470">
        <v>68</v>
      </c>
      <c r="J80" s="470">
        <v>79</v>
      </c>
      <c r="K80" s="470">
        <v>79</v>
      </c>
      <c r="L80" s="470">
        <v>89</v>
      </c>
    </row>
    <row r="81" spans="2:12" x14ac:dyDescent="0.2">
      <c r="B81" s="470">
        <v>500000</v>
      </c>
      <c r="C81" s="470">
        <v>39</v>
      </c>
      <c r="D81" s="470">
        <v>51</v>
      </c>
      <c r="E81" s="470">
        <v>51</v>
      </c>
      <c r="F81" s="470">
        <v>63</v>
      </c>
      <c r="G81" s="470">
        <v>63</v>
      </c>
      <c r="H81" s="470">
        <v>75</v>
      </c>
      <c r="I81" s="470">
        <v>75</v>
      </c>
      <c r="J81" s="470">
        <v>87</v>
      </c>
      <c r="K81" s="470">
        <v>87</v>
      </c>
      <c r="L81" s="470">
        <v>99</v>
      </c>
    </row>
    <row r="82" spans="2:12" x14ac:dyDescent="0.2">
      <c r="B82" s="470">
        <v>750000</v>
      </c>
      <c r="C82" s="470">
        <v>48</v>
      </c>
      <c r="D82" s="470">
        <v>63</v>
      </c>
      <c r="E82" s="470">
        <v>63</v>
      </c>
      <c r="F82" s="470">
        <v>77</v>
      </c>
      <c r="G82" s="470">
        <v>77</v>
      </c>
      <c r="H82" s="470">
        <v>92</v>
      </c>
      <c r="I82" s="470">
        <v>92</v>
      </c>
      <c r="J82" s="470">
        <v>107</v>
      </c>
      <c r="K82" s="470">
        <v>107</v>
      </c>
      <c r="L82" s="470">
        <v>121</v>
      </c>
    </row>
    <row r="83" spans="2:12" x14ac:dyDescent="0.2">
      <c r="B83" s="470">
        <v>1000000</v>
      </c>
      <c r="C83" s="470">
        <v>57</v>
      </c>
      <c r="D83" s="470">
        <v>74</v>
      </c>
      <c r="E83" s="470">
        <v>74</v>
      </c>
      <c r="F83" s="470">
        <v>91</v>
      </c>
      <c r="G83" s="470">
        <v>91</v>
      </c>
      <c r="H83" s="470">
        <v>109</v>
      </c>
      <c r="I83" s="470">
        <v>109</v>
      </c>
      <c r="J83" s="470">
        <v>126</v>
      </c>
      <c r="K83" s="470">
        <v>126</v>
      </c>
      <c r="L83" s="470">
        <v>143</v>
      </c>
    </row>
    <row r="84" spans="2:12" x14ac:dyDescent="0.2">
      <c r="B84" s="470">
        <v>1500000</v>
      </c>
      <c r="C84" s="470">
        <v>74</v>
      </c>
      <c r="D84" s="470">
        <v>96</v>
      </c>
      <c r="E84" s="470">
        <v>96</v>
      </c>
      <c r="F84" s="470">
        <v>118</v>
      </c>
      <c r="G84" s="470">
        <v>118</v>
      </c>
      <c r="H84" s="470">
        <v>141</v>
      </c>
      <c r="I84" s="470">
        <v>141</v>
      </c>
      <c r="J84" s="470">
        <v>163</v>
      </c>
      <c r="K84" s="470">
        <v>163</v>
      </c>
      <c r="L84" s="470">
        <v>185</v>
      </c>
    </row>
    <row r="85" spans="2:12" x14ac:dyDescent="0.2">
      <c r="B85" s="470">
        <v>2000000</v>
      </c>
      <c r="C85" s="470">
        <v>90</v>
      </c>
      <c r="D85" s="470">
        <v>117</v>
      </c>
      <c r="E85" s="470">
        <v>117</v>
      </c>
      <c r="F85" s="470">
        <v>144</v>
      </c>
      <c r="G85" s="470">
        <v>144</v>
      </c>
      <c r="H85" s="470">
        <v>172</v>
      </c>
      <c r="I85" s="470">
        <v>172</v>
      </c>
      <c r="J85" s="470">
        <v>199</v>
      </c>
      <c r="K85" s="470">
        <v>199</v>
      </c>
      <c r="L85" s="470">
        <v>226</v>
      </c>
    </row>
    <row r="86" spans="2:12" x14ac:dyDescent="0.2">
      <c r="B86" s="470">
        <v>2500000</v>
      </c>
      <c r="C86" s="470">
        <v>106</v>
      </c>
      <c r="D86" s="470">
        <v>137</v>
      </c>
      <c r="E86" s="470">
        <v>137</v>
      </c>
      <c r="F86" s="470">
        <v>169</v>
      </c>
      <c r="G86" s="470">
        <v>169</v>
      </c>
      <c r="H86" s="470">
        <v>202</v>
      </c>
      <c r="I86" s="470">
        <v>202</v>
      </c>
      <c r="J86" s="470">
        <v>234</v>
      </c>
      <c r="K86" s="470">
        <v>234</v>
      </c>
      <c r="L86" s="470">
        <v>265</v>
      </c>
    </row>
    <row r="87" spans="2:12" x14ac:dyDescent="0.2">
      <c r="B87" s="470">
        <v>3000000</v>
      </c>
      <c r="C87" s="470">
        <v>121</v>
      </c>
      <c r="D87" s="470">
        <v>157</v>
      </c>
      <c r="E87" s="470">
        <v>157</v>
      </c>
      <c r="F87" s="470">
        <v>193</v>
      </c>
      <c r="G87" s="470">
        <v>193</v>
      </c>
      <c r="H87" s="470">
        <v>232</v>
      </c>
      <c r="I87" s="470">
        <v>232</v>
      </c>
      <c r="J87" s="470">
        <v>268</v>
      </c>
      <c r="K87" s="470">
        <v>268</v>
      </c>
      <c r="L87" s="470">
        <v>304</v>
      </c>
    </row>
    <row r="88" spans="2:12" x14ac:dyDescent="0.2">
      <c r="B88" s="470">
        <v>4000000</v>
      </c>
      <c r="C88" s="470">
        <v>151</v>
      </c>
      <c r="D88" s="470">
        <v>197</v>
      </c>
      <c r="E88" s="470">
        <v>197</v>
      </c>
      <c r="F88" s="470">
        <v>242</v>
      </c>
      <c r="G88" s="470">
        <v>242</v>
      </c>
      <c r="H88" s="470">
        <v>290</v>
      </c>
      <c r="I88" s="470">
        <v>290</v>
      </c>
      <c r="J88" s="470">
        <v>335</v>
      </c>
      <c r="K88" s="470">
        <v>335</v>
      </c>
      <c r="L88" s="470">
        <v>380</v>
      </c>
    </row>
    <row r="89" spans="2:12" x14ac:dyDescent="0.2">
      <c r="B89" s="470">
        <v>5000000</v>
      </c>
      <c r="C89" s="470">
        <v>181</v>
      </c>
      <c r="D89" s="470">
        <v>235</v>
      </c>
      <c r="E89" s="470">
        <v>235</v>
      </c>
      <c r="F89" s="470">
        <v>289</v>
      </c>
      <c r="G89" s="470">
        <v>289</v>
      </c>
      <c r="H89" s="470">
        <v>346</v>
      </c>
      <c r="I89" s="470">
        <v>346</v>
      </c>
      <c r="J89" s="470">
        <v>400</v>
      </c>
      <c r="K89" s="470">
        <v>400</v>
      </c>
      <c r="L89" s="470">
        <v>454</v>
      </c>
    </row>
    <row r="90" spans="2:12" x14ac:dyDescent="0.2">
      <c r="B90" s="470">
        <v>6000000</v>
      </c>
      <c r="C90" s="470">
        <v>210</v>
      </c>
      <c r="D90" s="470">
        <v>272</v>
      </c>
      <c r="E90" s="470">
        <v>272</v>
      </c>
      <c r="F90" s="470">
        <v>335</v>
      </c>
      <c r="G90" s="470">
        <v>335</v>
      </c>
      <c r="H90" s="470">
        <v>401</v>
      </c>
      <c r="I90" s="470">
        <v>401</v>
      </c>
      <c r="J90" s="470">
        <v>464</v>
      </c>
      <c r="K90" s="470">
        <v>464</v>
      </c>
      <c r="L90" s="470">
        <v>526</v>
      </c>
    </row>
    <row r="91" spans="2:12" x14ac:dyDescent="0.2">
      <c r="B91" s="470">
        <v>7000000</v>
      </c>
      <c r="C91" s="470">
        <v>238</v>
      </c>
      <c r="D91" s="470">
        <v>309</v>
      </c>
      <c r="E91" s="470">
        <v>309</v>
      </c>
      <c r="F91" s="470">
        <v>380</v>
      </c>
      <c r="G91" s="470">
        <v>380</v>
      </c>
      <c r="H91" s="470">
        <v>456</v>
      </c>
      <c r="I91" s="470">
        <v>456</v>
      </c>
      <c r="J91" s="470">
        <v>527</v>
      </c>
      <c r="K91" s="470">
        <v>527</v>
      </c>
      <c r="L91" s="470">
        <v>598</v>
      </c>
    </row>
    <row r="92" spans="2:12" x14ac:dyDescent="0.2">
      <c r="B92" s="470">
        <v>7500000</v>
      </c>
      <c r="C92" s="470">
        <v>252</v>
      </c>
      <c r="D92" s="470">
        <v>328</v>
      </c>
      <c r="E92" s="470">
        <v>328</v>
      </c>
      <c r="F92" s="470">
        <v>403</v>
      </c>
      <c r="G92" s="470">
        <v>403</v>
      </c>
      <c r="H92" s="470">
        <v>482</v>
      </c>
      <c r="I92" s="470">
        <v>482</v>
      </c>
      <c r="J92" s="470">
        <v>558</v>
      </c>
      <c r="K92" s="470">
        <v>558</v>
      </c>
      <c r="L92" s="470">
        <v>633</v>
      </c>
    </row>
    <row r="93" spans="2:12" s="2" customFormat="1" x14ac:dyDescent="0.2">
      <c r="B93" s="470">
        <v>10000000</v>
      </c>
      <c r="C93" s="470">
        <v>294</v>
      </c>
      <c r="D93" s="470">
        <v>392.00000000000006</v>
      </c>
      <c r="E93" s="470">
        <v>392.00000000000006</v>
      </c>
      <c r="F93" s="470">
        <v>476.00000000000006</v>
      </c>
      <c r="G93" s="470">
        <v>476.00000000000006</v>
      </c>
      <c r="H93" s="470">
        <v>574</v>
      </c>
      <c r="I93" s="470">
        <v>574</v>
      </c>
      <c r="J93" s="470">
        <v>658.00000000000011</v>
      </c>
      <c r="K93" s="470">
        <v>658.00000000000011</v>
      </c>
      <c r="L93" s="470">
        <v>756.00000000000011</v>
      </c>
    </row>
    <row r="94" spans="2:12" s="2" customFormat="1" x14ac:dyDescent="0.2">
      <c r="B94" s="470">
        <v>15000000</v>
      </c>
      <c r="C94" s="470">
        <v>378</v>
      </c>
      <c r="D94" s="470">
        <v>504</v>
      </c>
      <c r="E94" s="470">
        <v>504</v>
      </c>
      <c r="F94" s="470">
        <v>612</v>
      </c>
      <c r="G94" s="470">
        <v>612</v>
      </c>
      <c r="H94" s="470">
        <v>738</v>
      </c>
      <c r="I94" s="470">
        <v>738</v>
      </c>
      <c r="J94" s="470">
        <v>846</v>
      </c>
      <c r="K94" s="470">
        <v>846</v>
      </c>
      <c r="L94" s="470">
        <v>972</v>
      </c>
    </row>
    <row r="95" spans="2:12" s="2" customFormat="1" x14ac:dyDescent="0.2">
      <c r="B95" s="470">
        <v>20000000</v>
      </c>
      <c r="C95" s="470">
        <v>420</v>
      </c>
      <c r="D95" s="470">
        <v>560</v>
      </c>
      <c r="E95" s="470">
        <v>560</v>
      </c>
      <c r="F95" s="470">
        <v>680</v>
      </c>
      <c r="G95" s="470">
        <v>680</v>
      </c>
      <c r="H95" s="470">
        <v>820</v>
      </c>
      <c r="I95" s="470">
        <v>820</v>
      </c>
      <c r="J95" s="470">
        <v>940</v>
      </c>
      <c r="K95" s="470">
        <v>940</v>
      </c>
      <c r="L95" s="470">
        <v>1080</v>
      </c>
    </row>
    <row r="96" spans="2:12" s="2" customFormat="1" x14ac:dyDescent="0.2">
      <c r="B96" s="470">
        <v>25000000</v>
      </c>
      <c r="C96" s="470">
        <v>446.25000000000006</v>
      </c>
      <c r="D96" s="470">
        <v>595</v>
      </c>
      <c r="E96" s="470">
        <v>595</v>
      </c>
      <c r="F96" s="470">
        <v>722.5</v>
      </c>
      <c r="G96" s="470">
        <v>722.5</v>
      </c>
      <c r="H96" s="470">
        <v>871.25000000000011</v>
      </c>
      <c r="I96" s="470">
        <v>871.25000000000011</v>
      </c>
      <c r="J96" s="470">
        <v>998.75000000000011</v>
      </c>
      <c r="K96" s="470">
        <v>998.75000000000011</v>
      </c>
      <c r="L96" s="470">
        <v>1147.5</v>
      </c>
    </row>
    <row r="99" spans="2:6" ht="14.25" x14ac:dyDescent="0.2">
      <c r="C99" s="97"/>
    </row>
    <row r="100" spans="2:6" s="101" customFormat="1" x14ac:dyDescent="0.2">
      <c r="B100" s="365" t="s">
        <v>426</v>
      </c>
      <c r="C100" s="365"/>
      <c r="D100" s="365"/>
      <c r="E100" s="365"/>
      <c r="F100" s="365"/>
    </row>
    <row r="101" spans="2:6" s="101" customFormat="1" x14ac:dyDescent="0.2">
      <c r="B101" s="350" t="s">
        <v>127</v>
      </c>
      <c r="C101" s="355"/>
      <c r="D101" s="355"/>
      <c r="E101" s="356"/>
      <c r="F101" s="357">
        <f>'OSNOVNI PODATKI'!C248</f>
        <v>2956950</v>
      </c>
    </row>
    <row r="102" spans="2:6" s="101" customFormat="1" x14ac:dyDescent="0.2">
      <c r="B102" s="351" t="s">
        <v>150</v>
      </c>
      <c r="C102" s="358"/>
      <c r="D102" s="358"/>
      <c r="E102" s="359"/>
      <c r="F102" s="360" t="str">
        <f>'OSNOVNI PODATKI'!D248</f>
        <v>Cenovni razred III</v>
      </c>
    </row>
    <row r="103" spans="2:6" s="101" customFormat="1" x14ac:dyDescent="0.2">
      <c r="B103" s="110" t="s">
        <v>33</v>
      </c>
      <c r="C103" s="358"/>
      <c r="D103" s="109"/>
      <c r="E103" s="109"/>
      <c r="F103" s="109">
        <f>IFERROR(MATCH(F102,C4:L4),"/")</f>
        <v>5</v>
      </c>
    </row>
    <row r="104" spans="2:6" s="101" customFormat="1" x14ac:dyDescent="0.2">
      <c r="B104" s="110" t="s">
        <v>151</v>
      </c>
      <c r="C104" s="358"/>
      <c r="D104" s="109"/>
      <c r="E104" s="109"/>
      <c r="F104" s="109">
        <f>IFERROR(F103+1,"/")</f>
        <v>6</v>
      </c>
    </row>
    <row r="105" spans="2:6" s="101" customFormat="1" x14ac:dyDescent="0.2">
      <c r="B105" s="110" t="s">
        <v>34</v>
      </c>
      <c r="C105" s="358"/>
      <c r="D105" s="109"/>
      <c r="E105" s="109"/>
      <c r="F105" s="109">
        <f>IF(OR(F101&gt;B30,F101&lt;B7),"/",IFERROR(MATCH(F101,B7:B30),"/"))</f>
        <v>13</v>
      </c>
    </row>
    <row r="106" spans="2:6" s="101" customFormat="1" x14ac:dyDescent="0.2">
      <c r="B106" s="110" t="s">
        <v>35</v>
      </c>
      <c r="C106" s="358"/>
      <c r="D106" s="109"/>
      <c r="E106" s="109"/>
      <c r="F106" s="109">
        <f>IFERROR(F105+1,"/")</f>
        <v>14</v>
      </c>
    </row>
    <row r="107" spans="2:6" s="101" customFormat="1" x14ac:dyDescent="0.2">
      <c r="B107" s="110" t="s">
        <v>153</v>
      </c>
      <c r="C107" s="358"/>
      <c r="D107" s="109"/>
      <c r="E107" s="109"/>
      <c r="F107" s="109">
        <f>IFERROR(INDEX($C$7:$L$30,F105,F103),0)</f>
        <v>72</v>
      </c>
    </row>
    <row r="108" spans="2:6" s="101" customFormat="1" x14ac:dyDescent="0.2">
      <c r="B108" s="110" t="s">
        <v>110</v>
      </c>
      <c r="C108" s="358"/>
      <c r="D108" s="109"/>
      <c r="E108" s="109"/>
      <c r="F108" s="109">
        <f>IFERROR(INDEX($C$7:$L$30,F106,F103),0)</f>
        <v>91</v>
      </c>
    </row>
    <row r="109" spans="2:6" s="101" customFormat="1" x14ac:dyDescent="0.2">
      <c r="B109" s="110" t="s">
        <v>122</v>
      </c>
      <c r="C109" s="358"/>
      <c r="D109" s="109"/>
      <c r="E109" s="109"/>
      <c r="F109" s="109">
        <f>IFERROR(INDEX($B$7:$B$30,F105),0)</f>
        <v>2500000</v>
      </c>
    </row>
    <row r="110" spans="2:6" s="101" customFormat="1" x14ac:dyDescent="0.2">
      <c r="B110" s="110" t="s">
        <v>154</v>
      </c>
      <c r="C110" s="358"/>
      <c r="D110" s="109"/>
      <c r="E110" s="109"/>
      <c r="F110" s="109">
        <f>IFERROR(INDEX($B$7:$B$30,F106),0)</f>
        <v>3500000</v>
      </c>
    </row>
    <row r="111" spans="2:6" s="101" customFormat="1" x14ac:dyDescent="0.2">
      <c r="B111" s="110" t="s">
        <v>155</v>
      </c>
      <c r="C111" s="358"/>
      <c r="D111" s="109"/>
      <c r="E111" s="109"/>
      <c r="F111" s="109">
        <f>IFERROR(FORECAST(F101,F107:F108,F109:F110),0)</f>
        <v>80.682050000000004</v>
      </c>
    </row>
    <row r="112" spans="2:6" x14ac:dyDescent="0.2">
      <c r="B112" s="353"/>
      <c r="C112" s="101"/>
      <c r="D112" s="102"/>
      <c r="E112" s="102"/>
      <c r="F112" s="108">
        <f>IF(F105="/","NI DOLOČENO",F111)</f>
        <v>80.682050000000004</v>
      </c>
    </row>
    <row r="113" spans="1:7" s="101" customFormat="1" x14ac:dyDescent="0.2">
      <c r="B113" s="353"/>
      <c r="D113" s="102"/>
      <c r="E113" s="102"/>
      <c r="F113" s="102"/>
    </row>
    <row r="114" spans="1:7" s="101" customFormat="1" x14ac:dyDescent="0.2">
      <c r="B114" s="361" t="s">
        <v>152</v>
      </c>
      <c r="C114" s="355"/>
      <c r="D114" s="362"/>
      <c r="E114" s="362"/>
      <c r="F114" s="362">
        <f>IFERROR(INDEX($C$7:$L$30,F105,F104),0)</f>
        <v>88</v>
      </c>
    </row>
    <row r="115" spans="1:7" s="101" customFormat="1" x14ac:dyDescent="0.2">
      <c r="B115" s="110" t="s">
        <v>110</v>
      </c>
      <c r="C115" s="358"/>
      <c r="D115" s="109"/>
      <c r="E115" s="109"/>
      <c r="F115" s="109">
        <f>IFERROR(INDEX($C$7:$L$30,F106,F104),0)</f>
        <v>111</v>
      </c>
    </row>
    <row r="116" spans="1:7" s="101" customFormat="1" x14ac:dyDescent="0.2">
      <c r="B116" s="110" t="s">
        <v>156</v>
      </c>
      <c r="C116" s="358"/>
      <c r="D116" s="109"/>
      <c r="E116" s="109"/>
      <c r="F116" s="109">
        <f>IFERROR(FORECAST(F101,F114:F115,F109:F110),0)</f>
        <v>98.50985</v>
      </c>
    </row>
    <row r="117" spans="1:7" x14ac:dyDescent="0.2">
      <c r="B117" s="102"/>
      <c r="C117" s="101"/>
      <c r="D117" s="102"/>
      <c r="E117" s="102"/>
      <c r="F117" s="108">
        <f>IF(F105="/","NI DOLOČENO",F116)</f>
        <v>98.50985</v>
      </c>
    </row>
    <row r="118" spans="1:7" ht="14.25" x14ac:dyDescent="0.2">
      <c r="B118" s="97"/>
    </row>
    <row r="120" spans="1:7" s="14" customFormat="1" ht="14.25" x14ac:dyDescent="0.2">
      <c r="A120" s="98"/>
      <c r="B120" s="98"/>
      <c r="C120" s="98"/>
      <c r="D120" s="98"/>
      <c r="E120" s="98"/>
      <c r="F120" s="98"/>
      <c r="G120" s="98"/>
    </row>
    <row r="121" spans="1:7" s="101" customFormat="1" x14ac:dyDescent="0.2">
      <c r="B121" s="365" t="s">
        <v>422</v>
      </c>
      <c r="C121" s="365"/>
      <c r="D121" s="365"/>
      <c r="E121" s="365"/>
      <c r="F121" s="365"/>
    </row>
    <row r="122" spans="1:7" s="101" customFormat="1" x14ac:dyDescent="0.2">
      <c r="B122" s="350" t="s">
        <v>127</v>
      </c>
      <c r="C122" s="355"/>
      <c r="D122" s="355"/>
      <c r="E122" s="356"/>
      <c r="F122" s="357">
        <f>'OSNOVNI PODATKI'!C249</f>
        <v>2385000</v>
      </c>
    </row>
    <row r="123" spans="1:7" s="101" customFormat="1" x14ac:dyDescent="0.2">
      <c r="B123" s="351" t="s">
        <v>150</v>
      </c>
      <c r="C123" s="358"/>
      <c r="D123" s="358"/>
      <c r="E123" s="359"/>
      <c r="F123" s="360" t="str">
        <f>'OSNOVNI PODATKI'!D249</f>
        <v>Cenovni razred II</v>
      </c>
    </row>
    <row r="124" spans="1:7" s="101" customFormat="1" x14ac:dyDescent="0.2">
      <c r="B124" s="110" t="s">
        <v>33</v>
      </c>
      <c r="C124" s="358"/>
      <c r="D124" s="109"/>
      <c r="E124" s="109"/>
      <c r="F124" s="109">
        <f>IFERROR(MATCH(F123,C37:H37),"/")</f>
        <v>3</v>
      </c>
    </row>
    <row r="125" spans="1:7" s="101" customFormat="1" x14ac:dyDescent="0.2">
      <c r="B125" s="110" t="s">
        <v>151</v>
      </c>
      <c r="C125" s="358"/>
      <c r="D125" s="109"/>
      <c r="E125" s="109"/>
      <c r="F125" s="109">
        <f>IFERROR(F124+1,"/")</f>
        <v>4</v>
      </c>
    </row>
    <row r="126" spans="1:7" s="101" customFormat="1" x14ac:dyDescent="0.2">
      <c r="B126" s="110" t="s">
        <v>34</v>
      </c>
      <c r="C126" s="358"/>
      <c r="D126" s="109"/>
      <c r="E126" s="109"/>
      <c r="F126" s="109">
        <f>IF(OR(F122&gt;B63,F122&lt;B40),"/",IFERROR(MATCH(F122,B40:B63),"/"))</f>
        <v>12</v>
      </c>
    </row>
    <row r="127" spans="1:7" s="101" customFormat="1" x14ac:dyDescent="0.2">
      <c r="B127" s="110" t="s">
        <v>35</v>
      </c>
      <c r="C127" s="358"/>
      <c r="D127" s="109"/>
      <c r="E127" s="109"/>
      <c r="F127" s="109">
        <f>IFERROR(F126+1,"/")</f>
        <v>13</v>
      </c>
    </row>
    <row r="128" spans="1:7" s="101" customFormat="1" x14ac:dyDescent="0.2">
      <c r="B128" s="110" t="s">
        <v>153</v>
      </c>
      <c r="C128" s="358"/>
      <c r="D128" s="109"/>
      <c r="E128" s="109"/>
      <c r="F128" s="109">
        <f>IFERROR(INDEX($C$40:$H$63,F126,F124),0)</f>
        <v>97</v>
      </c>
    </row>
    <row r="129" spans="1:7" s="101" customFormat="1" x14ac:dyDescent="0.2">
      <c r="B129" s="110" t="s">
        <v>110</v>
      </c>
      <c r="C129" s="358"/>
      <c r="D129" s="109"/>
      <c r="E129" s="109"/>
      <c r="F129" s="109">
        <f>IFERROR(INDEX($C$40:$H$63,F127,F124),0)</f>
        <v>112</v>
      </c>
    </row>
    <row r="130" spans="1:7" s="101" customFormat="1" x14ac:dyDescent="0.2">
      <c r="B130" s="110" t="s">
        <v>122</v>
      </c>
      <c r="C130" s="358"/>
      <c r="D130" s="109"/>
      <c r="E130" s="109"/>
      <c r="F130" s="109">
        <f>IFERROR(INDEX($B$40:$B$63,F126),0)</f>
        <v>2000000</v>
      </c>
    </row>
    <row r="131" spans="1:7" s="101" customFormat="1" x14ac:dyDescent="0.2">
      <c r="B131" s="110" t="s">
        <v>154</v>
      </c>
      <c r="C131" s="358"/>
      <c r="D131" s="109"/>
      <c r="E131" s="109"/>
      <c r="F131" s="109">
        <f>IFERROR(INDEX($B$40:$B$63,F127),0)</f>
        <v>2500000</v>
      </c>
    </row>
    <row r="132" spans="1:7" s="101" customFormat="1" x14ac:dyDescent="0.2">
      <c r="B132" s="110" t="s">
        <v>155</v>
      </c>
      <c r="C132" s="358"/>
      <c r="D132" s="109"/>
      <c r="E132" s="109"/>
      <c r="F132" s="109">
        <f>IFERROR(FORECAST(F122,F128:F129,F130:F131),0)</f>
        <v>108.55</v>
      </c>
    </row>
    <row r="133" spans="1:7" x14ac:dyDescent="0.2">
      <c r="B133" s="353"/>
      <c r="C133" s="101"/>
      <c r="D133" s="102"/>
      <c r="E133" s="102"/>
      <c r="F133" s="108">
        <f>IF(F126="/","NI DOLOČENO",F132)</f>
        <v>108.55</v>
      </c>
    </row>
    <row r="134" spans="1:7" s="101" customFormat="1" x14ac:dyDescent="0.2">
      <c r="B134" s="353"/>
      <c r="D134" s="102"/>
      <c r="E134" s="102"/>
      <c r="F134" s="102"/>
    </row>
    <row r="135" spans="1:7" s="101" customFormat="1" x14ac:dyDescent="0.2">
      <c r="B135" s="361" t="s">
        <v>152</v>
      </c>
      <c r="C135" s="355"/>
      <c r="D135" s="362"/>
      <c r="E135" s="362"/>
      <c r="F135" s="362">
        <f>IFERROR(INDEX($C$40:$H$63,F126,F125),0)</f>
        <v>112</v>
      </c>
    </row>
    <row r="136" spans="1:7" s="101" customFormat="1" x14ac:dyDescent="0.2">
      <c r="B136" s="110" t="s">
        <v>110</v>
      </c>
      <c r="C136" s="358"/>
      <c r="D136" s="109"/>
      <c r="E136" s="109"/>
      <c r="F136" s="109">
        <f>IFERROR(INDEX($C$40:$H$63,F127,F125),0)</f>
        <v>129</v>
      </c>
    </row>
    <row r="137" spans="1:7" s="101" customFormat="1" x14ac:dyDescent="0.2">
      <c r="B137" s="110" t="s">
        <v>156</v>
      </c>
      <c r="C137" s="358"/>
      <c r="D137" s="109"/>
      <c r="E137" s="109"/>
      <c r="F137" s="109">
        <f>IFERROR(FORECAST(F122,F135:F136,F130:F131),0)</f>
        <v>125.09</v>
      </c>
    </row>
    <row r="138" spans="1:7" x14ac:dyDescent="0.2">
      <c r="B138" s="102"/>
      <c r="C138" s="101"/>
      <c r="D138" s="102"/>
      <c r="E138" s="102"/>
      <c r="F138" s="108">
        <f>IF(F126="/","NI DOLOČENO",F137)</f>
        <v>125.09</v>
      </c>
    </row>
    <row r="139" spans="1:7" ht="14.25" x14ac:dyDescent="0.2">
      <c r="B139" s="97"/>
    </row>
    <row r="141" spans="1:7" s="14" customFormat="1" ht="14.25" x14ac:dyDescent="0.2">
      <c r="A141" s="98"/>
      <c r="B141" s="98"/>
      <c r="C141" s="98"/>
      <c r="D141" s="98"/>
      <c r="E141" s="98"/>
      <c r="F141" s="98"/>
      <c r="G141" s="98"/>
    </row>
    <row r="142" spans="1:7" s="101" customFormat="1" x14ac:dyDescent="0.2">
      <c r="B142" s="365" t="s">
        <v>427</v>
      </c>
      <c r="C142" s="365"/>
      <c r="D142" s="365"/>
      <c r="E142" s="365"/>
      <c r="F142" s="365"/>
    </row>
    <row r="143" spans="1:7" s="101" customFormat="1" x14ac:dyDescent="0.2">
      <c r="B143" s="350" t="s">
        <v>127</v>
      </c>
      <c r="C143" s="355"/>
      <c r="D143" s="355"/>
      <c r="E143" s="356"/>
      <c r="F143" s="357">
        <f>'OSNOVNI PODATKI'!C250</f>
        <v>1800000</v>
      </c>
    </row>
    <row r="144" spans="1:7" s="101" customFormat="1" x14ac:dyDescent="0.2">
      <c r="B144" s="351" t="s">
        <v>150</v>
      </c>
      <c r="C144" s="358"/>
      <c r="D144" s="358"/>
      <c r="E144" s="359"/>
      <c r="F144" s="360" t="str">
        <f>'OSNOVNI PODATKI'!D250</f>
        <v>Cenovni razred I</v>
      </c>
    </row>
    <row r="145" spans="2:6" s="101" customFormat="1" x14ac:dyDescent="0.2">
      <c r="B145" s="110" t="s">
        <v>33</v>
      </c>
      <c r="C145" s="358"/>
      <c r="D145" s="109"/>
      <c r="E145" s="109"/>
      <c r="F145" s="109">
        <f>IFERROR(MATCH(F144,C70:L70),"/")</f>
        <v>1</v>
      </c>
    </row>
    <row r="146" spans="2:6" s="101" customFormat="1" x14ac:dyDescent="0.2">
      <c r="B146" s="110" t="s">
        <v>151</v>
      </c>
      <c r="C146" s="358"/>
      <c r="D146" s="109"/>
      <c r="E146" s="109"/>
      <c r="F146" s="109">
        <f>IFERROR(F145+1,"/")</f>
        <v>2</v>
      </c>
    </row>
    <row r="147" spans="2:6" s="101" customFormat="1" x14ac:dyDescent="0.2">
      <c r="B147" s="110" t="s">
        <v>34</v>
      </c>
      <c r="C147" s="358"/>
      <c r="D147" s="109"/>
      <c r="E147" s="109"/>
      <c r="F147" s="109">
        <f>IF(OR(F143&gt;B92,F143&lt;B73),"/",IFERROR(MATCH(F143,B73:B92),"/"))</f>
        <v>12</v>
      </c>
    </row>
    <row r="148" spans="2:6" s="101" customFormat="1" x14ac:dyDescent="0.2">
      <c r="B148" s="110" t="s">
        <v>35</v>
      </c>
      <c r="C148" s="358"/>
      <c r="D148" s="109"/>
      <c r="E148" s="109"/>
      <c r="F148" s="109">
        <f>IFERROR(F147+1,"/")</f>
        <v>13</v>
      </c>
    </row>
    <row r="149" spans="2:6" s="101" customFormat="1" x14ac:dyDescent="0.2">
      <c r="B149" s="110" t="s">
        <v>153</v>
      </c>
      <c r="C149" s="358"/>
      <c r="D149" s="109"/>
      <c r="E149" s="109"/>
      <c r="F149" s="109">
        <f>IFERROR(INDEX($C$73:$L$92,F147,F145),0)</f>
        <v>74</v>
      </c>
    </row>
    <row r="150" spans="2:6" s="101" customFormat="1" x14ac:dyDescent="0.2">
      <c r="B150" s="110" t="s">
        <v>110</v>
      </c>
      <c r="C150" s="358"/>
      <c r="D150" s="109"/>
      <c r="E150" s="109"/>
      <c r="F150" s="109">
        <f>IFERROR(INDEX($C$73:$L$92,F148,F145),0)</f>
        <v>90</v>
      </c>
    </row>
    <row r="151" spans="2:6" s="101" customFormat="1" x14ac:dyDescent="0.2">
      <c r="B151" s="110" t="s">
        <v>122</v>
      </c>
      <c r="C151" s="358"/>
      <c r="D151" s="109"/>
      <c r="E151" s="109"/>
      <c r="F151" s="109">
        <f>IFERROR(INDEX($B$73:$B$92,F147),0)</f>
        <v>1500000</v>
      </c>
    </row>
    <row r="152" spans="2:6" s="101" customFormat="1" x14ac:dyDescent="0.2">
      <c r="B152" s="110" t="s">
        <v>154</v>
      </c>
      <c r="C152" s="358"/>
      <c r="D152" s="109"/>
      <c r="E152" s="109"/>
      <c r="F152" s="109">
        <f>IFERROR(INDEX($B$73:$B$92,F148),0)</f>
        <v>2000000</v>
      </c>
    </row>
    <row r="153" spans="2:6" s="101" customFormat="1" x14ac:dyDescent="0.2">
      <c r="B153" s="110" t="s">
        <v>155</v>
      </c>
      <c r="C153" s="358"/>
      <c r="D153" s="109"/>
      <c r="E153" s="109"/>
      <c r="F153" s="109">
        <f>IFERROR(FORECAST(F143,F149:F150,F151:F152),0)</f>
        <v>83.6</v>
      </c>
    </row>
    <row r="154" spans="2:6" x14ac:dyDescent="0.2">
      <c r="B154" s="353"/>
      <c r="C154" s="101"/>
      <c r="D154" s="102"/>
      <c r="E154" s="102"/>
      <c r="F154" s="108">
        <f>IF(F147="/","NI DOLOČENO",F153)</f>
        <v>83.6</v>
      </c>
    </row>
    <row r="155" spans="2:6" s="101" customFormat="1" x14ac:dyDescent="0.2">
      <c r="B155" s="353"/>
      <c r="D155" s="102"/>
      <c r="E155" s="102"/>
      <c r="F155" s="102"/>
    </row>
    <row r="156" spans="2:6" s="101" customFormat="1" x14ac:dyDescent="0.2">
      <c r="B156" s="361" t="s">
        <v>152</v>
      </c>
      <c r="C156" s="355"/>
      <c r="D156" s="362"/>
      <c r="E156" s="362"/>
      <c r="F156" s="362">
        <f>IFERROR(INDEX($C$73:$L$92,F147,F146),0)</f>
        <v>96</v>
      </c>
    </row>
    <row r="157" spans="2:6" s="101" customFormat="1" x14ac:dyDescent="0.2">
      <c r="B157" s="110" t="s">
        <v>110</v>
      </c>
      <c r="C157" s="358"/>
      <c r="D157" s="109"/>
      <c r="E157" s="109"/>
      <c r="F157" s="109">
        <f>IFERROR(INDEX($C$73:$L$92,F148,F146),0)</f>
        <v>117</v>
      </c>
    </row>
    <row r="158" spans="2:6" s="101" customFormat="1" x14ac:dyDescent="0.2">
      <c r="B158" s="110" t="s">
        <v>156</v>
      </c>
      <c r="C158" s="358"/>
      <c r="D158" s="109"/>
      <c r="E158" s="109"/>
      <c r="F158" s="109">
        <f>IFERROR(FORECAST(F143,F156:F157,F151:F152),0)</f>
        <v>108.6</v>
      </c>
    </row>
    <row r="159" spans="2:6" x14ac:dyDescent="0.2">
      <c r="B159" s="102"/>
      <c r="C159" s="101"/>
      <c r="D159" s="102"/>
      <c r="E159" s="102"/>
      <c r="F159" s="108">
        <f>IF(F147="/","NI DOLOČENO",F158)</f>
        <v>108.6</v>
      </c>
    </row>
    <row r="160" spans="2:6" ht="14.25" x14ac:dyDescent="0.2">
      <c r="B160" s="97"/>
    </row>
    <row r="162" spans="1:8" s="14" customFormat="1" ht="14.25" x14ac:dyDescent="0.2">
      <c r="A162" s="98"/>
      <c r="B162" s="98"/>
      <c r="C162" s="98"/>
      <c r="D162" s="98"/>
      <c r="E162" s="98"/>
      <c r="F162" s="98"/>
      <c r="G162" s="98"/>
    </row>
    <row r="163" spans="1:8" s="14" customFormat="1" ht="14.25" x14ac:dyDescent="0.2">
      <c r="A163" s="366"/>
      <c r="B163" s="366" t="s">
        <v>428</v>
      </c>
      <c r="C163" s="366"/>
      <c r="D163" s="366"/>
      <c r="E163" s="366"/>
      <c r="F163" s="366"/>
      <c r="G163" s="366"/>
    </row>
    <row r="164" spans="1:8" s="101" customFormat="1" x14ac:dyDescent="0.2">
      <c r="A164" s="367"/>
      <c r="B164" s="367"/>
      <c r="C164" s="367"/>
      <c r="D164" s="367"/>
      <c r="E164" s="367"/>
      <c r="F164" s="458"/>
      <c r="G164" s="367"/>
      <c r="H164" s="367"/>
    </row>
    <row r="165" spans="1:8" s="101" customFormat="1" x14ac:dyDescent="0.2">
      <c r="A165" s="458"/>
      <c r="B165" s="470" t="str">
        <f>'OSNOVNI PODATKI'!$B$255</f>
        <v>PRIBITEK ZA PRENOVO</v>
      </c>
      <c r="C165" s="467"/>
      <c r="D165" s="471"/>
      <c r="E165" s="471"/>
      <c r="F165" s="520">
        <f>'OSNOVNI PODATKI'!$E$255</f>
        <v>0</v>
      </c>
      <c r="G165" s="467"/>
      <c r="H165" s="467"/>
    </row>
    <row r="166" spans="1:8" s="101" customFormat="1" x14ac:dyDescent="0.2">
      <c r="A166" s="458"/>
      <c r="B166" s="470" t="str">
        <f>'OSNOVNI PODATKI'!$B$257</f>
        <v>UPORABA BIM PROCESOV</v>
      </c>
      <c r="C166" s="467"/>
      <c r="D166" s="471"/>
      <c r="E166" s="471"/>
      <c r="F166" s="521">
        <f>'OSNOVNI PODATKI'!$E$257</f>
        <v>0</v>
      </c>
      <c r="G166" s="467"/>
      <c r="H166" s="467"/>
    </row>
    <row r="167" spans="1:8" s="101" customFormat="1" x14ac:dyDescent="0.2">
      <c r="A167" s="458"/>
      <c r="B167" s="534"/>
      <c r="C167" s="534"/>
      <c r="D167" s="534"/>
      <c r="E167" s="534"/>
      <c r="F167" s="521"/>
      <c r="G167" s="467"/>
      <c r="H167" s="467"/>
    </row>
    <row r="168" spans="1:8" s="14" customFormat="1" ht="14.25" x14ac:dyDescent="0.2">
      <c r="A168" s="367"/>
      <c r="B168" s="367"/>
      <c r="C168" s="367"/>
      <c r="D168" s="367"/>
      <c r="E168" s="367"/>
      <c r="F168" s="367"/>
      <c r="G168" s="367"/>
      <c r="H168" s="367"/>
    </row>
    <row r="169" spans="1:8" s="14" customFormat="1" ht="25.5" x14ac:dyDescent="0.2">
      <c r="A169" s="137"/>
      <c r="B169" s="138"/>
      <c r="C169" s="138"/>
      <c r="D169" s="138"/>
      <c r="E169" s="139" t="s">
        <v>31</v>
      </c>
      <c r="F169" s="509" t="s">
        <v>442</v>
      </c>
      <c r="G169" s="140" t="s">
        <v>76</v>
      </c>
      <c r="H169" s="141" t="s">
        <v>90</v>
      </c>
    </row>
    <row r="170" spans="1:8" s="14" customFormat="1" ht="14.25" x14ac:dyDescent="0.2">
      <c r="A170" s="132" t="s">
        <v>38</v>
      </c>
      <c r="B170" s="133" t="s">
        <v>39</v>
      </c>
      <c r="C170" s="133"/>
      <c r="D170" s="133"/>
      <c r="E170" s="134"/>
      <c r="F170" s="134"/>
      <c r="G170" s="496"/>
      <c r="H170" s="136"/>
    </row>
    <row r="171" spans="1:8" s="14" customFormat="1" ht="14.25" x14ac:dyDescent="0.2">
      <c r="A171" s="115" t="s">
        <v>40</v>
      </c>
      <c r="B171" s="127" t="s">
        <v>85</v>
      </c>
      <c r="C171" s="127"/>
      <c r="D171" s="127"/>
      <c r="E171" s="116"/>
      <c r="F171" s="116"/>
      <c r="G171" s="494"/>
      <c r="H171" s="117" t="str">
        <f>IF(J178=TRUE,G171*'VREDNOST NU'!#REF!,"")</f>
        <v/>
      </c>
    </row>
    <row r="172" spans="1:8" x14ac:dyDescent="0.2">
      <c r="A172" s="143" t="s">
        <v>41</v>
      </c>
      <c r="B172" s="144" t="s">
        <v>86</v>
      </c>
      <c r="C172" s="144"/>
      <c r="D172" s="144"/>
      <c r="E172" s="145"/>
      <c r="F172" s="145"/>
      <c r="G172" s="495"/>
      <c r="H172" s="121" t="str">
        <f>IF(J179=TRUE,G172*'VREDNOST NU'!#REF!,"")</f>
        <v/>
      </c>
    </row>
    <row r="173" spans="1:8" x14ac:dyDescent="0.2">
      <c r="A173" s="142" t="s">
        <v>42</v>
      </c>
      <c r="B173" s="133" t="s">
        <v>43</v>
      </c>
      <c r="C173" s="133"/>
      <c r="D173" s="133"/>
      <c r="E173" s="134">
        <f>SUM(E174:E176)</f>
        <v>0.03</v>
      </c>
      <c r="F173" s="134">
        <f>SUM(F174:F176)</f>
        <v>0.03</v>
      </c>
      <c r="G173" s="496">
        <f>SUM(G174:G176)</f>
        <v>2.6878785000000001</v>
      </c>
      <c r="H173" s="136">
        <f>SUM(H174:H176)</f>
        <v>107.51514</v>
      </c>
    </row>
    <row r="174" spans="1:8" s="101" customFormat="1" x14ac:dyDescent="0.2">
      <c r="A174" s="118" t="s">
        <v>44</v>
      </c>
      <c r="B174" s="126" t="s">
        <v>87</v>
      </c>
      <c r="C174" s="126"/>
      <c r="D174" s="126"/>
      <c r="E174" s="116">
        <v>0.02</v>
      </c>
      <c r="F174" s="510">
        <f>E174*(100%+$F$165)</f>
        <v>0.02</v>
      </c>
      <c r="G174" s="494">
        <f>F174*'OSNOVNI PODATKI'!$I$248</f>
        <v>1.791919</v>
      </c>
      <c r="H174" s="117">
        <f>+G174*'ARHIGRAM 5'!$I$17</f>
        <v>71.676760000000002</v>
      </c>
    </row>
    <row r="175" spans="1:8" s="2" customFormat="1" x14ac:dyDescent="0.2">
      <c r="A175" s="118" t="s">
        <v>45</v>
      </c>
      <c r="B175" s="126" t="s">
        <v>88</v>
      </c>
      <c r="C175" s="126"/>
      <c r="D175" s="126"/>
      <c r="E175" s="116">
        <v>0</v>
      </c>
      <c r="F175" s="116">
        <f t="shared" ref="F175:F176" si="0">E175*(100%+$F$165)</f>
        <v>0</v>
      </c>
      <c r="G175" s="494">
        <f>F175*'OSNOVNI PODATKI'!$I$248</f>
        <v>0</v>
      </c>
      <c r="H175" s="117">
        <f>+G175*'ARHIGRAM 5'!$I$17</f>
        <v>0</v>
      </c>
    </row>
    <row r="176" spans="1:8" s="13" customFormat="1" ht="14.25" x14ac:dyDescent="0.25">
      <c r="A176" s="148" t="s">
        <v>46</v>
      </c>
      <c r="B176" s="149" t="s">
        <v>741</v>
      </c>
      <c r="C176" s="149"/>
      <c r="D176" s="149"/>
      <c r="E176" s="145">
        <v>0.01</v>
      </c>
      <c r="F176" s="145">
        <f t="shared" si="0"/>
        <v>0.01</v>
      </c>
      <c r="G176" s="495">
        <f>F176*'OSNOVNI PODATKI'!$I$248</f>
        <v>0.89595950000000002</v>
      </c>
      <c r="H176" s="121">
        <f>+G176*'ARHIGRAM 5'!$I$17</f>
        <v>35.838380000000001</v>
      </c>
    </row>
    <row r="177" spans="1:8" s="14" customFormat="1" ht="14.25" x14ac:dyDescent="0.2">
      <c r="A177" s="146">
        <v>2</v>
      </c>
      <c r="B177" s="133" t="s">
        <v>47</v>
      </c>
      <c r="C177" s="133"/>
      <c r="D177" s="133"/>
      <c r="E177" s="134">
        <f>+E178+E179+E180+E181+E182</f>
        <v>0.95000000000000018</v>
      </c>
      <c r="F177" s="134">
        <f>+F178+F179+F180+F181+F182</f>
        <v>0.95000000000000018</v>
      </c>
      <c r="G177" s="497">
        <f>SUM(G178:G182)</f>
        <v>85.116152499999998</v>
      </c>
      <c r="H177" s="136">
        <f>SUM(H178:H182)</f>
        <v>3404.6460999999995</v>
      </c>
    </row>
    <row r="178" spans="1:8" s="14" customFormat="1" ht="14.25" x14ac:dyDescent="0.2">
      <c r="A178" s="118" t="s">
        <v>70</v>
      </c>
      <c r="B178" s="126" t="s">
        <v>124</v>
      </c>
      <c r="C178" s="126"/>
      <c r="D178" s="126"/>
      <c r="E178" s="129">
        <v>0.2</v>
      </c>
      <c r="F178" s="510">
        <f>E178*(100%+$F$165+$F$166)</f>
        <v>0.2</v>
      </c>
      <c r="G178" s="494">
        <f>F178*'OSNOVNI PODATKI'!$I$248</f>
        <v>17.91919</v>
      </c>
      <c r="H178" s="117">
        <f>+G178*'ARHIGRAM 5'!$I$17</f>
        <v>716.76760000000002</v>
      </c>
    </row>
    <row r="179" spans="1:8" s="14" customFormat="1" ht="14.25" x14ac:dyDescent="0.2">
      <c r="A179" s="130" t="s">
        <v>71</v>
      </c>
      <c r="B179" s="131" t="s">
        <v>617</v>
      </c>
      <c r="C179" s="131"/>
      <c r="D179" s="131"/>
      <c r="E179" s="129">
        <v>0.4</v>
      </c>
      <c r="F179" s="129">
        <f t="shared" ref="F179:F182" si="1">E179*(100%+$F$165+$F$166)</f>
        <v>0.4</v>
      </c>
      <c r="G179" s="494">
        <f>F179*'OSNOVNI PODATKI'!$I$248</f>
        <v>35.838380000000001</v>
      </c>
      <c r="H179" s="117">
        <f>+G179*'ARHIGRAM 5'!$I$17</f>
        <v>1433.5352</v>
      </c>
    </row>
    <row r="180" spans="1:8" s="14" customFormat="1" ht="14.25" x14ac:dyDescent="0.2">
      <c r="A180" s="130" t="s">
        <v>72</v>
      </c>
      <c r="B180" s="131" t="s">
        <v>1074</v>
      </c>
      <c r="C180" s="131"/>
      <c r="D180" s="131"/>
      <c r="E180" s="129">
        <v>0.06</v>
      </c>
      <c r="F180" s="129">
        <f t="shared" si="1"/>
        <v>0.06</v>
      </c>
      <c r="G180" s="494">
        <f>F180*'OSNOVNI PODATKI'!$I$248</f>
        <v>5.3757570000000001</v>
      </c>
      <c r="H180" s="117">
        <f>+G180*'ARHIGRAM 5'!$I$17</f>
        <v>215.03028</v>
      </c>
    </row>
    <row r="181" spans="1:8" s="14" customFormat="1" ht="14.25" x14ac:dyDescent="0.2">
      <c r="A181" s="130" t="s">
        <v>125</v>
      </c>
      <c r="B181" s="131" t="s">
        <v>618</v>
      </c>
      <c r="C181" s="131"/>
      <c r="D181" s="131"/>
      <c r="E181" s="129">
        <v>0.27</v>
      </c>
      <c r="F181" s="129">
        <f t="shared" si="1"/>
        <v>0.27</v>
      </c>
      <c r="G181" s="494">
        <f>F181*'OSNOVNI PODATKI'!$I$248</f>
        <v>24.190906500000001</v>
      </c>
      <c r="H181" s="117">
        <f>+G181*'ARHIGRAM 5'!$I$17</f>
        <v>967.63625999999999</v>
      </c>
    </row>
    <row r="182" spans="1:8" s="14" customFormat="1" ht="14.25" x14ac:dyDescent="0.2">
      <c r="A182" s="151" t="s">
        <v>126</v>
      </c>
      <c r="B182" s="152" t="s">
        <v>742</v>
      </c>
      <c r="C182" s="152"/>
      <c r="D182" s="152"/>
      <c r="E182" s="153">
        <v>0.02</v>
      </c>
      <c r="F182" s="153">
        <f t="shared" si="1"/>
        <v>0.02</v>
      </c>
      <c r="G182" s="495">
        <f>F182*'OSNOVNI PODATKI'!$I$248</f>
        <v>1.791919</v>
      </c>
      <c r="H182" s="121">
        <f>+G182*'ARHIGRAM 5'!$I$17</f>
        <v>71.676760000000002</v>
      </c>
    </row>
    <row r="183" spans="1:8" s="14" customFormat="1" ht="14.25" x14ac:dyDescent="0.2">
      <c r="A183" s="150" t="s">
        <v>58</v>
      </c>
      <c r="B183" s="133" t="s">
        <v>801</v>
      </c>
      <c r="C183" s="133"/>
      <c r="D183" s="133"/>
      <c r="E183" s="134">
        <f>SUM(E184:E185)</f>
        <v>0.02</v>
      </c>
      <c r="F183" s="134">
        <f>SUM(F184:F185)</f>
        <v>0.02</v>
      </c>
      <c r="G183" s="496">
        <f>SUM(G184:G185)</f>
        <v>1.791919</v>
      </c>
      <c r="H183" s="136">
        <f>SUM(H184:H185)</f>
        <v>71.676760000000002</v>
      </c>
    </row>
    <row r="184" spans="1:8" s="14" customFormat="1" ht="14.25" x14ac:dyDescent="0.2">
      <c r="A184" s="119" t="s">
        <v>59</v>
      </c>
      <c r="B184" s="125" t="s">
        <v>743</v>
      </c>
      <c r="C184" s="125"/>
      <c r="D184" s="125"/>
      <c r="E184" s="116">
        <v>0</v>
      </c>
      <c r="F184" s="116">
        <f t="shared" ref="F184:F185" si="2">E184*(100%+$F$165)</f>
        <v>0</v>
      </c>
      <c r="G184" s="494">
        <f>F184*'OSNOVNI PODATKI'!$I$248</f>
        <v>0</v>
      </c>
      <c r="H184" s="117">
        <f>+G184*'ARHIGRAM 5'!$I$17</f>
        <v>0</v>
      </c>
    </row>
    <row r="185" spans="1:8" s="14" customFormat="1" ht="14.25" x14ac:dyDescent="0.2">
      <c r="A185" s="155" t="s">
        <v>60</v>
      </c>
      <c r="B185" s="120" t="s">
        <v>255</v>
      </c>
      <c r="C185" s="120"/>
      <c r="D185" s="120"/>
      <c r="E185" s="145">
        <v>0.02</v>
      </c>
      <c r="F185" s="145">
        <f t="shared" si="2"/>
        <v>0.02</v>
      </c>
      <c r="G185" s="495">
        <f>F185*'OSNOVNI PODATKI'!$I$248</f>
        <v>1.791919</v>
      </c>
      <c r="H185" s="121">
        <f>+G185*'ARHIGRAM 5'!$I$17</f>
        <v>71.676760000000002</v>
      </c>
    </row>
    <row r="186" spans="1:8" s="14" customFormat="1" ht="14.25" x14ac:dyDescent="0.2">
      <c r="A186" s="154">
        <v>4</v>
      </c>
      <c r="B186" s="133" t="s">
        <v>80</v>
      </c>
      <c r="C186" s="133"/>
      <c r="D186" s="133"/>
      <c r="E186" s="134">
        <f>SUM(E187:E191)</f>
        <v>0</v>
      </c>
      <c r="F186" s="134">
        <f>SUM(F187:F191)</f>
        <v>0</v>
      </c>
      <c r="G186" s="496">
        <f>SUM(G187:G191)</f>
        <v>0</v>
      </c>
      <c r="H186" s="136">
        <f>SUM(H187:H191)</f>
        <v>0</v>
      </c>
    </row>
    <row r="187" spans="1:8" s="14" customFormat="1" ht="14.25" x14ac:dyDescent="0.2">
      <c r="A187" s="119" t="s">
        <v>61</v>
      </c>
      <c r="B187" s="125" t="s">
        <v>256</v>
      </c>
      <c r="C187" s="125"/>
      <c r="D187" s="125"/>
      <c r="E187" s="116">
        <v>0</v>
      </c>
      <c r="F187" s="116">
        <f t="shared" ref="F187:F191" si="3">E187*(100%+$F$165)</f>
        <v>0</v>
      </c>
      <c r="G187" s="494">
        <f>F187*'OSNOVNI PODATKI'!$I$248</f>
        <v>0</v>
      </c>
      <c r="H187" s="117">
        <f>+G187*'ARHIGRAM 5'!$I$17</f>
        <v>0</v>
      </c>
    </row>
    <row r="188" spans="1:8" s="14" customFormat="1" ht="14.25" x14ac:dyDescent="0.2">
      <c r="A188" s="119" t="s">
        <v>62</v>
      </c>
      <c r="B188" s="125" t="s">
        <v>779</v>
      </c>
      <c r="C188" s="125"/>
      <c r="D188" s="125"/>
      <c r="E188" s="116">
        <v>0</v>
      </c>
      <c r="F188" s="116">
        <f t="shared" si="3"/>
        <v>0</v>
      </c>
      <c r="G188" s="494">
        <f>F188*'OSNOVNI PODATKI'!$I$248</f>
        <v>0</v>
      </c>
      <c r="H188" s="117">
        <f>+G188*'ARHIGRAM 5'!$I$17</f>
        <v>0</v>
      </c>
    </row>
    <row r="189" spans="1:8" s="14" customFormat="1" ht="14.25" x14ac:dyDescent="0.2">
      <c r="A189" s="119" t="s">
        <v>63</v>
      </c>
      <c r="B189" s="125" t="s">
        <v>1076</v>
      </c>
      <c r="C189" s="125"/>
      <c r="D189" s="125"/>
      <c r="E189" s="116">
        <v>0</v>
      </c>
      <c r="F189" s="116">
        <f t="shared" si="3"/>
        <v>0</v>
      </c>
      <c r="G189" s="494">
        <f>F189*'OSNOVNI PODATKI'!$I$248</f>
        <v>0</v>
      </c>
      <c r="H189" s="117">
        <f>+G189*'ARHIGRAM 5'!$I$17</f>
        <v>0</v>
      </c>
    </row>
    <row r="190" spans="1:8" s="14" customFormat="1" ht="14.25" x14ac:dyDescent="0.2">
      <c r="A190" s="119" t="s">
        <v>64</v>
      </c>
      <c r="B190" s="125" t="s">
        <v>780</v>
      </c>
      <c r="C190" s="125"/>
      <c r="D190" s="125"/>
      <c r="E190" s="116">
        <v>0</v>
      </c>
      <c r="F190" s="116">
        <f t="shared" si="3"/>
        <v>0</v>
      </c>
      <c r="G190" s="494">
        <f>F190*'OSNOVNI PODATKI'!$I$248</f>
        <v>0</v>
      </c>
      <c r="H190" s="117">
        <f>+G190*'ARHIGRAM 5'!$I$17</f>
        <v>0</v>
      </c>
    </row>
    <row r="191" spans="1:8" s="14" customFormat="1" ht="14.25" x14ac:dyDescent="0.2">
      <c r="A191" s="155" t="s">
        <v>65</v>
      </c>
      <c r="B191" s="120" t="s">
        <v>744</v>
      </c>
      <c r="C191" s="120"/>
      <c r="D191" s="120"/>
      <c r="E191" s="145">
        <v>0</v>
      </c>
      <c r="F191" s="145">
        <f t="shared" si="3"/>
        <v>0</v>
      </c>
      <c r="G191" s="495">
        <f>F191*'OSNOVNI PODATKI'!$I$248</f>
        <v>0</v>
      </c>
      <c r="H191" s="121">
        <f>+G191*'ARHIGRAM 5'!$I$17</f>
        <v>0</v>
      </c>
    </row>
    <row r="192" spans="1:8" s="14" customFormat="1" ht="14.25" x14ac:dyDescent="0.2">
      <c r="A192" s="156">
        <v>5</v>
      </c>
      <c r="B192" s="133" t="s">
        <v>66</v>
      </c>
      <c r="C192" s="133"/>
      <c r="D192" s="133"/>
      <c r="E192" s="134">
        <f>SUM(E193:E194)</f>
        <v>0</v>
      </c>
      <c r="F192" s="134">
        <f>SUM(F193:F194)</f>
        <v>0</v>
      </c>
      <c r="G192" s="496">
        <f>SUM(G193:G194)</f>
        <v>0</v>
      </c>
      <c r="H192" s="136">
        <f>SUM(H193:H194)</f>
        <v>0</v>
      </c>
    </row>
    <row r="193" spans="1:8" s="14" customFormat="1" ht="14.25" x14ac:dyDescent="0.2">
      <c r="A193" s="119" t="s">
        <v>67</v>
      </c>
      <c r="B193" s="128" t="s">
        <v>257</v>
      </c>
      <c r="C193" s="128"/>
      <c r="D193" s="128"/>
      <c r="E193" s="116">
        <v>0</v>
      </c>
      <c r="F193" s="116">
        <f t="shared" ref="F193:F194" si="4">E193*(100%+$F$165)</f>
        <v>0</v>
      </c>
      <c r="G193" s="494">
        <f>F193*'OSNOVNI PODATKI'!$I$248</f>
        <v>0</v>
      </c>
      <c r="H193" s="117">
        <f>+G193*'ARHIGRAM 5'!$I$17</f>
        <v>0</v>
      </c>
    </row>
    <row r="194" spans="1:8" s="14" customFormat="1" ht="14.25" x14ac:dyDescent="0.2">
      <c r="A194" s="155" t="s">
        <v>68</v>
      </c>
      <c r="B194" s="158" t="s">
        <v>781</v>
      </c>
      <c r="C194" s="158"/>
      <c r="D194" s="158"/>
      <c r="E194" s="145">
        <v>0</v>
      </c>
      <c r="F194" s="145">
        <f t="shared" si="4"/>
        <v>0</v>
      </c>
      <c r="G194" s="495">
        <f>F194*'OSNOVNI PODATKI'!$I$248</f>
        <v>0</v>
      </c>
      <c r="H194" s="121">
        <f>+G194*'ARHIGRAM 5'!$I$17</f>
        <v>0</v>
      </c>
    </row>
    <row r="195" spans="1:8" s="14" customFormat="1" ht="14.25" x14ac:dyDescent="0.2">
      <c r="A195" s="157">
        <v>6</v>
      </c>
      <c r="B195" s="133" t="s">
        <v>69</v>
      </c>
      <c r="C195" s="133"/>
      <c r="D195" s="133"/>
      <c r="E195" s="134"/>
      <c r="F195" s="134"/>
      <c r="G195" s="496"/>
      <c r="H195" s="136"/>
    </row>
    <row r="196" spans="1:8" s="14" customFormat="1" ht="14.25" x14ac:dyDescent="0.2">
      <c r="A196" s="119" t="s">
        <v>73</v>
      </c>
      <c r="B196" s="128" t="s">
        <v>259</v>
      </c>
      <c r="C196" s="128"/>
      <c r="D196" s="128"/>
      <c r="E196" s="116"/>
      <c r="F196" s="116"/>
      <c r="G196" s="494"/>
      <c r="H196" s="117"/>
    </row>
    <row r="197" spans="1:8" s="14" customFormat="1" ht="14.25" x14ac:dyDescent="0.2">
      <c r="A197" s="119" t="s">
        <v>74</v>
      </c>
      <c r="B197" s="128" t="s">
        <v>260</v>
      </c>
      <c r="C197" s="128"/>
      <c r="D197" s="128"/>
      <c r="E197" s="116"/>
      <c r="F197" s="116"/>
      <c r="G197" s="494"/>
      <c r="H197" s="117"/>
    </row>
    <row r="198" spans="1:8" s="14" customFormat="1" ht="14.25" x14ac:dyDescent="0.2">
      <c r="A198" s="155" t="s">
        <v>75</v>
      </c>
      <c r="B198" s="158" t="s">
        <v>261</v>
      </c>
      <c r="C198" s="158"/>
      <c r="D198" s="158"/>
      <c r="E198" s="145"/>
      <c r="F198" s="145"/>
      <c r="G198" s="495"/>
      <c r="H198" s="121"/>
    </row>
    <row r="199" spans="1:8" s="14" customFormat="1" ht="14.25" x14ac:dyDescent="0.2">
      <c r="A199" s="122"/>
      <c r="B199" s="123"/>
      <c r="C199" s="123"/>
      <c r="D199" s="123"/>
      <c r="E199" s="124"/>
      <c r="F199" s="124"/>
      <c r="G199" s="159"/>
      <c r="H199" s="160"/>
    </row>
    <row r="200" spans="1:8" s="14" customFormat="1" ht="14.25" x14ac:dyDescent="0.2">
      <c r="A200" s="165"/>
      <c r="B200" s="166" t="s">
        <v>1</v>
      </c>
      <c r="C200" s="166"/>
      <c r="D200" s="166"/>
      <c r="E200" s="167">
        <f>E170+E173+E177+E183+E186+E192+E195</f>
        <v>1.0000000000000002</v>
      </c>
      <c r="F200" s="167">
        <f>F170+F173+F177+F183+F186+F192+F195</f>
        <v>1.0000000000000002</v>
      </c>
      <c r="G200" s="174">
        <f>G170+G173+G177+G183+G186+G192+G195</f>
        <v>89.595949999999988</v>
      </c>
      <c r="H200" s="168">
        <f>H170+H173+H177+H183+H186+H192+H195</f>
        <v>3583.8379999999993</v>
      </c>
    </row>
    <row r="201" spans="1:8" s="14" customFormat="1" ht="14.25" x14ac:dyDescent="0.2">
      <c r="A201" s="161"/>
      <c r="B201" s="162" t="s">
        <v>248</v>
      </c>
      <c r="C201" s="163"/>
      <c r="D201" s="163"/>
      <c r="E201" s="33"/>
      <c r="G201" s="33"/>
      <c r="H201" s="164">
        <f>IFERROR(H200/'OSNOVNI PODATKI'!$D$170,0)</f>
        <v>1.1946126666666664E-3</v>
      </c>
    </row>
    <row r="202" spans="1:8" s="14" customFormat="1" ht="14.25" x14ac:dyDescent="0.2">
      <c r="A202" s="161"/>
      <c r="B202" s="162" t="s">
        <v>247</v>
      </c>
      <c r="C202" s="163"/>
      <c r="D202" s="163"/>
      <c r="E202" s="33"/>
      <c r="G202" s="33"/>
      <c r="H202" s="164">
        <f>IFERROR(H200/'OSNOVNI PODATKI'!$D$206,0)</f>
        <v>1.1750288524590162E-3</v>
      </c>
    </row>
    <row r="203" spans="1:8" s="14" customFormat="1" ht="14.25" x14ac:dyDescent="0.2"/>
    <row r="204" spans="1:8" s="14" customFormat="1" ht="14.25" x14ac:dyDescent="0.2"/>
    <row r="205" spans="1:8" s="14" customFormat="1" ht="14.25" x14ac:dyDescent="0.2">
      <c r="B205" s="402"/>
    </row>
    <row r="206" spans="1:8" s="14" customFormat="1" ht="14.25" x14ac:dyDescent="0.2">
      <c r="A206" s="366"/>
      <c r="B206" s="366" t="s">
        <v>429</v>
      </c>
      <c r="C206" s="366"/>
      <c r="D206" s="366"/>
      <c r="E206" s="366"/>
      <c r="F206" s="366"/>
      <c r="G206" s="366"/>
    </row>
    <row r="207" spans="1:8" s="101" customFormat="1" x14ac:dyDescent="0.2">
      <c r="A207" s="367"/>
      <c r="B207" s="367"/>
      <c r="C207" s="367"/>
      <c r="D207" s="367"/>
      <c r="E207" s="367"/>
      <c r="F207" s="458"/>
      <c r="G207" s="367"/>
      <c r="H207" s="367"/>
    </row>
    <row r="208" spans="1:8" s="101" customFormat="1" x14ac:dyDescent="0.2">
      <c r="A208" s="458"/>
      <c r="B208" s="470" t="str">
        <f>'OSNOVNI PODATKI'!$B$255</f>
        <v>PRIBITEK ZA PRENOVO</v>
      </c>
      <c r="C208" s="467"/>
      <c r="D208" s="471"/>
      <c r="E208" s="471"/>
      <c r="F208" s="520">
        <f>'OSNOVNI PODATKI'!$E$255</f>
        <v>0</v>
      </c>
      <c r="G208" s="467"/>
      <c r="H208" s="467"/>
    </row>
    <row r="209" spans="1:8" s="101" customFormat="1" x14ac:dyDescent="0.2">
      <c r="A209" s="458"/>
      <c r="B209" s="470" t="str">
        <f>'OSNOVNI PODATKI'!$B$257</f>
        <v>UPORABA BIM PROCESOV</v>
      </c>
      <c r="C209" s="467"/>
      <c r="D209" s="471"/>
      <c r="E209" s="471"/>
      <c r="F209" s="521">
        <f>'OSNOVNI PODATKI'!$E$257</f>
        <v>0</v>
      </c>
      <c r="G209" s="467"/>
      <c r="H209" s="467"/>
    </row>
    <row r="210" spans="1:8" s="101" customFormat="1" x14ac:dyDescent="0.2">
      <c r="A210" s="458"/>
      <c r="B210" s="534"/>
      <c r="C210" s="534"/>
      <c r="D210" s="534"/>
      <c r="E210" s="534"/>
      <c r="F210" s="467"/>
      <c r="G210" s="467"/>
      <c r="H210" s="467"/>
    </row>
    <row r="211" spans="1:8" s="14" customFormat="1" ht="14.25" x14ac:dyDescent="0.2">
      <c r="A211" s="367"/>
      <c r="B211" s="367"/>
      <c r="C211" s="367"/>
      <c r="D211" s="367"/>
      <c r="E211" s="367"/>
      <c r="F211" s="367"/>
      <c r="G211" s="367"/>
      <c r="H211" s="367"/>
    </row>
    <row r="212" spans="1:8" s="14" customFormat="1" ht="25.5" x14ac:dyDescent="0.2">
      <c r="A212" s="137"/>
      <c r="B212" s="138"/>
      <c r="C212" s="138"/>
      <c r="D212" s="138"/>
      <c r="E212" s="139" t="s">
        <v>31</v>
      </c>
      <c r="F212" s="509" t="s">
        <v>442</v>
      </c>
      <c r="G212" s="140" t="s">
        <v>76</v>
      </c>
      <c r="H212" s="141" t="s">
        <v>90</v>
      </c>
    </row>
    <row r="213" spans="1:8" s="14" customFormat="1" ht="14.25" x14ac:dyDescent="0.2">
      <c r="A213" s="132" t="s">
        <v>38</v>
      </c>
      <c r="B213" s="133" t="s">
        <v>39</v>
      </c>
      <c r="C213" s="133"/>
      <c r="D213" s="133"/>
      <c r="E213" s="134"/>
      <c r="F213" s="134"/>
      <c r="G213" s="496"/>
      <c r="H213" s="136"/>
    </row>
    <row r="214" spans="1:8" s="14" customFormat="1" ht="14.25" x14ac:dyDescent="0.2">
      <c r="A214" s="115" t="s">
        <v>40</v>
      </c>
      <c r="B214" s="127" t="s">
        <v>85</v>
      </c>
      <c r="C214" s="127"/>
      <c r="D214" s="127"/>
      <c r="E214" s="116"/>
      <c r="F214" s="116"/>
      <c r="G214" s="494"/>
      <c r="H214" s="117" t="str">
        <f>IF(J221=TRUE,G214*'VREDNOST NU'!#REF!,"")</f>
        <v/>
      </c>
    </row>
    <row r="215" spans="1:8" x14ac:dyDescent="0.2">
      <c r="A215" s="143" t="s">
        <v>41</v>
      </c>
      <c r="B215" s="144" t="s">
        <v>86</v>
      </c>
      <c r="C215" s="144"/>
      <c r="D215" s="144"/>
      <c r="E215" s="145"/>
      <c r="F215" s="145"/>
      <c r="G215" s="495"/>
      <c r="H215" s="121" t="str">
        <f>IF(J222=TRUE,G215*'VREDNOST NU'!#REF!,"")</f>
        <v/>
      </c>
    </row>
    <row r="216" spans="1:8" x14ac:dyDescent="0.2">
      <c r="A216" s="142" t="s">
        <v>42</v>
      </c>
      <c r="B216" s="133" t="s">
        <v>43</v>
      </c>
      <c r="C216" s="133"/>
      <c r="D216" s="133"/>
      <c r="E216" s="134">
        <f>SUM(E217:E219)</f>
        <v>0.03</v>
      </c>
      <c r="F216" s="134">
        <f>SUM(F217:F219)</f>
        <v>0.03</v>
      </c>
      <c r="G216" s="496">
        <f>SUM(G217:G219)</f>
        <v>3.5045999999999999</v>
      </c>
      <c r="H216" s="136">
        <f>SUM(H217:H219)</f>
        <v>140.18399999999997</v>
      </c>
    </row>
    <row r="217" spans="1:8" s="101" customFormat="1" x14ac:dyDescent="0.2">
      <c r="A217" s="118" t="s">
        <v>44</v>
      </c>
      <c r="B217" s="126" t="s">
        <v>87</v>
      </c>
      <c r="C217" s="126"/>
      <c r="D217" s="126"/>
      <c r="E217" s="116">
        <v>0.02</v>
      </c>
      <c r="F217" s="510">
        <f>E217*(100%+$F$208)</f>
        <v>0.02</v>
      </c>
      <c r="G217" s="494">
        <f>F217*'OSNOVNI PODATKI'!$I$249</f>
        <v>2.3363999999999998</v>
      </c>
      <c r="H217" s="117">
        <f>+G217*'ARHIGRAM 5'!$I$17</f>
        <v>93.455999999999989</v>
      </c>
    </row>
    <row r="218" spans="1:8" s="2" customFormat="1" x14ac:dyDescent="0.2">
      <c r="A218" s="118" t="s">
        <v>45</v>
      </c>
      <c r="B218" s="126" t="s">
        <v>88</v>
      </c>
      <c r="C218" s="126"/>
      <c r="D218" s="126"/>
      <c r="E218" s="116">
        <v>0</v>
      </c>
      <c r="F218" s="116">
        <f t="shared" ref="F218:F219" si="5">E218*(100%+$F$208)</f>
        <v>0</v>
      </c>
      <c r="G218" s="494">
        <f>F218*'OSNOVNI PODATKI'!$I$249</f>
        <v>0</v>
      </c>
      <c r="H218" s="117">
        <f>+G218*'ARHIGRAM 5'!$I$17</f>
        <v>0</v>
      </c>
    </row>
    <row r="219" spans="1:8" s="13" customFormat="1" ht="14.25" x14ac:dyDescent="0.25">
      <c r="A219" s="148" t="s">
        <v>46</v>
      </c>
      <c r="B219" s="149" t="s">
        <v>741</v>
      </c>
      <c r="C219" s="149"/>
      <c r="D219" s="149"/>
      <c r="E219" s="145">
        <v>0.01</v>
      </c>
      <c r="F219" s="145">
        <f t="shared" si="5"/>
        <v>0.01</v>
      </c>
      <c r="G219" s="495">
        <f>F219*'OSNOVNI PODATKI'!$I$249</f>
        <v>1.1681999999999999</v>
      </c>
      <c r="H219" s="121">
        <f>+G219*'ARHIGRAM 5'!$I$17</f>
        <v>46.727999999999994</v>
      </c>
    </row>
    <row r="220" spans="1:8" s="14" customFormat="1" ht="14.25" x14ac:dyDescent="0.2">
      <c r="A220" s="146">
        <v>2</v>
      </c>
      <c r="B220" s="133" t="s">
        <v>47</v>
      </c>
      <c r="C220" s="133"/>
      <c r="D220" s="133"/>
      <c r="E220" s="134">
        <f>+E221+E222+E223+E224+E225</f>
        <v>0.95000000000000018</v>
      </c>
      <c r="F220" s="134">
        <f>+F221+F222+F223+F224+F225</f>
        <v>0.95000000000000018</v>
      </c>
      <c r="G220" s="497">
        <f>SUM(G221:G225)</f>
        <v>110.97899999999998</v>
      </c>
      <c r="H220" s="136">
        <f>SUM(H221:H225)</f>
        <v>4439.16</v>
      </c>
    </row>
    <row r="221" spans="1:8" s="14" customFormat="1" ht="14.25" x14ac:dyDescent="0.2">
      <c r="A221" s="118" t="s">
        <v>70</v>
      </c>
      <c r="B221" s="126" t="s">
        <v>124</v>
      </c>
      <c r="C221" s="126"/>
      <c r="D221" s="126"/>
      <c r="E221" s="129">
        <v>0.2</v>
      </c>
      <c r="F221" s="510">
        <f>E221*(100%+$F$208+$F$209)</f>
        <v>0.2</v>
      </c>
      <c r="G221" s="494">
        <f>F221*'OSNOVNI PODATKI'!$I$249</f>
        <v>23.364000000000001</v>
      </c>
      <c r="H221" s="117">
        <f>+G221*'ARHIGRAM 5'!$I$17</f>
        <v>934.56000000000006</v>
      </c>
    </row>
    <row r="222" spans="1:8" s="14" customFormat="1" ht="14.25" x14ac:dyDescent="0.2">
      <c r="A222" s="130" t="s">
        <v>71</v>
      </c>
      <c r="B222" s="131" t="s">
        <v>617</v>
      </c>
      <c r="C222" s="131"/>
      <c r="D222" s="131"/>
      <c r="E222" s="129">
        <v>0.4</v>
      </c>
      <c r="F222" s="129">
        <f t="shared" ref="F222:F225" si="6">E222*(100%+$F$208+$F$209)</f>
        <v>0.4</v>
      </c>
      <c r="G222" s="494">
        <f>F222*'OSNOVNI PODATKI'!$I$249</f>
        <v>46.728000000000002</v>
      </c>
      <c r="H222" s="117">
        <f>+G222*'ARHIGRAM 5'!$I$17</f>
        <v>1869.1200000000001</v>
      </c>
    </row>
    <row r="223" spans="1:8" s="14" customFormat="1" ht="14.25" x14ac:dyDescent="0.2">
      <c r="A223" s="130" t="s">
        <v>72</v>
      </c>
      <c r="B223" s="131" t="s">
        <v>1074</v>
      </c>
      <c r="C223" s="131"/>
      <c r="D223" s="131"/>
      <c r="E223" s="129">
        <v>0.06</v>
      </c>
      <c r="F223" s="129">
        <f t="shared" si="6"/>
        <v>0.06</v>
      </c>
      <c r="G223" s="494">
        <f>F223*'OSNOVNI PODATKI'!$I$249</f>
        <v>7.009199999999999</v>
      </c>
      <c r="H223" s="117">
        <f>+G223*'ARHIGRAM 5'!$I$17</f>
        <v>280.36799999999994</v>
      </c>
    </row>
    <row r="224" spans="1:8" s="14" customFormat="1" ht="14.25" x14ac:dyDescent="0.2">
      <c r="A224" s="130" t="s">
        <v>125</v>
      </c>
      <c r="B224" s="131" t="s">
        <v>618</v>
      </c>
      <c r="C224" s="131"/>
      <c r="D224" s="131"/>
      <c r="E224" s="129">
        <v>0.27</v>
      </c>
      <c r="F224" s="129">
        <f t="shared" si="6"/>
        <v>0.27</v>
      </c>
      <c r="G224" s="494">
        <f>F224*'OSNOVNI PODATKI'!$I$249</f>
        <v>31.541399999999999</v>
      </c>
      <c r="H224" s="117">
        <f>+G224*'ARHIGRAM 5'!$I$17</f>
        <v>1261.6559999999999</v>
      </c>
    </row>
    <row r="225" spans="1:8" s="14" customFormat="1" ht="14.25" x14ac:dyDescent="0.2">
      <c r="A225" s="151" t="s">
        <v>126</v>
      </c>
      <c r="B225" s="152" t="s">
        <v>742</v>
      </c>
      <c r="C225" s="152"/>
      <c r="D225" s="152"/>
      <c r="E225" s="153">
        <v>0.02</v>
      </c>
      <c r="F225" s="153">
        <f t="shared" si="6"/>
        <v>0.02</v>
      </c>
      <c r="G225" s="495">
        <f>F225*'OSNOVNI PODATKI'!$I$249</f>
        <v>2.3363999999999998</v>
      </c>
      <c r="H225" s="121">
        <f>+G225*'ARHIGRAM 5'!$I$17</f>
        <v>93.455999999999989</v>
      </c>
    </row>
    <row r="226" spans="1:8" s="14" customFormat="1" ht="14.25" x14ac:dyDescent="0.2">
      <c r="A226" s="150" t="s">
        <v>58</v>
      </c>
      <c r="B226" s="133" t="s">
        <v>801</v>
      </c>
      <c r="C226" s="133"/>
      <c r="D226" s="133"/>
      <c r="E226" s="134">
        <f>SUM(E227:E228)</f>
        <v>0.02</v>
      </c>
      <c r="F226" s="134">
        <f>SUM(F227:F228)</f>
        <v>0.02</v>
      </c>
      <c r="G226" s="496">
        <f>SUM(G227:G228)</f>
        <v>2.3363999999999998</v>
      </c>
      <c r="H226" s="136">
        <f>SUM(H227:H228)</f>
        <v>93.455999999999989</v>
      </c>
    </row>
    <row r="227" spans="1:8" s="14" customFormat="1" ht="14.25" x14ac:dyDescent="0.2">
      <c r="A227" s="119" t="s">
        <v>59</v>
      </c>
      <c r="B227" s="125" t="s">
        <v>743</v>
      </c>
      <c r="C227" s="125"/>
      <c r="D227" s="125"/>
      <c r="E227" s="116">
        <v>0</v>
      </c>
      <c r="F227" s="116">
        <f t="shared" ref="F227:F228" si="7">E227*(100%+$F$208)</f>
        <v>0</v>
      </c>
      <c r="G227" s="494">
        <f>F227*'OSNOVNI PODATKI'!$I$249</f>
        <v>0</v>
      </c>
      <c r="H227" s="117">
        <f>+G227*'ARHIGRAM 5'!$I$17</f>
        <v>0</v>
      </c>
    </row>
    <row r="228" spans="1:8" s="14" customFormat="1" ht="14.25" x14ac:dyDescent="0.2">
      <c r="A228" s="155" t="s">
        <v>60</v>
      </c>
      <c r="B228" s="120" t="s">
        <v>255</v>
      </c>
      <c r="C228" s="120"/>
      <c r="D228" s="120"/>
      <c r="E228" s="145">
        <v>0.02</v>
      </c>
      <c r="F228" s="145">
        <f t="shared" si="7"/>
        <v>0.02</v>
      </c>
      <c r="G228" s="495">
        <f>F228*'OSNOVNI PODATKI'!$I$249</f>
        <v>2.3363999999999998</v>
      </c>
      <c r="H228" s="121">
        <f>+G228*'ARHIGRAM 5'!$I$17</f>
        <v>93.455999999999989</v>
      </c>
    </row>
    <row r="229" spans="1:8" s="14" customFormat="1" ht="14.25" x14ac:dyDescent="0.2">
      <c r="A229" s="154">
        <v>4</v>
      </c>
      <c r="B229" s="133" t="s">
        <v>80</v>
      </c>
      <c r="C229" s="133"/>
      <c r="D229" s="133"/>
      <c r="E229" s="134">
        <f>SUM(E230:E234)</f>
        <v>0</v>
      </c>
      <c r="F229" s="134">
        <f>SUM(F230:F234)</f>
        <v>0</v>
      </c>
      <c r="G229" s="496">
        <f>SUM(G230:G234)</f>
        <v>0</v>
      </c>
      <c r="H229" s="136">
        <f>SUM(H230:H234)</f>
        <v>0</v>
      </c>
    </row>
    <row r="230" spans="1:8" s="14" customFormat="1" ht="14.25" x14ac:dyDescent="0.2">
      <c r="A230" s="119" t="s">
        <v>61</v>
      </c>
      <c r="B230" s="125" t="s">
        <v>256</v>
      </c>
      <c r="C230" s="125"/>
      <c r="D230" s="125"/>
      <c r="E230" s="116">
        <v>0</v>
      </c>
      <c r="F230" s="116">
        <f t="shared" ref="F230:F234" si="8">E230*(100%+$F$208)</f>
        <v>0</v>
      </c>
      <c r="G230" s="494">
        <f>F230*'OSNOVNI PODATKI'!$I$249</f>
        <v>0</v>
      </c>
      <c r="H230" s="117">
        <f>+G230*'ARHIGRAM 5'!$I$17</f>
        <v>0</v>
      </c>
    </row>
    <row r="231" spans="1:8" s="14" customFormat="1" ht="14.25" x14ac:dyDescent="0.2">
      <c r="A231" s="119" t="s">
        <v>62</v>
      </c>
      <c r="B231" s="125" t="s">
        <v>779</v>
      </c>
      <c r="C231" s="125"/>
      <c r="D231" s="125"/>
      <c r="E231" s="116">
        <v>0</v>
      </c>
      <c r="F231" s="116">
        <f t="shared" si="8"/>
        <v>0</v>
      </c>
      <c r="G231" s="494">
        <f>F231*'OSNOVNI PODATKI'!$I$249</f>
        <v>0</v>
      </c>
      <c r="H231" s="117">
        <f>+G231*'ARHIGRAM 5'!$I$17</f>
        <v>0</v>
      </c>
    </row>
    <row r="232" spans="1:8" s="14" customFormat="1" ht="14.25" x14ac:dyDescent="0.2">
      <c r="A232" s="119" t="s">
        <v>63</v>
      </c>
      <c r="B232" s="125" t="s">
        <v>1076</v>
      </c>
      <c r="C232" s="125"/>
      <c r="D232" s="125"/>
      <c r="E232" s="116">
        <v>0</v>
      </c>
      <c r="F232" s="116">
        <f t="shared" si="8"/>
        <v>0</v>
      </c>
      <c r="G232" s="494">
        <f>F232*'OSNOVNI PODATKI'!$I$249</f>
        <v>0</v>
      </c>
      <c r="H232" s="117">
        <f>+G232*'ARHIGRAM 5'!$I$17</f>
        <v>0</v>
      </c>
    </row>
    <row r="233" spans="1:8" s="14" customFormat="1" ht="14.25" x14ac:dyDescent="0.2">
      <c r="A233" s="119" t="s">
        <v>64</v>
      </c>
      <c r="B233" s="125" t="s">
        <v>780</v>
      </c>
      <c r="C233" s="125"/>
      <c r="D233" s="125"/>
      <c r="E233" s="116">
        <v>0</v>
      </c>
      <c r="F233" s="116">
        <f t="shared" si="8"/>
        <v>0</v>
      </c>
      <c r="G233" s="494">
        <f>F233*'OSNOVNI PODATKI'!$I$249</f>
        <v>0</v>
      </c>
      <c r="H233" s="117">
        <f>+G233*'ARHIGRAM 5'!$I$17</f>
        <v>0</v>
      </c>
    </row>
    <row r="234" spans="1:8" s="14" customFormat="1" ht="14.25" x14ac:dyDescent="0.2">
      <c r="A234" s="155" t="s">
        <v>65</v>
      </c>
      <c r="B234" s="120" t="s">
        <v>744</v>
      </c>
      <c r="C234" s="120"/>
      <c r="D234" s="120"/>
      <c r="E234" s="145">
        <v>0</v>
      </c>
      <c r="F234" s="145">
        <f t="shared" si="8"/>
        <v>0</v>
      </c>
      <c r="G234" s="495">
        <f>F234*'OSNOVNI PODATKI'!$I$249</f>
        <v>0</v>
      </c>
      <c r="H234" s="121">
        <f>+G234*'ARHIGRAM 5'!$I$17</f>
        <v>0</v>
      </c>
    </row>
    <row r="235" spans="1:8" s="14" customFormat="1" ht="14.25" x14ac:dyDescent="0.2">
      <c r="A235" s="156">
        <v>5</v>
      </c>
      <c r="B235" s="133" t="s">
        <v>66</v>
      </c>
      <c r="C235" s="133"/>
      <c r="D235" s="133"/>
      <c r="E235" s="134">
        <f>SUM(E236:E237)</f>
        <v>0</v>
      </c>
      <c r="F235" s="134">
        <f>SUM(F236:F237)</f>
        <v>0</v>
      </c>
      <c r="G235" s="496">
        <f>SUM(G236:G237)</f>
        <v>0</v>
      </c>
      <c r="H235" s="136">
        <f>SUM(H236:H237)</f>
        <v>0</v>
      </c>
    </row>
    <row r="236" spans="1:8" s="14" customFormat="1" ht="14.25" x14ac:dyDescent="0.2">
      <c r="A236" s="119" t="s">
        <v>67</v>
      </c>
      <c r="B236" s="128" t="s">
        <v>257</v>
      </c>
      <c r="C236" s="128"/>
      <c r="D236" s="128"/>
      <c r="E236" s="116">
        <v>0</v>
      </c>
      <c r="F236" s="116">
        <f t="shared" ref="F236:F237" si="9">E236*(100%+$F$208)</f>
        <v>0</v>
      </c>
      <c r="G236" s="494">
        <f>F236*'OSNOVNI PODATKI'!$I$249</f>
        <v>0</v>
      </c>
      <c r="H236" s="117">
        <f>+G236*'ARHIGRAM 5'!$I$17</f>
        <v>0</v>
      </c>
    </row>
    <row r="237" spans="1:8" s="14" customFormat="1" ht="14.25" x14ac:dyDescent="0.2">
      <c r="A237" s="155" t="s">
        <v>68</v>
      </c>
      <c r="B237" s="158" t="s">
        <v>781</v>
      </c>
      <c r="C237" s="158"/>
      <c r="D237" s="158"/>
      <c r="E237" s="145">
        <v>0</v>
      </c>
      <c r="F237" s="145">
        <f t="shared" si="9"/>
        <v>0</v>
      </c>
      <c r="G237" s="495">
        <f>F237*'OSNOVNI PODATKI'!$I$249</f>
        <v>0</v>
      </c>
      <c r="H237" s="121">
        <f>+G237*'ARHIGRAM 5'!$I$17</f>
        <v>0</v>
      </c>
    </row>
    <row r="238" spans="1:8" s="14" customFormat="1" ht="14.25" x14ac:dyDescent="0.2">
      <c r="A238" s="157">
        <v>6</v>
      </c>
      <c r="B238" s="133" t="s">
        <v>69</v>
      </c>
      <c r="C238" s="133"/>
      <c r="D238" s="133"/>
      <c r="E238" s="134"/>
      <c r="F238" s="134"/>
      <c r="G238" s="496"/>
      <c r="H238" s="136"/>
    </row>
    <row r="239" spans="1:8" s="14" customFormat="1" ht="14.25" x14ac:dyDescent="0.2">
      <c r="A239" s="119" t="s">
        <v>73</v>
      </c>
      <c r="B239" s="128" t="s">
        <v>259</v>
      </c>
      <c r="C239" s="128"/>
      <c r="D239" s="128"/>
      <c r="E239" s="116"/>
      <c r="F239" s="116"/>
      <c r="G239" s="494"/>
      <c r="H239" s="117"/>
    </row>
    <row r="240" spans="1:8" s="14" customFormat="1" ht="14.25" x14ac:dyDescent="0.2">
      <c r="A240" s="119" t="s">
        <v>74</v>
      </c>
      <c r="B240" s="128" t="s">
        <v>260</v>
      </c>
      <c r="C240" s="128"/>
      <c r="D240" s="128"/>
      <c r="E240" s="116"/>
      <c r="F240" s="116"/>
      <c r="G240" s="494"/>
      <c r="H240" s="117"/>
    </row>
    <row r="241" spans="1:8" s="14" customFormat="1" ht="14.25" x14ac:dyDescent="0.2">
      <c r="A241" s="155" t="s">
        <v>75</v>
      </c>
      <c r="B241" s="158" t="s">
        <v>261</v>
      </c>
      <c r="C241" s="158"/>
      <c r="D241" s="158"/>
      <c r="E241" s="145"/>
      <c r="F241" s="145"/>
      <c r="G241" s="495"/>
      <c r="H241" s="121"/>
    </row>
    <row r="242" spans="1:8" s="14" customFormat="1" ht="14.25" x14ac:dyDescent="0.2">
      <c r="A242" s="122"/>
      <c r="B242" s="123"/>
      <c r="C242" s="123"/>
      <c r="D242" s="123"/>
      <c r="E242" s="124"/>
      <c r="F242" s="124"/>
      <c r="G242" s="159"/>
      <c r="H242" s="160"/>
    </row>
    <row r="243" spans="1:8" s="14" customFormat="1" ht="14.25" x14ac:dyDescent="0.2">
      <c r="A243" s="165"/>
      <c r="B243" s="166" t="s">
        <v>1</v>
      </c>
      <c r="C243" s="166"/>
      <c r="D243" s="166"/>
      <c r="E243" s="167">
        <f>E213+E216+E220+E226+E229+E235+E238</f>
        <v>1.0000000000000002</v>
      </c>
      <c r="F243" s="167">
        <f>F213+F216+F220+F226+F229+F235+F238</f>
        <v>1.0000000000000002</v>
      </c>
      <c r="G243" s="174">
        <f>G213+G216+G220+G226+G229+G235+G238</f>
        <v>116.81999999999998</v>
      </c>
      <c r="H243" s="168">
        <f>H213+H216+H220+H226+H229+H235+H238</f>
        <v>4672.8</v>
      </c>
    </row>
    <row r="244" spans="1:8" s="14" customFormat="1" ht="14.25" x14ac:dyDescent="0.2">
      <c r="A244" s="161"/>
      <c r="B244" s="162" t="s">
        <v>248</v>
      </c>
      <c r="C244" s="163"/>
      <c r="D244" s="163"/>
      <c r="E244" s="33"/>
      <c r="G244" s="33"/>
      <c r="H244" s="164">
        <f>IFERROR(H243/'OSNOVNI PODATKI'!$D$170,0)</f>
        <v>1.5576000000000001E-3</v>
      </c>
    </row>
    <row r="245" spans="1:8" s="14" customFormat="1" ht="14.25" x14ac:dyDescent="0.2">
      <c r="A245" s="161"/>
      <c r="B245" s="162" t="s">
        <v>247</v>
      </c>
      <c r="C245" s="163"/>
      <c r="D245" s="163"/>
      <c r="E245" s="33"/>
      <c r="G245" s="33"/>
      <c r="H245" s="164">
        <f>IFERROR(H243/'OSNOVNI PODATKI'!$D$206,0)</f>
        <v>1.5320655737704918E-3</v>
      </c>
    </row>
    <row r="246" spans="1:8" s="14" customFormat="1" ht="14.25" x14ac:dyDescent="0.2"/>
    <row r="247" spans="1:8" s="14" customFormat="1" ht="14.25" x14ac:dyDescent="0.2"/>
    <row r="248" spans="1:8" s="14" customFormat="1" ht="14.25" x14ac:dyDescent="0.2">
      <c r="B248" s="402"/>
    </row>
    <row r="249" spans="1:8" s="14" customFormat="1" ht="14.25" x14ac:dyDescent="0.2">
      <c r="A249" s="366"/>
      <c r="B249" s="366" t="s">
        <v>431</v>
      </c>
      <c r="C249" s="366"/>
      <c r="D249" s="366"/>
      <c r="E249" s="366"/>
      <c r="F249" s="366"/>
      <c r="G249" s="366"/>
    </row>
    <row r="250" spans="1:8" s="101" customFormat="1" x14ac:dyDescent="0.2">
      <c r="A250" s="367"/>
      <c r="B250" s="367"/>
      <c r="C250" s="367"/>
      <c r="D250" s="367"/>
      <c r="E250" s="367"/>
      <c r="F250" s="458"/>
      <c r="G250" s="367"/>
      <c r="H250" s="367"/>
    </row>
    <row r="251" spans="1:8" s="101" customFormat="1" x14ac:dyDescent="0.2">
      <c r="A251" s="458"/>
      <c r="B251" s="470" t="str">
        <f>'OSNOVNI PODATKI'!$B$255</f>
        <v>PRIBITEK ZA PRENOVO</v>
      </c>
      <c r="C251" s="467"/>
      <c r="D251" s="471"/>
      <c r="E251" s="471"/>
      <c r="F251" s="520">
        <f>'OSNOVNI PODATKI'!$E$255</f>
        <v>0</v>
      </c>
      <c r="G251" s="467"/>
      <c r="H251" s="467"/>
    </row>
    <row r="252" spans="1:8" s="101" customFormat="1" x14ac:dyDescent="0.2">
      <c r="A252" s="458"/>
      <c r="B252" s="470" t="str">
        <f>'OSNOVNI PODATKI'!$B$257</f>
        <v>UPORABA BIM PROCESOV</v>
      </c>
      <c r="C252" s="467"/>
      <c r="D252" s="471"/>
      <c r="E252" s="471"/>
      <c r="F252" s="521">
        <f>'OSNOVNI PODATKI'!$E$257</f>
        <v>0</v>
      </c>
      <c r="G252" s="467"/>
      <c r="H252" s="467"/>
    </row>
    <row r="253" spans="1:8" s="101" customFormat="1" x14ac:dyDescent="0.2">
      <c r="A253" s="458"/>
      <c r="B253" s="534"/>
      <c r="C253" s="534"/>
      <c r="D253" s="534"/>
      <c r="E253" s="534"/>
      <c r="F253" s="467"/>
      <c r="G253" s="467"/>
      <c r="H253" s="467"/>
    </row>
    <row r="254" spans="1:8" s="14" customFormat="1" ht="14.25" x14ac:dyDescent="0.2">
      <c r="A254" s="367"/>
      <c r="B254" s="367"/>
      <c r="C254" s="367"/>
      <c r="D254" s="367"/>
      <c r="E254" s="367"/>
      <c r="F254" s="367"/>
      <c r="G254" s="367"/>
      <c r="H254" s="367"/>
    </row>
    <row r="255" spans="1:8" s="14" customFormat="1" ht="25.5" x14ac:dyDescent="0.2">
      <c r="A255" s="137"/>
      <c r="B255" s="138"/>
      <c r="C255" s="138"/>
      <c r="D255" s="138"/>
      <c r="E255" s="139" t="s">
        <v>31</v>
      </c>
      <c r="F255" s="509" t="s">
        <v>442</v>
      </c>
      <c r="G255" s="140" t="s">
        <v>76</v>
      </c>
      <c r="H255" s="141" t="s">
        <v>90</v>
      </c>
    </row>
    <row r="256" spans="1:8" s="14" customFormat="1" ht="14.25" x14ac:dyDescent="0.2">
      <c r="A256" s="132" t="s">
        <v>38</v>
      </c>
      <c r="B256" s="133" t="s">
        <v>39</v>
      </c>
      <c r="C256" s="133"/>
      <c r="D256" s="133"/>
      <c r="E256" s="134"/>
      <c r="F256" s="134"/>
      <c r="G256" s="496"/>
      <c r="H256" s="136"/>
    </row>
    <row r="257" spans="1:8" s="14" customFormat="1" ht="14.25" x14ac:dyDescent="0.2">
      <c r="A257" s="115" t="s">
        <v>40</v>
      </c>
      <c r="B257" s="127" t="s">
        <v>85</v>
      </c>
      <c r="C257" s="127"/>
      <c r="D257" s="127"/>
      <c r="E257" s="116"/>
      <c r="F257" s="116"/>
      <c r="G257" s="494"/>
      <c r="H257" s="117" t="str">
        <f>IF(J264=TRUE,G257*'VREDNOST NU'!#REF!,"")</f>
        <v/>
      </c>
    </row>
    <row r="258" spans="1:8" x14ac:dyDescent="0.2">
      <c r="A258" s="143" t="s">
        <v>41</v>
      </c>
      <c r="B258" s="144" t="s">
        <v>86</v>
      </c>
      <c r="C258" s="144"/>
      <c r="D258" s="144"/>
      <c r="E258" s="145"/>
      <c r="F258" s="145"/>
      <c r="G258" s="495"/>
      <c r="H258" s="121" t="str">
        <f>IF(J265=TRUE,G258*'VREDNOST NU'!#REF!,"")</f>
        <v/>
      </c>
    </row>
    <row r="259" spans="1:8" x14ac:dyDescent="0.2">
      <c r="A259" s="142" t="s">
        <v>42</v>
      </c>
      <c r="B259" s="133" t="s">
        <v>43</v>
      </c>
      <c r="C259" s="133"/>
      <c r="D259" s="133"/>
      <c r="E259" s="134">
        <f>SUM(E260:E262)</f>
        <v>0.03</v>
      </c>
      <c r="F259" s="134">
        <f>SUM(F260:F262)</f>
        <v>0.03</v>
      </c>
      <c r="G259" s="496">
        <f>SUM(G260:G262)</f>
        <v>2.883</v>
      </c>
      <c r="H259" s="136">
        <f>SUM(H260:H262)</f>
        <v>115.32</v>
      </c>
    </row>
    <row r="260" spans="1:8" s="101" customFormat="1" x14ac:dyDescent="0.2">
      <c r="A260" s="118" t="s">
        <v>44</v>
      </c>
      <c r="B260" s="126" t="s">
        <v>87</v>
      </c>
      <c r="C260" s="126"/>
      <c r="D260" s="126"/>
      <c r="E260" s="116">
        <v>0.02</v>
      </c>
      <c r="F260" s="510">
        <f>E260*(100%+$F$251)</f>
        <v>0.02</v>
      </c>
      <c r="G260" s="494">
        <f>F260*'OSNOVNI PODATKI'!$I$250</f>
        <v>1.9219999999999999</v>
      </c>
      <c r="H260" s="117">
        <f>+G260*'ARHIGRAM 5'!$I$17</f>
        <v>76.88</v>
      </c>
    </row>
    <row r="261" spans="1:8" s="2" customFormat="1" x14ac:dyDescent="0.2">
      <c r="A261" s="118" t="s">
        <v>45</v>
      </c>
      <c r="B261" s="126" t="s">
        <v>88</v>
      </c>
      <c r="C261" s="126"/>
      <c r="D261" s="126"/>
      <c r="E261" s="116">
        <v>0</v>
      </c>
      <c r="F261" s="116">
        <f t="shared" ref="F261:F262" si="10">E261*(100%+$F$251)</f>
        <v>0</v>
      </c>
      <c r="G261" s="494">
        <f>F261*'OSNOVNI PODATKI'!$I$250</f>
        <v>0</v>
      </c>
      <c r="H261" s="117">
        <f>+G261*'ARHIGRAM 5'!$I$17</f>
        <v>0</v>
      </c>
    </row>
    <row r="262" spans="1:8" s="13" customFormat="1" ht="14.25" x14ac:dyDescent="0.25">
      <c r="A262" s="148" t="s">
        <v>46</v>
      </c>
      <c r="B262" s="149" t="s">
        <v>741</v>
      </c>
      <c r="C262" s="149"/>
      <c r="D262" s="149"/>
      <c r="E262" s="145">
        <v>0.01</v>
      </c>
      <c r="F262" s="145">
        <f t="shared" si="10"/>
        <v>0.01</v>
      </c>
      <c r="G262" s="495">
        <f>F262*'OSNOVNI PODATKI'!$I$250</f>
        <v>0.96099999999999997</v>
      </c>
      <c r="H262" s="121">
        <f>+G262*'ARHIGRAM 5'!$I$17</f>
        <v>38.44</v>
      </c>
    </row>
    <row r="263" spans="1:8" s="14" customFormat="1" ht="14.25" x14ac:dyDescent="0.2">
      <c r="A263" s="146">
        <v>2</v>
      </c>
      <c r="B263" s="133" t="s">
        <v>47</v>
      </c>
      <c r="C263" s="133"/>
      <c r="D263" s="133"/>
      <c r="E263" s="134">
        <f>+E264+E265+E266+E267+E268</f>
        <v>0.95000000000000018</v>
      </c>
      <c r="F263" s="134">
        <f>+F264+F265+F266+F267+F268</f>
        <v>0.95000000000000018</v>
      </c>
      <c r="G263" s="497">
        <f>SUM(G264:G268)</f>
        <v>91.294999999999987</v>
      </c>
      <c r="H263" s="136">
        <f>SUM(H264:H268)</f>
        <v>3651.7999999999993</v>
      </c>
    </row>
    <row r="264" spans="1:8" s="14" customFormat="1" ht="14.25" x14ac:dyDescent="0.2">
      <c r="A264" s="118" t="s">
        <v>70</v>
      </c>
      <c r="B264" s="126" t="s">
        <v>124</v>
      </c>
      <c r="C264" s="126"/>
      <c r="D264" s="126"/>
      <c r="E264" s="129">
        <v>0.2</v>
      </c>
      <c r="F264" s="510">
        <f>E264*(100%+$F$251+$F$252)</f>
        <v>0.2</v>
      </c>
      <c r="G264" s="494">
        <f>F264*'OSNOVNI PODATKI'!$I$250</f>
        <v>19.22</v>
      </c>
      <c r="H264" s="117">
        <f>+G264*'ARHIGRAM 5'!$I$17</f>
        <v>768.8</v>
      </c>
    </row>
    <row r="265" spans="1:8" s="14" customFormat="1" ht="14.25" x14ac:dyDescent="0.2">
      <c r="A265" s="130" t="s">
        <v>71</v>
      </c>
      <c r="B265" s="131" t="s">
        <v>617</v>
      </c>
      <c r="C265" s="131"/>
      <c r="D265" s="131"/>
      <c r="E265" s="129">
        <v>0.4</v>
      </c>
      <c r="F265" s="129">
        <f t="shared" ref="F265:F268" si="11">E265*(100%+$F$251+$F$252)</f>
        <v>0.4</v>
      </c>
      <c r="G265" s="494">
        <f>F265*'OSNOVNI PODATKI'!$I$250</f>
        <v>38.44</v>
      </c>
      <c r="H265" s="117">
        <f>+G265*'ARHIGRAM 5'!$I$17</f>
        <v>1537.6</v>
      </c>
    </row>
    <row r="266" spans="1:8" s="14" customFormat="1" ht="14.25" x14ac:dyDescent="0.2">
      <c r="A266" s="130" t="s">
        <v>72</v>
      </c>
      <c r="B266" s="131" t="s">
        <v>1074</v>
      </c>
      <c r="C266" s="131"/>
      <c r="D266" s="131"/>
      <c r="E266" s="129">
        <v>0.06</v>
      </c>
      <c r="F266" s="129">
        <f t="shared" si="11"/>
        <v>0.06</v>
      </c>
      <c r="G266" s="494">
        <f>F266*'OSNOVNI PODATKI'!$I$250</f>
        <v>5.7659999999999991</v>
      </c>
      <c r="H266" s="117">
        <f>+G266*'ARHIGRAM 5'!$I$17</f>
        <v>230.63999999999996</v>
      </c>
    </row>
    <row r="267" spans="1:8" s="14" customFormat="1" ht="14.25" x14ac:dyDescent="0.2">
      <c r="A267" s="130" t="s">
        <v>125</v>
      </c>
      <c r="B267" s="131" t="s">
        <v>618</v>
      </c>
      <c r="C267" s="131"/>
      <c r="D267" s="131"/>
      <c r="E267" s="129">
        <v>0.27</v>
      </c>
      <c r="F267" s="129">
        <f t="shared" si="11"/>
        <v>0.27</v>
      </c>
      <c r="G267" s="494">
        <f>F267*'OSNOVNI PODATKI'!$I$250</f>
        <v>25.946999999999999</v>
      </c>
      <c r="H267" s="117">
        <f>+G267*'ARHIGRAM 5'!$I$17</f>
        <v>1037.8799999999999</v>
      </c>
    </row>
    <row r="268" spans="1:8" s="14" customFormat="1" ht="14.25" x14ac:dyDescent="0.2">
      <c r="A268" s="151" t="s">
        <v>126</v>
      </c>
      <c r="B268" s="152" t="s">
        <v>742</v>
      </c>
      <c r="C268" s="152"/>
      <c r="D268" s="152"/>
      <c r="E268" s="153">
        <v>0.02</v>
      </c>
      <c r="F268" s="153">
        <f t="shared" si="11"/>
        <v>0.02</v>
      </c>
      <c r="G268" s="495">
        <f>F268*'OSNOVNI PODATKI'!$I$250</f>
        <v>1.9219999999999999</v>
      </c>
      <c r="H268" s="121">
        <f>+G268*'ARHIGRAM 5'!$I$17</f>
        <v>76.88</v>
      </c>
    </row>
    <row r="269" spans="1:8" s="14" customFormat="1" ht="14.25" x14ac:dyDescent="0.2">
      <c r="A269" s="150" t="s">
        <v>58</v>
      </c>
      <c r="B269" s="133" t="s">
        <v>801</v>
      </c>
      <c r="C269" s="133"/>
      <c r="D269" s="133"/>
      <c r="E269" s="134">
        <f>SUM(E270:E271)</f>
        <v>0.02</v>
      </c>
      <c r="F269" s="134">
        <f>SUM(F270:F271)</f>
        <v>0.02</v>
      </c>
      <c r="G269" s="496">
        <f>SUM(G270:G271)</f>
        <v>1.9219999999999999</v>
      </c>
      <c r="H269" s="136">
        <f>SUM(H270:H271)</f>
        <v>76.88</v>
      </c>
    </row>
    <row r="270" spans="1:8" s="14" customFormat="1" ht="14.25" x14ac:dyDescent="0.2">
      <c r="A270" s="119" t="s">
        <v>59</v>
      </c>
      <c r="B270" s="125" t="s">
        <v>743</v>
      </c>
      <c r="C270" s="125"/>
      <c r="D270" s="125"/>
      <c r="E270" s="116">
        <v>0</v>
      </c>
      <c r="F270" s="116">
        <f t="shared" ref="F270:F271" si="12">E270*(100%+$F$251)</f>
        <v>0</v>
      </c>
      <c r="G270" s="494">
        <f>F270*'OSNOVNI PODATKI'!$I$250</f>
        <v>0</v>
      </c>
      <c r="H270" s="117">
        <f>+G270*'ARHIGRAM 5'!$I$17</f>
        <v>0</v>
      </c>
    </row>
    <row r="271" spans="1:8" s="14" customFormat="1" ht="14.25" x14ac:dyDescent="0.2">
      <c r="A271" s="155" t="s">
        <v>60</v>
      </c>
      <c r="B271" s="120" t="s">
        <v>255</v>
      </c>
      <c r="C271" s="120"/>
      <c r="D271" s="120"/>
      <c r="E271" s="145">
        <v>0.02</v>
      </c>
      <c r="F271" s="145">
        <f t="shared" si="12"/>
        <v>0.02</v>
      </c>
      <c r="G271" s="495">
        <f>F271*'OSNOVNI PODATKI'!$I$250</f>
        <v>1.9219999999999999</v>
      </c>
      <c r="H271" s="121">
        <f>+G271*'ARHIGRAM 5'!$I$17</f>
        <v>76.88</v>
      </c>
    </row>
    <row r="272" spans="1:8" s="14" customFormat="1" ht="14.25" x14ac:dyDescent="0.2">
      <c r="A272" s="154">
        <v>4</v>
      </c>
      <c r="B272" s="133" t="s">
        <v>80</v>
      </c>
      <c r="C272" s="133"/>
      <c r="D272" s="133"/>
      <c r="E272" s="134">
        <f>SUM(E273:E277)</f>
        <v>0</v>
      </c>
      <c r="F272" s="134">
        <f>SUM(F273:F277)</f>
        <v>0</v>
      </c>
      <c r="G272" s="496">
        <f>SUM(G273:G277)</f>
        <v>0</v>
      </c>
      <c r="H272" s="136">
        <f>SUM(H273:H277)</f>
        <v>0</v>
      </c>
    </row>
    <row r="273" spans="1:8" s="14" customFormat="1" ht="14.25" x14ac:dyDescent="0.2">
      <c r="A273" s="119" t="s">
        <v>61</v>
      </c>
      <c r="B273" s="125" t="s">
        <v>256</v>
      </c>
      <c r="C273" s="125"/>
      <c r="D273" s="125"/>
      <c r="E273" s="116">
        <v>0</v>
      </c>
      <c r="F273" s="116">
        <f t="shared" ref="F273:F277" si="13">E273*(100%+$F$251)</f>
        <v>0</v>
      </c>
      <c r="G273" s="494">
        <f>F273*'OSNOVNI PODATKI'!$I$250</f>
        <v>0</v>
      </c>
      <c r="H273" s="117">
        <f>+G273*'ARHIGRAM 5'!$I$17</f>
        <v>0</v>
      </c>
    </row>
    <row r="274" spans="1:8" s="14" customFormat="1" ht="14.25" x14ac:dyDescent="0.2">
      <c r="A274" s="119" t="s">
        <v>62</v>
      </c>
      <c r="B274" s="125" t="s">
        <v>779</v>
      </c>
      <c r="C274" s="125"/>
      <c r="D274" s="125"/>
      <c r="E274" s="116">
        <v>0</v>
      </c>
      <c r="F274" s="116">
        <f t="shared" si="13"/>
        <v>0</v>
      </c>
      <c r="G274" s="494">
        <f>F274*'OSNOVNI PODATKI'!$I$250</f>
        <v>0</v>
      </c>
      <c r="H274" s="117">
        <f>+G274*'ARHIGRAM 5'!$I$17</f>
        <v>0</v>
      </c>
    </row>
    <row r="275" spans="1:8" s="14" customFormat="1" ht="14.25" x14ac:dyDescent="0.2">
      <c r="A275" s="119" t="s">
        <v>63</v>
      </c>
      <c r="B275" s="125" t="s">
        <v>1076</v>
      </c>
      <c r="C275" s="125"/>
      <c r="D275" s="125"/>
      <c r="E275" s="116">
        <v>0</v>
      </c>
      <c r="F275" s="116">
        <f t="shared" si="13"/>
        <v>0</v>
      </c>
      <c r="G275" s="494">
        <f>F275*'OSNOVNI PODATKI'!$I$250</f>
        <v>0</v>
      </c>
      <c r="H275" s="117">
        <f>+G275*'ARHIGRAM 5'!$I$17</f>
        <v>0</v>
      </c>
    </row>
    <row r="276" spans="1:8" s="14" customFormat="1" ht="14.25" x14ac:dyDescent="0.2">
      <c r="A276" s="119" t="s">
        <v>64</v>
      </c>
      <c r="B276" s="125" t="s">
        <v>780</v>
      </c>
      <c r="C276" s="125"/>
      <c r="D276" s="125"/>
      <c r="E276" s="116">
        <v>0</v>
      </c>
      <c r="F276" s="116">
        <f t="shared" si="13"/>
        <v>0</v>
      </c>
      <c r="G276" s="494">
        <f>F276*'OSNOVNI PODATKI'!$I$250</f>
        <v>0</v>
      </c>
      <c r="H276" s="117">
        <f>+G276*'ARHIGRAM 5'!$I$17</f>
        <v>0</v>
      </c>
    </row>
    <row r="277" spans="1:8" s="14" customFormat="1" ht="14.25" x14ac:dyDescent="0.2">
      <c r="A277" s="155" t="s">
        <v>65</v>
      </c>
      <c r="B277" s="120" t="s">
        <v>744</v>
      </c>
      <c r="C277" s="120"/>
      <c r="D277" s="120"/>
      <c r="E277" s="145">
        <v>0</v>
      </c>
      <c r="F277" s="145">
        <f t="shared" si="13"/>
        <v>0</v>
      </c>
      <c r="G277" s="495">
        <f>F277*'OSNOVNI PODATKI'!$I$250</f>
        <v>0</v>
      </c>
      <c r="H277" s="121">
        <f>+G277*'ARHIGRAM 5'!$I$17</f>
        <v>0</v>
      </c>
    </row>
    <row r="278" spans="1:8" s="14" customFormat="1" ht="14.25" x14ac:dyDescent="0.2">
      <c r="A278" s="156">
        <v>5</v>
      </c>
      <c r="B278" s="133" t="s">
        <v>66</v>
      </c>
      <c r="C278" s="133"/>
      <c r="D278" s="133"/>
      <c r="E278" s="134">
        <f>SUM(E279:E280)</f>
        <v>0</v>
      </c>
      <c r="F278" s="134">
        <f>SUM(F279:F280)</f>
        <v>0</v>
      </c>
      <c r="G278" s="496">
        <f>SUM(G279:G280)</f>
        <v>0</v>
      </c>
      <c r="H278" s="136">
        <f>SUM(H279:H280)</f>
        <v>0</v>
      </c>
    </row>
    <row r="279" spans="1:8" s="14" customFormat="1" ht="14.25" x14ac:dyDescent="0.2">
      <c r="A279" s="119" t="s">
        <v>67</v>
      </c>
      <c r="B279" s="128" t="s">
        <v>257</v>
      </c>
      <c r="C279" s="128"/>
      <c r="D279" s="128"/>
      <c r="E279" s="116">
        <v>0</v>
      </c>
      <c r="F279" s="116">
        <f t="shared" ref="F279:F280" si="14">E279*(100%+$F$251)</f>
        <v>0</v>
      </c>
      <c r="G279" s="494">
        <f>F279*'OSNOVNI PODATKI'!$I$250</f>
        <v>0</v>
      </c>
      <c r="H279" s="117">
        <f>+G279*'ARHIGRAM 5'!$I$17</f>
        <v>0</v>
      </c>
    </row>
    <row r="280" spans="1:8" s="14" customFormat="1" ht="14.25" x14ac:dyDescent="0.2">
      <c r="A280" s="155" t="s">
        <v>68</v>
      </c>
      <c r="B280" s="158" t="s">
        <v>781</v>
      </c>
      <c r="C280" s="158"/>
      <c r="D280" s="158"/>
      <c r="E280" s="145">
        <v>0</v>
      </c>
      <c r="F280" s="145">
        <f t="shared" si="14"/>
        <v>0</v>
      </c>
      <c r="G280" s="495">
        <f>F280*'OSNOVNI PODATKI'!$I$250</f>
        <v>0</v>
      </c>
      <c r="H280" s="121">
        <f>+G280*'ARHIGRAM 5'!$I$17</f>
        <v>0</v>
      </c>
    </row>
    <row r="281" spans="1:8" s="14" customFormat="1" ht="14.25" x14ac:dyDescent="0.2">
      <c r="A281" s="157">
        <v>6</v>
      </c>
      <c r="B281" s="133" t="s">
        <v>69</v>
      </c>
      <c r="C281" s="133"/>
      <c r="D281" s="133"/>
      <c r="E281" s="134"/>
      <c r="F281" s="134"/>
      <c r="G281" s="496"/>
      <c r="H281" s="136"/>
    </row>
    <row r="282" spans="1:8" s="14" customFormat="1" ht="14.25" x14ac:dyDescent="0.2">
      <c r="A282" s="119" t="s">
        <v>73</v>
      </c>
      <c r="B282" s="128" t="s">
        <v>259</v>
      </c>
      <c r="C282" s="128"/>
      <c r="D282" s="128"/>
      <c r="E282" s="116"/>
      <c r="F282" s="116"/>
      <c r="G282" s="494"/>
      <c r="H282" s="117"/>
    </row>
    <row r="283" spans="1:8" s="14" customFormat="1" ht="14.25" x14ac:dyDescent="0.2">
      <c r="A283" s="119" t="s">
        <v>74</v>
      </c>
      <c r="B283" s="128" t="s">
        <v>260</v>
      </c>
      <c r="C283" s="128"/>
      <c r="D283" s="128"/>
      <c r="E283" s="116"/>
      <c r="F283" s="116"/>
      <c r="G283" s="494"/>
      <c r="H283" s="117"/>
    </row>
    <row r="284" spans="1:8" s="14" customFormat="1" ht="14.25" x14ac:dyDescent="0.2">
      <c r="A284" s="155" t="s">
        <v>75</v>
      </c>
      <c r="B284" s="158" t="s">
        <v>261</v>
      </c>
      <c r="C284" s="158"/>
      <c r="D284" s="158"/>
      <c r="E284" s="145"/>
      <c r="F284" s="145"/>
      <c r="G284" s="495"/>
      <c r="H284" s="121"/>
    </row>
    <row r="285" spans="1:8" s="14" customFormat="1" ht="14.25" x14ac:dyDescent="0.2">
      <c r="A285" s="122"/>
      <c r="B285" s="123"/>
      <c r="C285" s="123"/>
      <c r="D285" s="123"/>
      <c r="E285" s="124"/>
      <c r="F285" s="124"/>
      <c r="G285" s="159"/>
      <c r="H285" s="160"/>
    </row>
    <row r="286" spans="1:8" s="14" customFormat="1" ht="14.25" x14ac:dyDescent="0.2">
      <c r="A286" s="165"/>
      <c r="B286" s="166" t="s">
        <v>1</v>
      </c>
      <c r="C286" s="166"/>
      <c r="D286" s="166"/>
      <c r="E286" s="167">
        <f>E256+E259+E263+E269+E272+E278+E281</f>
        <v>1.0000000000000002</v>
      </c>
      <c r="F286" s="167">
        <f>F256+F259+F263+F269+F272+F278+F281</f>
        <v>1.0000000000000002</v>
      </c>
      <c r="G286" s="174">
        <f>G256+G259+G263+G269+G272+G278+G281</f>
        <v>96.09999999999998</v>
      </c>
      <c r="H286" s="168">
        <f>H256+H259+H263+H269+H272+H278+H281</f>
        <v>3843.9999999999995</v>
      </c>
    </row>
    <row r="287" spans="1:8" s="14" customFormat="1" ht="14.25" x14ac:dyDescent="0.2">
      <c r="A287" s="161"/>
      <c r="B287" s="162" t="s">
        <v>248</v>
      </c>
      <c r="C287" s="163"/>
      <c r="D287" s="163"/>
      <c r="E287" s="33"/>
      <c r="G287" s="33"/>
      <c r="H287" s="164">
        <f>IFERROR(H286/'OSNOVNI PODATKI'!$D$170,0)</f>
        <v>1.2813333333333331E-3</v>
      </c>
    </row>
    <row r="288" spans="1:8" s="14" customFormat="1" ht="14.25" x14ac:dyDescent="0.2">
      <c r="A288" s="161"/>
      <c r="B288" s="162" t="s">
        <v>247</v>
      </c>
      <c r="C288" s="163"/>
      <c r="D288" s="163"/>
      <c r="E288" s="33"/>
      <c r="G288" s="33"/>
      <c r="H288" s="164">
        <f>IFERROR(H286/'OSNOVNI PODATKI'!$D$206,0)</f>
        <v>1.2603278688524588E-3</v>
      </c>
    </row>
    <row r="289" spans="2:2" s="14" customFormat="1" ht="14.25" x14ac:dyDescent="0.2"/>
    <row r="290" spans="2:2" s="14" customFormat="1" ht="14.25" x14ac:dyDescent="0.2"/>
    <row r="291" spans="2:2" s="14" customFormat="1" ht="14.25" x14ac:dyDescent="0.2">
      <c r="B291" s="402"/>
    </row>
    <row r="292" spans="2:2" s="14" customFormat="1" ht="14.25" x14ac:dyDescent="0.2"/>
    <row r="293" spans="2:2" s="14" customFormat="1" ht="14.25" x14ac:dyDescent="0.2"/>
  </sheetData>
  <mergeCells count="3">
    <mergeCell ref="B70:B71"/>
    <mergeCell ref="B4:B5"/>
    <mergeCell ref="B37:B38"/>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EDCF-AED3-4DA4-BB87-9B663208CB8F}">
  <dimension ref="A1:D9"/>
  <sheetViews>
    <sheetView workbookViewId="0">
      <selection activeCell="A5" sqref="A5"/>
    </sheetView>
  </sheetViews>
  <sheetFormatPr defaultRowHeight="12.75" x14ac:dyDescent="0.2"/>
  <cols>
    <col min="1" max="1" width="17.7109375" style="1031" bestFit="1" customWidth="1"/>
    <col min="2" max="2" width="15.5703125" style="1031" bestFit="1" customWidth="1"/>
    <col min="3" max="3" width="13.140625" customWidth="1"/>
    <col min="4" max="4" width="11.85546875" bestFit="1" customWidth="1"/>
  </cols>
  <sheetData>
    <row r="1" spans="1:4" x14ac:dyDescent="0.2">
      <c r="D1" s="421"/>
    </row>
    <row r="2" spans="1:4" x14ac:dyDescent="0.2">
      <c r="A2" s="1050" t="s">
        <v>808</v>
      </c>
    </row>
    <row r="3" spans="1:4" x14ac:dyDescent="0.2">
      <c r="A3" s="1050" t="s">
        <v>809</v>
      </c>
      <c r="C3" s="1031"/>
      <c r="D3" s="1031"/>
    </row>
    <row r="4" spans="1:4" x14ac:dyDescent="0.2">
      <c r="A4" s="1050" t="s">
        <v>810</v>
      </c>
      <c r="C4" s="1031"/>
      <c r="D4" s="1031"/>
    </row>
    <row r="5" spans="1:4" x14ac:dyDescent="0.2">
      <c r="C5" s="1031"/>
      <c r="D5" s="1031"/>
    </row>
    <row r="6" spans="1:4" x14ac:dyDescent="0.2">
      <c r="C6" s="1031"/>
      <c r="D6" s="1031"/>
    </row>
    <row r="7" spans="1:4" x14ac:dyDescent="0.2">
      <c r="C7" s="1031"/>
      <c r="D7" s="1031"/>
    </row>
    <row r="9" spans="1:4" x14ac:dyDescent="0.2">
      <c r="B9" s="1032"/>
      <c r="C9" s="10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outlinePr summaryBelow="0"/>
    <pageSetUpPr fitToPage="1"/>
  </sheetPr>
  <dimension ref="A1:Z270"/>
  <sheetViews>
    <sheetView workbookViewId="0">
      <selection activeCell="B271" sqref="B271"/>
    </sheetView>
  </sheetViews>
  <sheetFormatPr defaultColWidth="9.140625" defaultRowHeight="12.75" outlineLevelRow="1" x14ac:dyDescent="0.2"/>
  <cols>
    <col min="1" max="1" width="10.7109375" style="36" customWidth="1"/>
    <col min="2" max="2" width="59.140625" style="31" customWidth="1"/>
    <col min="3" max="3" width="13.85546875" style="37" customWidth="1"/>
    <col min="4" max="4" width="69.7109375" style="374" customWidth="1"/>
    <col min="5" max="5" width="15.28515625" style="31" customWidth="1"/>
    <col min="6" max="6" width="14.85546875" style="31" customWidth="1"/>
    <col min="7" max="8" width="12.5703125" style="31" customWidth="1"/>
    <col min="9" max="9" width="12" style="31" customWidth="1"/>
    <col min="10" max="10" width="19.28515625" style="31" customWidth="1"/>
    <col min="11" max="11" width="15.5703125" style="31" customWidth="1"/>
    <col min="12" max="12" width="9.140625" style="31"/>
    <col min="13" max="13" width="18.7109375" style="31" customWidth="1"/>
    <col min="14" max="14" width="9.140625" style="31"/>
    <col min="15" max="15" width="27.5703125" style="31" customWidth="1"/>
    <col min="16" max="16" width="13.7109375" style="31" customWidth="1"/>
    <col min="17" max="16384" width="9.140625" style="31"/>
  </cols>
  <sheetData>
    <row r="1" spans="1:14" s="17" customFormat="1" ht="18" customHeight="1" x14ac:dyDescent="0.25">
      <c r="C1" s="547" t="s">
        <v>78</v>
      </c>
      <c r="D1" s="570" t="s">
        <v>535</v>
      </c>
      <c r="E1" s="548"/>
    </row>
    <row r="2" spans="1:14" s="18" customFormat="1" ht="18" customHeight="1" x14ac:dyDescent="0.3">
      <c r="C2" s="547"/>
      <c r="D2" s="571" t="s">
        <v>36</v>
      </c>
      <c r="E2" s="549"/>
    </row>
    <row r="3" spans="1:14" s="17" customFormat="1" ht="25.5" x14ac:dyDescent="0.35">
      <c r="A3" s="18"/>
      <c r="B3" s="396" t="s">
        <v>77</v>
      </c>
      <c r="C3" s="547" t="s">
        <v>79</v>
      </c>
      <c r="D3" s="570" t="s">
        <v>32</v>
      </c>
      <c r="E3" s="548"/>
      <c r="F3" s="18"/>
      <c r="G3" s="18"/>
      <c r="H3" s="18"/>
      <c r="I3" s="18"/>
      <c r="J3" s="20"/>
      <c r="K3" s="20"/>
    </row>
    <row r="4" spans="1:14" s="20" customFormat="1" ht="25.5" x14ac:dyDescent="0.25">
      <c r="A4" s="49"/>
      <c r="B4" s="888" t="s">
        <v>740</v>
      </c>
      <c r="C4" s="547" t="s">
        <v>80</v>
      </c>
      <c r="D4" s="572" t="s">
        <v>531</v>
      </c>
      <c r="E4" s="548"/>
    </row>
    <row r="5" spans="1:14" s="17" customFormat="1" ht="15.75" x14ac:dyDescent="0.25">
      <c r="C5" s="550" t="s">
        <v>81</v>
      </c>
      <c r="D5" s="573">
        <v>44612</v>
      </c>
      <c r="E5" s="551"/>
    </row>
    <row r="6" spans="1:14" s="17" customFormat="1" ht="15.75" x14ac:dyDescent="0.25">
      <c r="A6" s="48" t="s">
        <v>823</v>
      </c>
      <c r="B6" s="546" t="s">
        <v>824</v>
      </c>
      <c r="C6" s="550" t="s">
        <v>813</v>
      </c>
      <c r="D6" s="1109" t="s">
        <v>825</v>
      </c>
      <c r="E6" s="1108"/>
    </row>
    <row r="7" spans="1:14" s="17" customFormat="1" ht="18.75" x14ac:dyDescent="0.3">
      <c r="A7" s="21"/>
      <c r="B7" s="22"/>
      <c r="C7" s="18"/>
      <c r="D7" s="574"/>
      <c r="E7" s="18"/>
      <c r="F7" s="18"/>
      <c r="G7" s="18"/>
      <c r="H7" s="18"/>
      <c r="I7" s="18"/>
      <c r="J7" s="20"/>
      <c r="K7" s="20"/>
    </row>
    <row r="8" spans="1:14" s="20" customFormat="1" ht="25.5" x14ac:dyDescent="0.25">
      <c r="A8" s="387" t="s">
        <v>279</v>
      </c>
      <c r="B8" s="387"/>
      <c r="C8" s="387"/>
      <c r="D8" s="575"/>
      <c r="E8" s="387"/>
      <c r="I8" s="47"/>
    </row>
    <row r="9" spans="1:14" s="20" customFormat="1" ht="15.75" x14ac:dyDescent="0.25">
      <c r="A9" s="49"/>
      <c r="B9" s="38" t="s">
        <v>647</v>
      </c>
      <c r="C9" s="49"/>
      <c r="D9" s="52"/>
      <c r="E9" s="49"/>
      <c r="I9" s="47"/>
    </row>
    <row r="10" spans="1:14" s="20" customFormat="1" ht="15.75" x14ac:dyDescent="0.25">
      <c r="A10" s="49"/>
      <c r="B10" s="38"/>
      <c r="C10" s="49"/>
      <c r="D10" s="52"/>
      <c r="E10" s="49"/>
      <c r="I10" s="47"/>
    </row>
    <row r="11" spans="1:14" s="20" customFormat="1" ht="18.75" x14ac:dyDescent="0.25">
      <c r="A11" s="1" t="s">
        <v>752</v>
      </c>
      <c r="B11" s="79"/>
      <c r="C11" s="79"/>
      <c r="D11" s="576"/>
      <c r="E11" s="79"/>
      <c r="I11" s="47"/>
    </row>
    <row r="12" spans="1:14" s="20" customFormat="1" ht="73.5" customHeight="1" x14ac:dyDescent="0.25">
      <c r="B12" s="1116" t="s">
        <v>757</v>
      </c>
      <c r="C12" s="1116"/>
      <c r="D12" s="1116"/>
      <c r="E12" s="1116"/>
      <c r="I12" s="47"/>
    </row>
    <row r="13" spans="1:14" s="17" customFormat="1" ht="19.5" thickBot="1" x14ac:dyDescent="0.35">
      <c r="A13" s="85"/>
      <c r="B13" s="85"/>
      <c r="C13" s="85"/>
      <c r="D13" s="577"/>
      <c r="E13" s="85"/>
      <c r="I13" s="23"/>
    </row>
    <row r="14" spans="1:14" s="20" customFormat="1" ht="15.75" x14ac:dyDescent="0.25">
      <c r="A14" s="388" t="s">
        <v>119</v>
      </c>
      <c r="B14" s="388"/>
      <c r="C14" s="388"/>
      <c r="D14" s="578"/>
      <c r="E14" s="388"/>
      <c r="I14" s="47"/>
    </row>
    <row r="15" spans="1:14" s="20" customFormat="1" ht="15.75" x14ac:dyDescent="0.25">
      <c r="A15" s="80"/>
      <c r="B15" s="80"/>
      <c r="C15" s="80"/>
      <c r="D15" s="579"/>
      <c r="E15" s="80"/>
      <c r="I15" s="47"/>
    </row>
    <row r="16" spans="1:14" s="52" customFormat="1" ht="15.75" x14ac:dyDescent="0.2">
      <c r="A16" s="392" t="s">
        <v>636</v>
      </c>
      <c r="B16" s="84"/>
      <c r="C16" s="84"/>
      <c r="D16" s="580" t="s">
        <v>532</v>
      </c>
      <c r="E16" s="84"/>
      <c r="F16" s="49"/>
      <c r="G16" s="49"/>
      <c r="H16" s="49"/>
      <c r="I16" s="51"/>
      <c r="J16" s="49"/>
      <c r="K16" s="49"/>
      <c r="L16" s="49"/>
      <c r="M16" s="49"/>
      <c r="N16" s="49"/>
    </row>
    <row r="17" spans="1:26" s="52" customFormat="1" ht="25.5" outlineLevel="1" x14ac:dyDescent="0.2">
      <c r="A17" s="66" t="s">
        <v>585</v>
      </c>
      <c r="B17" s="50"/>
      <c r="C17" s="53"/>
      <c r="D17" s="581" t="s">
        <v>588</v>
      </c>
      <c r="E17" s="54"/>
      <c r="F17" s="49"/>
      <c r="G17" s="49"/>
      <c r="H17" s="49"/>
      <c r="I17" s="51"/>
      <c r="J17" s="49"/>
      <c r="K17" s="49"/>
      <c r="L17" s="49"/>
      <c r="M17" s="49"/>
      <c r="N17" s="49"/>
    </row>
    <row r="18" spans="1:26" s="49" customFormat="1" ht="15.75" outlineLevel="1" x14ac:dyDescent="0.2">
      <c r="A18" s="67" t="s">
        <v>112</v>
      </c>
      <c r="B18" s="55"/>
      <c r="C18" s="56"/>
      <c r="D18" s="582">
        <v>3000</v>
      </c>
      <c r="E18" s="67" t="s">
        <v>264</v>
      </c>
      <c r="I18" s="51"/>
    </row>
    <row r="19" spans="1:26" s="52" customFormat="1" ht="15.75" outlineLevel="1" x14ac:dyDescent="0.2">
      <c r="A19" s="66" t="s">
        <v>753</v>
      </c>
      <c r="B19" s="50"/>
      <c r="C19" s="53"/>
      <c r="D19" s="583" t="str">
        <f>_xlfn.IFNA(CONCATENATE(VLOOKUP(D17,'CENOVNI RAZREDI'!$B$7:$J$92,8,FALSE)," - ",VLOOKUP(D17,'CENOVNI RAZREDI'!$B$7:$J$92,9,FALSE)),"")</f>
        <v>725,76 - 1050,84</v>
      </c>
      <c r="E19" s="67" t="s">
        <v>265</v>
      </c>
      <c r="F19" s="49"/>
      <c r="G19" s="49"/>
      <c r="H19" s="49"/>
      <c r="I19" s="51"/>
      <c r="J19" s="49"/>
      <c r="K19" s="49"/>
      <c r="L19" s="49"/>
      <c r="M19" s="49"/>
      <c r="N19" s="49"/>
    </row>
    <row r="20" spans="1:26" s="49" customFormat="1" ht="15.75" outlineLevel="1" x14ac:dyDescent="0.2">
      <c r="A20" s="67" t="s">
        <v>128</v>
      </c>
      <c r="B20" s="55"/>
      <c r="C20" s="57"/>
      <c r="D20" s="584">
        <v>1000</v>
      </c>
      <c r="E20" s="67" t="s">
        <v>265</v>
      </c>
      <c r="I20" s="51"/>
      <c r="V20" s="58"/>
      <c r="W20" s="59"/>
      <c r="X20" s="60"/>
      <c r="Y20" s="59"/>
      <c r="Z20" s="60"/>
    </row>
    <row r="21" spans="1:26" s="49" customFormat="1" ht="15.75" outlineLevel="1" x14ac:dyDescent="0.2">
      <c r="A21" s="67" t="s">
        <v>601</v>
      </c>
      <c r="B21" s="55"/>
      <c r="C21" s="55"/>
      <c r="D21" s="585">
        <f>D18*D20</f>
        <v>3000000</v>
      </c>
      <c r="E21" s="331" t="s">
        <v>109</v>
      </c>
      <c r="I21" s="51"/>
      <c r="V21" s="58"/>
      <c r="W21" s="61"/>
    </row>
    <row r="22" spans="1:26" s="38" customFormat="1" outlineLevel="1" x14ac:dyDescent="0.2">
      <c r="B22" s="62" t="s">
        <v>82</v>
      </c>
      <c r="C22" s="632">
        <f>_xlfn.IFNA(VLOOKUP(D17,'CENOVNI RAZREDI'!$B$7:$N$92,10,FALSE),0)</f>
        <v>0.79500000000000004</v>
      </c>
      <c r="D22" s="586">
        <f>C22*D21</f>
        <v>2385000</v>
      </c>
      <c r="E22" s="39" t="s">
        <v>109</v>
      </c>
      <c r="I22" s="64"/>
      <c r="V22" s="41"/>
      <c r="W22" s="42"/>
    </row>
    <row r="23" spans="1:26" s="38" customFormat="1" outlineLevel="1" x14ac:dyDescent="0.2">
      <c r="A23" s="42"/>
      <c r="B23" s="62" t="s">
        <v>84</v>
      </c>
      <c r="C23" s="632">
        <f>_xlfn.IFNA(VLOOKUP(D17,'CENOVNI RAZREDI'!$B$7:$N$92,12,FALSE),0)</f>
        <v>5.494000000000001E-2</v>
      </c>
      <c r="D23" s="586">
        <f>C23*D21</f>
        <v>164820.00000000003</v>
      </c>
      <c r="E23" s="39" t="s">
        <v>109</v>
      </c>
      <c r="I23" s="64"/>
      <c r="X23" s="41"/>
      <c r="Y23" s="40"/>
      <c r="Z23" s="41"/>
    </row>
    <row r="24" spans="1:26" s="38" customFormat="1" outlineLevel="1" x14ac:dyDescent="0.2">
      <c r="B24" s="62" t="s">
        <v>83</v>
      </c>
      <c r="C24" s="632">
        <f>_xlfn.IFNA(VLOOKUP(D17,'CENOVNI RAZREDI'!$B$7:$N$92,11,FALSE),0)</f>
        <v>0.13570999999999997</v>
      </c>
      <c r="D24" s="586">
        <f>C24*D21</f>
        <v>407129.99999999988</v>
      </c>
      <c r="E24" s="39" t="s">
        <v>109</v>
      </c>
      <c r="I24" s="64"/>
      <c r="V24" s="41"/>
      <c r="W24" s="42"/>
    </row>
    <row r="25" spans="1:26" s="38" customFormat="1" outlineLevel="1" x14ac:dyDescent="0.2">
      <c r="B25" s="62" t="s">
        <v>321</v>
      </c>
      <c r="C25" s="632">
        <f>_xlfn.IFNA(VLOOKUP(D17,'CENOVNI RAZREDI'!$B$7:$N$92,13,FALSE),0)</f>
        <v>1.4145000000000001E-2</v>
      </c>
      <c r="D25" s="586">
        <f>C25*D21</f>
        <v>42435.000000000007</v>
      </c>
      <c r="E25" s="39" t="s">
        <v>109</v>
      </c>
      <c r="I25" s="64"/>
      <c r="V25" s="41"/>
      <c r="W25" s="42"/>
    </row>
    <row r="26" spans="1:26" s="38" customFormat="1" x14ac:dyDescent="0.2">
      <c r="A26" s="68"/>
      <c r="B26" s="69"/>
      <c r="C26" s="70"/>
      <c r="D26" s="587"/>
      <c r="E26" s="71"/>
      <c r="I26" s="64"/>
      <c r="X26" s="41"/>
      <c r="Y26" s="40"/>
      <c r="Z26" s="41"/>
    </row>
    <row r="27" spans="1:26" s="52" customFormat="1" ht="15.75" collapsed="1" x14ac:dyDescent="0.2">
      <c r="A27" s="391" t="s">
        <v>637</v>
      </c>
      <c r="B27" s="50"/>
      <c r="C27" s="50"/>
      <c r="D27" s="588"/>
      <c r="E27" s="84"/>
      <c r="F27" s="49"/>
      <c r="G27" s="49"/>
      <c r="H27" s="49"/>
      <c r="I27" s="51"/>
      <c r="J27" s="49"/>
      <c r="K27" s="49"/>
      <c r="L27" s="49"/>
      <c r="M27" s="49"/>
      <c r="N27" s="49"/>
    </row>
    <row r="28" spans="1:26" s="52" customFormat="1" ht="15.75" hidden="1" outlineLevel="1" x14ac:dyDescent="0.2">
      <c r="A28" s="66" t="str">
        <f>A17</f>
        <v>TIPOLOGIJA</v>
      </c>
      <c r="B28" s="50"/>
      <c r="C28" s="53"/>
      <c r="D28" s="581" t="s">
        <v>591</v>
      </c>
      <c r="E28" s="54"/>
      <c r="F28" s="49"/>
      <c r="G28" s="49"/>
      <c r="H28" s="49"/>
      <c r="I28" s="51"/>
      <c r="J28" s="49"/>
      <c r="K28" s="49"/>
      <c r="L28" s="49"/>
      <c r="M28" s="49"/>
      <c r="N28" s="49"/>
    </row>
    <row r="29" spans="1:26" s="49" customFormat="1" ht="15.75" hidden="1" outlineLevel="1" x14ac:dyDescent="0.2">
      <c r="A29" s="67" t="s">
        <v>112</v>
      </c>
      <c r="B29" s="55"/>
      <c r="C29" s="56"/>
      <c r="D29" s="582">
        <v>0</v>
      </c>
      <c r="E29" s="67" t="s">
        <v>264</v>
      </c>
      <c r="I29" s="51"/>
    </row>
    <row r="30" spans="1:26" s="52" customFormat="1" ht="15.75" hidden="1" outlineLevel="1" x14ac:dyDescent="0.2">
      <c r="A30" s="66" t="str">
        <f>A19</f>
        <v>OCENJENA VREDNOST EUR/m2 BTP</v>
      </c>
      <c r="B30" s="50"/>
      <c r="C30" s="53"/>
      <c r="D30" s="583" t="str">
        <f>_xlfn.IFNA(CONCATENATE(VLOOKUP(D28,'CENOVNI RAZREDI'!$B$7:$J$92,8,FALSE)," - ",VLOOKUP(D28,'CENOVNI RAZREDI'!$B$7:$J$92,9,FALSE)),"")</f>
        <v>1028,16 - 1466,64</v>
      </c>
      <c r="E30" s="67" t="s">
        <v>265</v>
      </c>
      <c r="F30" s="49"/>
      <c r="G30" s="49"/>
      <c r="H30" s="49"/>
      <c r="I30" s="51"/>
      <c r="J30" s="49"/>
      <c r="K30" s="49"/>
      <c r="L30" s="49"/>
      <c r="M30" s="49"/>
      <c r="N30" s="49"/>
    </row>
    <row r="31" spans="1:26" s="49" customFormat="1" ht="15.75" hidden="1" outlineLevel="1" x14ac:dyDescent="0.2">
      <c r="A31" s="67" t="s">
        <v>128</v>
      </c>
      <c r="B31" s="55"/>
      <c r="C31" s="57"/>
      <c r="D31" s="584">
        <v>700</v>
      </c>
      <c r="E31" s="67" t="s">
        <v>265</v>
      </c>
      <c r="I31" s="51"/>
      <c r="V31" s="58"/>
      <c r="W31" s="59"/>
      <c r="X31" s="60"/>
      <c r="Y31" s="59"/>
      <c r="Z31" s="60"/>
    </row>
    <row r="32" spans="1:26" s="49" customFormat="1" ht="15.75" hidden="1" outlineLevel="1" x14ac:dyDescent="0.2">
      <c r="A32" s="67" t="str">
        <f>A21</f>
        <v>OCENA STROŠKOV</v>
      </c>
      <c r="B32" s="55"/>
      <c r="C32" s="55"/>
      <c r="D32" s="585">
        <f>D29*D31</f>
        <v>0</v>
      </c>
      <c r="E32" s="331" t="s">
        <v>109</v>
      </c>
      <c r="I32" s="51"/>
      <c r="V32" s="58"/>
      <c r="W32" s="61"/>
    </row>
    <row r="33" spans="1:26" s="38" customFormat="1" hidden="1" outlineLevel="1" x14ac:dyDescent="0.2">
      <c r="B33" s="62" t="s">
        <v>82</v>
      </c>
      <c r="C33" s="632">
        <f>_xlfn.IFNA(VLOOKUP(D28,'CENOVNI RAZREDI'!$B$7:$N$92,10,FALSE),0)</f>
        <v>0.80900000000000005</v>
      </c>
      <c r="D33" s="586">
        <f>C33*D32</f>
        <v>0</v>
      </c>
      <c r="E33" s="39" t="s">
        <v>109</v>
      </c>
      <c r="I33" s="64"/>
      <c r="V33" s="41"/>
      <c r="W33" s="42"/>
    </row>
    <row r="34" spans="1:26" s="38" customFormat="1" hidden="1" outlineLevel="1" x14ac:dyDescent="0.2">
      <c r="A34" s="42"/>
      <c r="B34" s="62" t="s">
        <v>84</v>
      </c>
      <c r="C34" s="632">
        <f>_xlfn.IFNA(VLOOKUP(D28,'CENOVNI RAZREDI'!$B$7:$N$92,12,FALSE),0)</f>
        <v>4.6222000000000006E-2</v>
      </c>
      <c r="D34" s="586">
        <f>C34*D32</f>
        <v>0</v>
      </c>
      <c r="E34" s="39" t="s">
        <v>109</v>
      </c>
      <c r="I34" s="64"/>
      <c r="X34" s="41"/>
      <c r="Y34" s="40"/>
      <c r="Z34" s="41"/>
    </row>
    <row r="35" spans="1:26" s="38" customFormat="1" hidden="1" outlineLevel="1" x14ac:dyDescent="0.2">
      <c r="B35" s="62" t="s">
        <v>83</v>
      </c>
      <c r="C35" s="632">
        <f>_xlfn.IFNA(VLOOKUP(D28,'CENOVNI RAZREDI'!$B$7:$N$92,11,FALSE),0)</f>
        <v>0.13962100000000002</v>
      </c>
      <c r="D35" s="586">
        <f>C35*D32</f>
        <v>0</v>
      </c>
      <c r="E35" s="39" t="s">
        <v>109</v>
      </c>
      <c r="I35" s="64"/>
      <c r="V35" s="41"/>
      <c r="W35" s="42"/>
    </row>
    <row r="36" spans="1:26" s="38" customFormat="1" hidden="1" outlineLevel="1" x14ac:dyDescent="0.2">
      <c r="B36" s="62" t="s">
        <v>321</v>
      </c>
      <c r="C36" s="632">
        <f>_xlfn.IFNA(VLOOKUP(D28,'CENOVNI RAZREDI'!$B$7:$N$92,13,FALSE),0)</f>
        <v>5.1570000000000001E-3</v>
      </c>
      <c r="D36" s="586">
        <f>C36*D32</f>
        <v>0</v>
      </c>
      <c r="E36" s="39" t="s">
        <v>109</v>
      </c>
      <c r="I36" s="64"/>
      <c r="V36" s="41"/>
      <c r="W36" s="42"/>
    </row>
    <row r="37" spans="1:26" s="38" customFormat="1" x14ac:dyDescent="0.2">
      <c r="A37" s="68"/>
      <c r="B37" s="69"/>
      <c r="C37" s="70"/>
      <c r="D37" s="587"/>
      <c r="E37" s="71"/>
      <c r="I37" s="64"/>
      <c r="X37" s="41"/>
      <c r="Y37" s="40"/>
      <c r="Z37" s="41"/>
    </row>
    <row r="38" spans="1:26" s="52" customFormat="1" ht="15.75" collapsed="1" x14ac:dyDescent="0.2">
      <c r="A38" s="391" t="s">
        <v>638</v>
      </c>
      <c r="B38" s="50"/>
      <c r="C38" s="50"/>
      <c r="D38" s="588"/>
      <c r="E38" s="84"/>
      <c r="F38" s="49"/>
      <c r="G38" s="49"/>
      <c r="H38" s="49"/>
      <c r="I38" s="51"/>
      <c r="J38" s="49"/>
      <c r="K38" s="49"/>
      <c r="L38" s="49"/>
      <c r="M38" s="49"/>
      <c r="N38" s="49"/>
    </row>
    <row r="39" spans="1:26" s="52" customFormat="1" ht="15.75" hidden="1" outlineLevel="1" x14ac:dyDescent="0.2">
      <c r="A39" s="66" t="str">
        <f>A17</f>
        <v>TIPOLOGIJA</v>
      </c>
      <c r="B39" s="50"/>
      <c r="C39" s="53"/>
      <c r="D39" s="581"/>
      <c r="E39" s="54"/>
      <c r="F39" s="49"/>
      <c r="G39" s="49"/>
      <c r="H39" s="49"/>
      <c r="I39" s="51"/>
      <c r="J39" s="49"/>
      <c r="K39" s="49"/>
      <c r="L39" s="49"/>
      <c r="M39" s="49"/>
      <c r="N39" s="49"/>
    </row>
    <row r="40" spans="1:26" s="49" customFormat="1" ht="15.75" hidden="1" outlineLevel="1" x14ac:dyDescent="0.2">
      <c r="A40" s="67" t="s">
        <v>112</v>
      </c>
      <c r="B40" s="55"/>
      <c r="C40" s="56"/>
      <c r="D40" s="582"/>
      <c r="E40" s="67" t="s">
        <v>264</v>
      </c>
      <c r="I40" s="51"/>
    </row>
    <row r="41" spans="1:26" s="52" customFormat="1" ht="15.75" hidden="1" outlineLevel="1" x14ac:dyDescent="0.2">
      <c r="A41" s="66" t="str">
        <f>A30</f>
        <v>OCENJENA VREDNOST EUR/m2 BTP</v>
      </c>
      <c r="B41" s="50"/>
      <c r="C41" s="53"/>
      <c r="D41" s="583" t="str">
        <f>_xlfn.IFNA(CONCATENATE(VLOOKUP(D39,'CENOVNI RAZREDI'!$B$7:$J$92,8,FALSE)," - ",VLOOKUP(D39,'CENOVNI RAZREDI'!$B$7:$J$92,9,FALSE)),"")</f>
        <v/>
      </c>
      <c r="E41" s="67" t="s">
        <v>265</v>
      </c>
      <c r="F41" s="49"/>
      <c r="G41" s="49"/>
      <c r="H41" s="49"/>
      <c r="I41" s="51"/>
      <c r="J41" s="49"/>
      <c r="K41" s="49"/>
      <c r="L41" s="49"/>
      <c r="M41" s="49"/>
      <c r="N41" s="49"/>
    </row>
    <row r="42" spans="1:26" s="49" customFormat="1" ht="15.75" hidden="1" outlineLevel="1" x14ac:dyDescent="0.2">
      <c r="A42" s="67" t="s">
        <v>128</v>
      </c>
      <c r="B42" s="55"/>
      <c r="C42" s="57"/>
      <c r="D42" s="584"/>
      <c r="E42" s="67" t="s">
        <v>265</v>
      </c>
      <c r="I42" s="51"/>
      <c r="V42" s="58"/>
      <c r="W42" s="59"/>
      <c r="X42" s="60"/>
      <c r="Y42" s="59"/>
      <c r="Z42" s="60"/>
    </row>
    <row r="43" spans="1:26" s="49" customFormat="1" ht="15.75" hidden="1" outlineLevel="1" x14ac:dyDescent="0.2">
      <c r="A43" s="67" t="str">
        <f>A21</f>
        <v>OCENA STROŠKOV</v>
      </c>
      <c r="B43" s="55"/>
      <c r="C43" s="55"/>
      <c r="D43" s="585">
        <f>D40*D42</f>
        <v>0</v>
      </c>
      <c r="E43" s="331" t="s">
        <v>109</v>
      </c>
      <c r="I43" s="51"/>
      <c r="V43" s="58"/>
      <c r="W43" s="61"/>
    </row>
    <row r="44" spans="1:26" s="38" customFormat="1" hidden="1" outlineLevel="1" x14ac:dyDescent="0.2">
      <c r="B44" s="62" t="s">
        <v>82</v>
      </c>
      <c r="C44" s="632">
        <f>_xlfn.IFNA(VLOOKUP(D39,'CENOVNI RAZREDI'!$B$7:$N$92,10,FALSE),0)</f>
        <v>0</v>
      </c>
      <c r="D44" s="586">
        <f>C44*D43</f>
        <v>0</v>
      </c>
      <c r="E44" s="39" t="s">
        <v>109</v>
      </c>
      <c r="I44" s="64"/>
      <c r="V44" s="41"/>
      <c r="W44" s="42"/>
    </row>
    <row r="45" spans="1:26" s="38" customFormat="1" hidden="1" outlineLevel="1" x14ac:dyDescent="0.2">
      <c r="A45" s="42"/>
      <c r="B45" s="62" t="s">
        <v>84</v>
      </c>
      <c r="C45" s="632">
        <f>_xlfn.IFNA(VLOOKUP(D39,'CENOVNI RAZREDI'!$B$7:$N$92,12,FALSE),0)</f>
        <v>0</v>
      </c>
      <c r="D45" s="586">
        <f>C45*D43</f>
        <v>0</v>
      </c>
      <c r="E45" s="39" t="s">
        <v>109</v>
      </c>
      <c r="I45" s="64"/>
      <c r="X45" s="41"/>
      <c r="Y45" s="40"/>
      <c r="Z45" s="41"/>
    </row>
    <row r="46" spans="1:26" s="38" customFormat="1" hidden="1" outlineLevel="1" x14ac:dyDescent="0.2">
      <c r="B46" s="62" t="s">
        <v>83</v>
      </c>
      <c r="C46" s="632">
        <f>_xlfn.IFNA(VLOOKUP(D39,'CENOVNI RAZREDI'!$B$7:$N$92,11,FALSE),0)</f>
        <v>0</v>
      </c>
      <c r="D46" s="586">
        <f>C46*D43</f>
        <v>0</v>
      </c>
      <c r="E46" s="39" t="s">
        <v>109</v>
      </c>
      <c r="I46" s="64"/>
      <c r="V46" s="41"/>
      <c r="W46" s="42"/>
    </row>
    <row r="47" spans="1:26" s="38" customFormat="1" hidden="1" outlineLevel="1" x14ac:dyDescent="0.2">
      <c r="B47" s="62" t="s">
        <v>321</v>
      </c>
      <c r="C47" s="632">
        <f>_xlfn.IFNA(VLOOKUP(D39,'CENOVNI RAZREDI'!$B$7:$N$92,13,FALSE),0)</f>
        <v>0</v>
      </c>
      <c r="D47" s="586">
        <f>C47*D43</f>
        <v>0</v>
      </c>
      <c r="E47" s="39" t="s">
        <v>109</v>
      </c>
      <c r="I47" s="64"/>
      <c r="V47" s="41"/>
      <c r="W47" s="42"/>
    </row>
    <row r="48" spans="1:26" s="38" customFormat="1" x14ac:dyDescent="0.2">
      <c r="A48" s="68"/>
      <c r="B48" s="69"/>
      <c r="C48" s="70"/>
      <c r="D48" s="587"/>
      <c r="E48" s="71"/>
      <c r="I48" s="64"/>
      <c r="X48" s="41"/>
      <c r="Y48" s="40"/>
      <c r="Z48" s="41"/>
    </row>
    <row r="49" spans="1:26" s="52" customFormat="1" ht="15.75" collapsed="1" x14ac:dyDescent="0.2">
      <c r="A49" s="391" t="s">
        <v>639</v>
      </c>
      <c r="B49" s="50"/>
      <c r="C49" s="50"/>
      <c r="D49" s="588"/>
      <c r="E49" s="84"/>
      <c r="F49" s="49"/>
      <c r="G49" s="49"/>
      <c r="H49" s="49"/>
      <c r="I49" s="51"/>
      <c r="J49" s="49"/>
      <c r="K49" s="49"/>
      <c r="L49" s="49"/>
      <c r="M49" s="49"/>
      <c r="N49" s="49"/>
    </row>
    <row r="50" spans="1:26" s="52" customFormat="1" ht="15.75" hidden="1" outlineLevel="1" x14ac:dyDescent="0.2">
      <c r="A50" s="66" t="str">
        <f>A17</f>
        <v>TIPOLOGIJA</v>
      </c>
      <c r="B50" s="50"/>
      <c r="C50" s="53"/>
      <c r="D50" s="581"/>
      <c r="E50" s="54"/>
      <c r="F50" s="49"/>
      <c r="G50" s="49"/>
      <c r="H50" s="49"/>
      <c r="I50" s="51"/>
      <c r="J50" s="49"/>
      <c r="K50" s="49"/>
      <c r="L50" s="49"/>
      <c r="M50" s="49"/>
      <c r="N50" s="49"/>
    </row>
    <row r="51" spans="1:26" s="49" customFormat="1" ht="15.75" hidden="1" outlineLevel="1" x14ac:dyDescent="0.2">
      <c r="A51" s="67" t="s">
        <v>112</v>
      </c>
      <c r="B51" s="55"/>
      <c r="C51" s="56"/>
      <c r="D51" s="582"/>
      <c r="E51" s="67" t="s">
        <v>264</v>
      </c>
      <c r="I51" s="51"/>
    </row>
    <row r="52" spans="1:26" s="52" customFormat="1" ht="15.75" hidden="1" outlineLevel="1" x14ac:dyDescent="0.2">
      <c r="A52" s="66" t="str">
        <f>A30</f>
        <v>OCENJENA VREDNOST EUR/m2 BTP</v>
      </c>
      <c r="B52" s="50"/>
      <c r="C52" s="53"/>
      <c r="D52" s="583" t="str">
        <f>_xlfn.IFNA(CONCATENATE(VLOOKUP(D50,'CENOVNI RAZREDI'!$B$7:$J$92,8,FALSE)," - ",VLOOKUP(D50,'CENOVNI RAZREDI'!$B$7:$J$92,9,FALSE)),"")</f>
        <v/>
      </c>
      <c r="E52" s="67" t="s">
        <v>265</v>
      </c>
      <c r="F52" s="49"/>
      <c r="G52" s="49"/>
      <c r="H52" s="49"/>
      <c r="I52" s="51"/>
      <c r="J52" s="49"/>
      <c r="K52" s="49"/>
      <c r="L52" s="49"/>
      <c r="M52" s="49"/>
      <c r="N52" s="49"/>
    </row>
    <row r="53" spans="1:26" s="49" customFormat="1" ht="15.75" hidden="1" outlineLevel="1" x14ac:dyDescent="0.2">
      <c r="A53" s="67" t="s">
        <v>128</v>
      </c>
      <c r="B53" s="55"/>
      <c r="C53" s="57"/>
      <c r="D53" s="584"/>
      <c r="E53" s="67" t="s">
        <v>265</v>
      </c>
      <c r="I53" s="51"/>
      <c r="V53" s="58"/>
      <c r="W53" s="59"/>
      <c r="X53" s="60"/>
      <c r="Y53" s="59"/>
      <c r="Z53" s="60"/>
    </row>
    <row r="54" spans="1:26" s="49" customFormat="1" ht="15.75" hidden="1" outlineLevel="1" x14ac:dyDescent="0.2">
      <c r="A54" s="67" t="str">
        <f>A21</f>
        <v>OCENA STROŠKOV</v>
      </c>
      <c r="B54" s="55"/>
      <c r="C54" s="55"/>
      <c r="D54" s="585">
        <f>D51*D53</f>
        <v>0</v>
      </c>
      <c r="E54" s="331" t="s">
        <v>109</v>
      </c>
      <c r="I54" s="51"/>
      <c r="V54" s="58"/>
      <c r="W54" s="61"/>
    </row>
    <row r="55" spans="1:26" s="38" customFormat="1" hidden="1" outlineLevel="1" x14ac:dyDescent="0.2">
      <c r="B55" s="62" t="s">
        <v>82</v>
      </c>
      <c r="C55" s="632">
        <f>_xlfn.IFNA(VLOOKUP(D50,'CENOVNI RAZREDI'!$B$7:$N$92,10,FALSE),0)</f>
        <v>0</v>
      </c>
      <c r="D55" s="586">
        <f>C55*D54</f>
        <v>0</v>
      </c>
      <c r="E55" s="39" t="s">
        <v>109</v>
      </c>
      <c r="I55" s="64"/>
      <c r="V55" s="41"/>
      <c r="W55" s="42"/>
    </row>
    <row r="56" spans="1:26" s="38" customFormat="1" hidden="1" outlineLevel="1" x14ac:dyDescent="0.2">
      <c r="A56" s="42"/>
      <c r="B56" s="62" t="s">
        <v>84</v>
      </c>
      <c r="C56" s="632">
        <f>_xlfn.IFNA(VLOOKUP(D50,'CENOVNI RAZREDI'!$B$7:$N$92,12,FALSE),0)</f>
        <v>0</v>
      </c>
      <c r="D56" s="586">
        <f>C56*D54</f>
        <v>0</v>
      </c>
      <c r="E56" s="39" t="s">
        <v>109</v>
      </c>
      <c r="I56" s="64"/>
      <c r="V56" s="41"/>
      <c r="W56" s="42"/>
    </row>
    <row r="57" spans="1:26" s="38" customFormat="1" hidden="1" outlineLevel="1" x14ac:dyDescent="0.2">
      <c r="B57" s="62" t="s">
        <v>83</v>
      </c>
      <c r="C57" s="632">
        <f>_xlfn.IFNA(VLOOKUP(D50,'CENOVNI RAZREDI'!$B$7:$N$92,11,FALSE),0)</f>
        <v>0</v>
      </c>
      <c r="D57" s="586">
        <f>C57*D54</f>
        <v>0</v>
      </c>
      <c r="E57" s="39" t="s">
        <v>109</v>
      </c>
      <c r="I57" s="64"/>
      <c r="V57" s="41"/>
      <c r="W57" s="42"/>
    </row>
    <row r="58" spans="1:26" s="38" customFormat="1" hidden="1" outlineLevel="1" x14ac:dyDescent="0.2">
      <c r="B58" s="62" t="s">
        <v>321</v>
      </c>
      <c r="C58" s="632">
        <f>_xlfn.IFNA(VLOOKUP(D50,'CENOVNI RAZREDI'!$B$7:$N$92,13,FALSE),0)</f>
        <v>0</v>
      </c>
      <c r="D58" s="586">
        <f>C58*D54</f>
        <v>0</v>
      </c>
      <c r="E58" s="39" t="s">
        <v>109</v>
      </c>
      <c r="I58" s="64"/>
      <c r="V58" s="41"/>
      <c r="W58" s="42"/>
    </row>
    <row r="59" spans="1:26" s="38" customFormat="1" x14ac:dyDescent="0.2">
      <c r="A59" s="68"/>
      <c r="B59" s="69"/>
      <c r="C59" s="70"/>
      <c r="D59" s="587"/>
      <c r="E59" s="71"/>
      <c r="I59" s="64"/>
      <c r="X59" s="41"/>
      <c r="Y59" s="40"/>
      <c r="Z59" s="41"/>
    </row>
    <row r="60" spans="1:26" s="52" customFormat="1" ht="15.75" collapsed="1" x14ac:dyDescent="0.2">
      <c r="A60" s="391" t="s">
        <v>640</v>
      </c>
      <c r="B60" s="50"/>
      <c r="C60" s="50"/>
      <c r="D60" s="588"/>
      <c r="E60" s="84"/>
      <c r="F60" s="49"/>
      <c r="G60" s="49"/>
      <c r="H60" s="49"/>
      <c r="I60" s="51"/>
      <c r="J60" s="49"/>
      <c r="K60" s="49"/>
      <c r="L60" s="49"/>
      <c r="M60" s="49"/>
      <c r="N60" s="49"/>
    </row>
    <row r="61" spans="1:26" s="52" customFormat="1" ht="15.75" hidden="1" outlineLevel="1" x14ac:dyDescent="0.2">
      <c r="A61" s="66" t="str">
        <f>A17</f>
        <v>TIPOLOGIJA</v>
      </c>
      <c r="B61" s="50"/>
      <c r="C61" s="53"/>
      <c r="D61" s="581"/>
      <c r="E61" s="54"/>
      <c r="F61" s="49"/>
      <c r="G61" s="49"/>
      <c r="H61" s="49"/>
      <c r="I61" s="51"/>
      <c r="J61" s="49"/>
      <c r="K61" s="49"/>
      <c r="L61" s="49"/>
      <c r="M61" s="49"/>
      <c r="N61" s="49"/>
    </row>
    <row r="62" spans="1:26" s="49" customFormat="1" ht="15.75" hidden="1" outlineLevel="1" x14ac:dyDescent="0.2">
      <c r="A62" s="67" t="s">
        <v>112</v>
      </c>
      <c r="B62" s="55"/>
      <c r="C62" s="56"/>
      <c r="D62" s="582"/>
      <c r="E62" s="67" t="s">
        <v>264</v>
      </c>
      <c r="I62" s="51"/>
    </row>
    <row r="63" spans="1:26" s="52" customFormat="1" ht="15.75" hidden="1" outlineLevel="1" x14ac:dyDescent="0.2">
      <c r="A63" s="66" t="str">
        <f>A41</f>
        <v>OCENJENA VREDNOST EUR/m2 BTP</v>
      </c>
      <c r="B63" s="50"/>
      <c r="C63" s="53"/>
      <c r="D63" s="583" t="str">
        <f>_xlfn.IFNA(CONCATENATE(VLOOKUP(D61,'CENOVNI RAZREDI'!$B$7:$J$92,8,FALSE)," - ",VLOOKUP(D61,'CENOVNI RAZREDI'!$B$7:$J$92,9,FALSE)),"")</f>
        <v/>
      </c>
      <c r="E63" s="67" t="s">
        <v>265</v>
      </c>
      <c r="F63" s="49"/>
      <c r="G63" s="49"/>
      <c r="H63" s="49"/>
      <c r="I63" s="51"/>
      <c r="J63" s="49"/>
      <c r="K63" s="49"/>
      <c r="L63" s="49"/>
      <c r="M63" s="49"/>
      <c r="N63" s="49"/>
    </row>
    <row r="64" spans="1:26" s="49" customFormat="1" ht="15.75" hidden="1" outlineLevel="1" x14ac:dyDescent="0.2">
      <c r="A64" s="67" t="s">
        <v>128</v>
      </c>
      <c r="B64" s="55"/>
      <c r="C64" s="57"/>
      <c r="D64" s="584"/>
      <c r="E64" s="67" t="s">
        <v>265</v>
      </c>
      <c r="I64" s="51"/>
      <c r="V64" s="58"/>
      <c r="W64" s="59"/>
      <c r="X64" s="60"/>
      <c r="Y64" s="59"/>
      <c r="Z64" s="60"/>
    </row>
    <row r="65" spans="1:26" s="49" customFormat="1" ht="15.75" hidden="1" outlineLevel="1" x14ac:dyDescent="0.2">
      <c r="A65" s="67" t="s">
        <v>114</v>
      </c>
      <c r="B65" s="55"/>
      <c r="C65" s="65"/>
      <c r="D65" s="585"/>
      <c r="E65" s="331" t="s">
        <v>109</v>
      </c>
      <c r="I65" s="51"/>
      <c r="V65" s="58"/>
      <c r="W65" s="59"/>
      <c r="X65" s="60"/>
      <c r="Y65" s="59"/>
      <c r="Z65" s="60"/>
    </row>
    <row r="66" spans="1:26" s="49" customFormat="1" ht="15.75" hidden="1" outlineLevel="1" x14ac:dyDescent="0.2">
      <c r="A66" s="67" t="str">
        <f>A21</f>
        <v>OCENA STROŠKOV</v>
      </c>
      <c r="B66" s="55"/>
      <c r="C66" s="55"/>
      <c r="D66" s="589">
        <f>D62*D64</f>
        <v>0</v>
      </c>
      <c r="E66" s="67" t="s">
        <v>264</v>
      </c>
      <c r="I66" s="51"/>
      <c r="V66" s="58"/>
      <c r="W66" s="61"/>
    </row>
    <row r="67" spans="1:26" s="38" customFormat="1" hidden="1" outlineLevel="1" x14ac:dyDescent="0.2">
      <c r="B67" s="62" t="s">
        <v>82</v>
      </c>
      <c r="C67" s="632">
        <f>_xlfn.IFNA(VLOOKUP(D62,'CENOVNI RAZREDI'!$B$7:$N$92,10,FALSE),0)</f>
        <v>0</v>
      </c>
      <c r="D67" s="586">
        <f>C67*$D$21</f>
        <v>0</v>
      </c>
      <c r="E67" s="39" t="s">
        <v>109</v>
      </c>
      <c r="I67" s="64"/>
      <c r="V67" s="41"/>
      <c r="W67" s="42"/>
    </row>
    <row r="68" spans="1:26" s="38" customFormat="1" hidden="1" outlineLevel="1" x14ac:dyDescent="0.2">
      <c r="A68" s="42"/>
      <c r="B68" s="62" t="s">
        <v>84</v>
      </c>
      <c r="C68" s="632">
        <f>_xlfn.IFNA(VLOOKUP(D62,'CENOVNI RAZREDI'!$B$7:$N$92,12,FALSE),0)</f>
        <v>0</v>
      </c>
      <c r="D68" s="586">
        <f>C68*$D$21</f>
        <v>0</v>
      </c>
      <c r="E68" s="39" t="s">
        <v>109</v>
      </c>
      <c r="I68" s="64"/>
      <c r="X68" s="41"/>
      <c r="Y68" s="40"/>
      <c r="Z68" s="41"/>
    </row>
    <row r="69" spans="1:26" s="38" customFormat="1" hidden="1" outlineLevel="1" x14ac:dyDescent="0.2">
      <c r="B69" s="62" t="s">
        <v>83</v>
      </c>
      <c r="C69" s="632">
        <f>_xlfn.IFNA(VLOOKUP(D62,'CENOVNI RAZREDI'!$B$7:$N$92,11,FALSE),0)</f>
        <v>0</v>
      </c>
      <c r="D69" s="586">
        <f>C69*$D$21</f>
        <v>0</v>
      </c>
      <c r="E69" s="39" t="s">
        <v>109</v>
      </c>
      <c r="I69" s="64"/>
      <c r="V69" s="41"/>
      <c r="W69" s="42"/>
    </row>
    <row r="70" spans="1:26" s="38" customFormat="1" hidden="1" outlineLevel="1" x14ac:dyDescent="0.2">
      <c r="B70" s="62" t="s">
        <v>321</v>
      </c>
      <c r="C70" s="632">
        <f>_xlfn.IFNA(VLOOKUP(D62,'CENOVNI RAZREDI'!$B$7:$N$92,13,FALSE),0)</f>
        <v>0</v>
      </c>
      <c r="D70" s="586">
        <f>C70*D66</f>
        <v>0</v>
      </c>
      <c r="E70" s="39" t="s">
        <v>109</v>
      </c>
      <c r="I70" s="64"/>
      <c r="V70" s="41"/>
      <c r="W70" s="42"/>
    </row>
    <row r="71" spans="1:26" s="49" customFormat="1" ht="16.5" thickBot="1" x14ac:dyDescent="0.25">
      <c r="A71" s="86"/>
      <c r="B71" s="87"/>
      <c r="C71" s="88"/>
      <c r="D71" s="590"/>
      <c r="E71" s="89"/>
      <c r="I71" s="51"/>
      <c r="X71" s="60"/>
      <c r="Y71" s="59"/>
      <c r="Z71" s="60"/>
    </row>
    <row r="72" spans="1:26" s="20" customFormat="1" ht="15.75" x14ac:dyDescent="0.25">
      <c r="A72" s="388" t="s">
        <v>3</v>
      </c>
      <c r="B72" s="388"/>
      <c r="C72" s="388"/>
      <c r="D72" s="578"/>
      <c r="E72" s="388"/>
      <c r="I72" s="47"/>
    </row>
    <row r="73" spans="1:26" s="20" customFormat="1" ht="15.75" x14ac:dyDescent="0.25">
      <c r="A73" s="82"/>
      <c r="B73" s="82"/>
      <c r="C73" s="82"/>
      <c r="D73" s="591"/>
      <c r="E73" s="82"/>
      <c r="I73" s="47"/>
    </row>
    <row r="74" spans="1:26" s="52" customFormat="1" ht="15.75" x14ac:dyDescent="0.2">
      <c r="A74" s="391" t="s">
        <v>113</v>
      </c>
      <c r="B74" s="50"/>
      <c r="C74" s="50"/>
      <c r="D74" s="588"/>
      <c r="E74" s="84"/>
      <c r="F74" s="49"/>
      <c r="G74" s="49"/>
      <c r="H74" s="49"/>
      <c r="I74" s="51"/>
      <c r="J74" s="49"/>
      <c r="K74" s="49"/>
      <c r="L74" s="49"/>
      <c r="M74" s="49"/>
      <c r="N74" s="49"/>
    </row>
    <row r="75" spans="1:26" s="52" customFormat="1" ht="15.75" outlineLevel="1" x14ac:dyDescent="0.2">
      <c r="A75" s="66" t="s">
        <v>277</v>
      </c>
      <c r="B75" s="50"/>
      <c r="C75" s="53"/>
      <c r="D75" s="581"/>
      <c r="E75" s="54"/>
      <c r="F75" s="49"/>
      <c r="G75" s="49"/>
      <c r="H75" s="49"/>
      <c r="I75" s="51"/>
      <c r="J75" s="49"/>
      <c r="K75" s="49"/>
      <c r="L75" s="49"/>
      <c r="M75" s="49"/>
      <c r="N75" s="49"/>
    </row>
    <row r="76" spans="1:26" s="49" customFormat="1" ht="15.75" outlineLevel="1" x14ac:dyDescent="0.2">
      <c r="A76" s="67" t="s">
        <v>130</v>
      </c>
      <c r="B76" s="55"/>
      <c r="C76" s="56"/>
      <c r="D76" s="582">
        <v>0</v>
      </c>
      <c r="E76" s="67" t="s">
        <v>264</v>
      </c>
      <c r="I76" s="51"/>
    </row>
    <row r="77" spans="1:26" s="52" customFormat="1" ht="15.75" outlineLevel="1" x14ac:dyDescent="0.2">
      <c r="A77" s="66" t="s">
        <v>754</v>
      </c>
      <c r="B77" s="50"/>
      <c r="C77" s="53"/>
      <c r="D77" s="583" t="str">
        <f>_xlfn.IFNA(VLOOKUP(D75,'CENOVNI RAZREDI'!$B$114:$I$170,8),"")</f>
        <v/>
      </c>
      <c r="E77" s="67" t="s">
        <v>265</v>
      </c>
      <c r="F77" s="49"/>
      <c r="G77" s="49"/>
      <c r="H77" s="49"/>
      <c r="I77" s="51"/>
      <c r="J77" s="49"/>
      <c r="K77" s="49"/>
      <c r="L77" s="49"/>
      <c r="M77" s="49"/>
      <c r="N77" s="49"/>
    </row>
    <row r="78" spans="1:26" s="49" customFormat="1" ht="15.75" outlineLevel="1" x14ac:dyDescent="0.2">
      <c r="A78" s="67" t="s">
        <v>129</v>
      </c>
      <c r="B78" s="55"/>
      <c r="C78" s="57"/>
      <c r="D78" s="584">
        <v>200</v>
      </c>
      <c r="E78" s="67" t="s">
        <v>265</v>
      </c>
      <c r="I78" s="51"/>
      <c r="V78" s="58"/>
      <c r="W78" s="59"/>
      <c r="X78" s="60"/>
      <c r="Y78" s="59"/>
      <c r="Z78" s="60"/>
    </row>
    <row r="79" spans="1:26" s="49" customFormat="1" ht="15.75" outlineLevel="1" x14ac:dyDescent="0.2">
      <c r="A79" s="67" t="str">
        <f>A21</f>
        <v>OCENA STROŠKOV</v>
      </c>
      <c r="B79" s="55"/>
      <c r="C79" s="55"/>
      <c r="D79" s="585">
        <f>D76*D78</f>
        <v>0</v>
      </c>
      <c r="E79" s="331" t="s">
        <v>109</v>
      </c>
      <c r="I79" s="51"/>
      <c r="V79" s="58"/>
      <c r="W79" s="61"/>
    </row>
    <row r="80" spans="1:26" s="49" customFormat="1" ht="16.5" thickBot="1" x14ac:dyDescent="0.25">
      <c r="A80" s="86"/>
      <c r="B80" s="87"/>
      <c r="C80" s="88"/>
      <c r="D80" s="590"/>
      <c r="E80" s="89"/>
      <c r="I80" s="51"/>
      <c r="X80" s="60"/>
      <c r="Y80" s="59"/>
      <c r="Z80" s="60"/>
    </row>
    <row r="81" spans="1:26" s="52" customFormat="1" ht="15.75" collapsed="1" x14ac:dyDescent="0.2">
      <c r="A81" s="391" t="s">
        <v>115</v>
      </c>
      <c r="B81" s="50"/>
      <c r="C81" s="50"/>
      <c r="D81" s="588"/>
      <c r="E81" s="84"/>
      <c r="F81" s="49"/>
      <c r="G81" s="49"/>
      <c r="H81" s="49"/>
      <c r="I81" s="51"/>
      <c r="J81" s="49"/>
      <c r="K81" s="49"/>
      <c r="L81" s="49"/>
      <c r="M81" s="49"/>
      <c r="N81" s="49"/>
    </row>
    <row r="82" spans="1:26" s="52" customFormat="1" ht="15.75" hidden="1" outlineLevel="1" x14ac:dyDescent="0.2">
      <c r="A82" s="66" t="s">
        <v>277</v>
      </c>
      <c r="B82" s="50"/>
      <c r="C82" s="53"/>
      <c r="D82" s="581"/>
      <c r="E82" s="54"/>
      <c r="F82" s="49"/>
      <c r="G82" s="49"/>
      <c r="H82" s="49"/>
      <c r="I82" s="51"/>
      <c r="J82" s="49"/>
      <c r="K82" s="49"/>
      <c r="L82" s="49"/>
      <c r="M82" s="49"/>
      <c r="N82" s="49"/>
    </row>
    <row r="83" spans="1:26" s="49" customFormat="1" ht="15.75" hidden="1" outlineLevel="1" x14ac:dyDescent="0.2">
      <c r="A83" s="67" t="s">
        <v>130</v>
      </c>
      <c r="B83" s="55"/>
      <c r="C83" s="56"/>
      <c r="D83" s="582"/>
      <c r="E83" s="67" t="s">
        <v>264</v>
      </c>
      <c r="I83" s="51"/>
    </row>
    <row r="84" spans="1:26" s="52" customFormat="1" ht="15.75" hidden="1" outlineLevel="1" x14ac:dyDescent="0.2">
      <c r="A84" s="66" t="str">
        <f>A77</f>
        <v>OCENJENA VREDNOST EUR/m2 NTP</v>
      </c>
      <c r="B84" s="50"/>
      <c r="C84" s="53"/>
      <c r="D84" s="583" t="str">
        <f>_xlfn.IFNA(VLOOKUP(D82,'CENOVNI RAZREDI'!$B$114:$I$170,8),"")</f>
        <v/>
      </c>
      <c r="E84" s="67" t="s">
        <v>265</v>
      </c>
      <c r="F84" s="49"/>
      <c r="G84" s="49"/>
      <c r="H84" s="49"/>
      <c r="I84" s="51"/>
      <c r="J84" s="49"/>
      <c r="K84" s="49"/>
      <c r="L84" s="49"/>
      <c r="M84" s="49"/>
      <c r="N84" s="49"/>
    </row>
    <row r="85" spans="1:26" s="49" customFormat="1" ht="15.75" hidden="1" outlineLevel="1" x14ac:dyDescent="0.2">
      <c r="A85" s="67" t="s">
        <v>129</v>
      </c>
      <c r="B85" s="55"/>
      <c r="C85" s="57"/>
      <c r="D85" s="584"/>
      <c r="E85" s="67" t="s">
        <v>265</v>
      </c>
      <c r="I85" s="51"/>
      <c r="V85" s="58"/>
      <c r="W85" s="59"/>
      <c r="X85" s="60"/>
      <c r="Y85" s="59"/>
      <c r="Z85" s="60"/>
    </row>
    <row r="86" spans="1:26" s="49" customFormat="1" ht="15.75" hidden="1" outlineLevel="1" x14ac:dyDescent="0.2">
      <c r="A86" s="67" t="str">
        <f>A21</f>
        <v>OCENA STROŠKOV</v>
      </c>
      <c r="B86" s="55"/>
      <c r="C86" s="55"/>
      <c r="D86" s="585">
        <f>D83*D85</f>
        <v>0</v>
      </c>
      <c r="E86" s="331" t="s">
        <v>109</v>
      </c>
      <c r="I86" s="51"/>
      <c r="V86" s="58"/>
      <c r="W86" s="61"/>
    </row>
    <row r="87" spans="1:26" s="49" customFormat="1" ht="16.5" thickBot="1" x14ac:dyDescent="0.25">
      <c r="A87" s="86"/>
      <c r="B87" s="87"/>
      <c r="C87" s="88"/>
      <c r="D87" s="590"/>
      <c r="E87" s="89"/>
      <c r="I87" s="51"/>
      <c r="X87" s="60"/>
      <c r="Y87" s="59"/>
      <c r="Z87" s="60"/>
    </row>
    <row r="88" spans="1:26" s="52" customFormat="1" ht="15.75" collapsed="1" x14ac:dyDescent="0.2">
      <c r="A88" s="391" t="s">
        <v>116</v>
      </c>
      <c r="B88" s="50"/>
      <c r="C88" s="50"/>
      <c r="D88" s="588"/>
      <c r="E88" s="84"/>
      <c r="F88" s="49"/>
      <c r="G88" s="49"/>
      <c r="H88" s="49"/>
      <c r="I88" s="51"/>
      <c r="J88" s="49"/>
      <c r="K88" s="49"/>
      <c r="L88" s="49"/>
      <c r="M88" s="49"/>
      <c r="N88" s="49"/>
    </row>
    <row r="89" spans="1:26" s="52" customFormat="1" ht="15.75" hidden="1" outlineLevel="1" x14ac:dyDescent="0.2">
      <c r="A89" s="66" t="s">
        <v>277</v>
      </c>
      <c r="B89" s="50"/>
      <c r="C89" s="53"/>
      <c r="D89" s="581"/>
      <c r="E89" s="54"/>
      <c r="F89" s="49"/>
      <c r="G89" s="49"/>
      <c r="H89" s="49"/>
      <c r="I89" s="51"/>
      <c r="J89" s="49"/>
      <c r="K89" s="49"/>
      <c r="L89" s="49"/>
      <c r="M89" s="49"/>
      <c r="N89" s="49"/>
    </row>
    <row r="90" spans="1:26" s="49" customFormat="1" ht="15.75" hidden="1" outlineLevel="1" x14ac:dyDescent="0.2">
      <c r="A90" s="67" t="s">
        <v>130</v>
      </c>
      <c r="B90" s="55"/>
      <c r="C90" s="56"/>
      <c r="D90" s="582"/>
      <c r="E90" s="67" t="s">
        <v>264</v>
      </c>
      <c r="I90" s="51"/>
    </row>
    <row r="91" spans="1:26" s="52" customFormat="1" ht="15.75" hidden="1" outlineLevel="1" x14ac:dyDescent="0.2">
      <c r="A91" s="66" t="str">
        <f>A77</f>
        <v>OCENJENA VREDNOST EUR/m2 NTP</v>
      </c>
      <c r="B91" s="50"/>
      <c r="C91" s="53"/>
      <c r="D91" s="583" t="str">
        <f>_xlfn.IFNA(VLOOKUP(D89,'CENOVNI RAZREDI'!$B$114:$I$170,8),"")</f>
        <v/>
      </c>
      <c r="E91" s="67" t="s">
        <v>265</v>
      </c>
      <c r="F91" s="49"/>
      <c r="G91" s="49"/>
      <c r="H91" s="49"/>
      <c r="I91" s="51"/>
      <c r="J91" s="49"/>
      <c r="K91" s="49"/>
      <c r="L91" s="49"/>
      <c r="M91" s="49"/>
      <c r="N91" s="49"/>
    </row>
    <row r="92" spans="1:26" s="49" customFormat="1" ht="15.75" hidden="1" outlineLevel="1" x14ac:dyDescent="0.2">
      <c r="A92" s="67" t="s">
        <v>129</v>
      </c>
      <c r="B92" s="55"/>
      <c r="C92" s="57"/>
      <c r="D92" s="584"/>
      <c r="E92" s="67" t="s">
        <v>265</v>
      </c>
      <c r="I92" s="51"/>
      <c r="V92" s="58"/>
      <c r="W92" s="59"/>
      <c r="X92" s="60"/>
      <c r="Y92" s="59"/>
      <c r="Z92" s="60"/>
    </row>
    <row r="93" spans="1:26" s="49" customFormat="1" ht="15.75" hidden="1" outlineLevel="1" x14ac:dyDescent="0.2">
      <c r="A93" s="67" t="str">
        <f>A21</f>
        <v>OCENA STROŠKOV</v>
      </c>
      <c r="B93" s="55"/>
      <c r="C93" s="55"/>
      <c r="D93" s="585">
        <f>D90*D92</f>
        <v>0</v>
      </c>
      <c r="E93" s="331" t="s">
        <v>109</v>
      </c>
      <c r="I93" s="51"/>
      <c r="V93" s="58"/>
      <c r="W93" s="61"/>
    </row>
    <row r="94" spans="1:26" s="49" customFormat="1" ht="16.5" thickBot="1" x14ac:dyDescent="0.25">
      <c r="A94" s="86"/>
      <c r="B94" s="87"/>
      <c r="C94" s="88"/>
      <c r="D94" s="590"/>
      <c r="E94" s="89"/>
      <c r="I94" s="51"/>
      <c r="X94" s="60"/>
      <c r="Y94" s="59"/>
      <c r="Z94" s="60"/>
    </row>
    <row r="95" spans="1:26" s="52" customFormat="1" ht="15.75" collapsed="1" x14ac:dyDescent="0.2">
      <c r="A95" s="391" t="s">
        <v>117</v>
      </c>
      <c r="B95" s="50"/>
      <c r="C95" s="50"/>
      <c r="D95" s="588"/>
      <c r="E95" s="84"/>
      <c r="F95" s="49"/>
      <c r="G95" s="49"/>
      <c r="H95" s="49"/>
      <c r="I95" s="51"/>
      <c r="J95" s="49"/>
      <c r="K95" s="49"/>
      <c r="L95" s="49"/>
      <c r="M95" s="49"/>
      <c r="N95" s="49"/>
    </row>
    <row r="96" spans="1:26" s="52" customFormat="1" ht="15.75" hidden="1" outlineLevel="1" x14ac:dyDescent="0.2">
      <c r="A96" s="66" t="s">
        <v>277</v>
      </c>
      <c r="B96" s="50"/>
      <c r="C96" s="53"/>
      <c r="D96" s="581"/>
      <c r="E96" s="54"/>
      <c r="F96" s="49"/>
      <c r="G96" s="49"/>
      <c r="H96" s="49"/>
      <c r="I96" s="51"/>
      <c r="J96" s="49"/>
      <c r="K96" s="49"/>
      <c r="L96" s="49"/>
      <c r="M96" s="49"/>
      <c r="N96" s="49"/>
    </row>
    <row r="97" spans="1:26" s="49" customFormat="1" ht="15.75" hidden="1" outlineLevel="1" x14ac:dyDescent="0.2">
      <c r="A97" s="67" t="s">
        <v>130</v>
      </c>
      <c r="B97" s="55"/>
      <c r="C97" s="56"/>
      <c r="D97" s="582"/>
      <c r="E97" s="67" t="s">
        <v>264</v>
      </c>
      <c r="I97" s="51"/>
    </row>
    <row r="98" spans="1:26" s="52" customFormat="1" ht="15.75" hidden="1" outlineLevel="1" x14ac:dyDescent="0.2">
      <c r="A98" s="66" t="str">
        <f>A84</f>
        <v>OCENJENA VREDNOST EUR/m2 NTP</v>
      </c>
      <c r="B98" s="50"/>
      <c r="C98" s="53"/>
      <c r="D98" s="583" t="str">
        <f>_xlfn.IFNA(VLOOKUP(D96,'CENOVNI RAZREDI'!$B$114:$I$170,8),"")</f>
        <v/>
      </c>
      <c r="E98" s="67" t="s">
        <v>265</v>
      </c>
      <c r="F98" s="49"/>
      <c r="G98" s="49"/>
      <c r="H98" s="49"/>
      <c r="I98" s="51"/>
      <c r="J98" s="49"/>
      <c r="K98" s="49"/>
      <c r="L98" s="49"/>
      <c r="M98" s="49"/>
      <c r="N98" s="49"/>
    </row>
    <row r="99" spans="1:26" s="49" customFormat="1" ht="15.75" hidden="1" outlineLevel="1" x14ac:dyDescent="0.2">
      <c r="A99" s="67" t="s">
        <v>129</v>
      </c>
      <c r="B99" s="55"/>
      <c r="C99" s="57"/>
      <c r="D99" s="584"/>
      <c r="E99" s="67" t="s">
        <v>265</v>
      </c>
      <c r="I99" s="51"/>
      <c r="V99" s="58"/>
      <c r="W99" s="59"/>
      <c r="X99" s="60"/>
      <c r="Y99" s="59"/>
      <c r="Z99" s="60"/>
    </row>
    <row r="100" spans="1:26" s="49" customFormat="1" ht="15.75" hidden="1" outlineLevel="1" x14ac:dyDescent="0.2">
      <c r="A100" s="67" t="str">
        <f>A21</f>
        <v>OCENA STROŠKOV</v>
      </c>
      <c r="B100" s="55"/>
      <c r="C100" s="55"/>
      <c r="D100" s="585">
        <f>D97*D99</f>
        <v>0</v>
      </c>
      <c r="E100" s="331" t="s">
        <v>109</v>
      </c>
      <c r="I100" s="51"/>
      <c r="V100" s="58"/>
      <c r="W100" s="61"/>
    </row>
    <row r="101" spans="1:26" s="49" customFormat="1" ht="16.5" thickBot="1" x14ac:dyDescent="0.25">
      <c r="A101" s="86"/>
      <c r="B101" s="87"/>
      <c r="C101" s="88"/>
      <c r="D101" s="590"/>
      <c r="E101" s="89"/>
      <c r="I101" s="51"/>
      <c r="X101" s="60"/>
      <c r="Y101" s="59"/>
      <c r="Z101" s="60"/>
    </row>
    <row r="102" spans="1:26" s="52" customFormat="1" ht="15.75" collapsed="1" x14ac:dyDescent="0.2">
      <c r="A102" s="391" t="s">
        <v>118</v>
      </c>
      <c r="B102" s="50"/>
      <c r="C102" s="50"/>
      <c r="D102" s="588"/>
      <c r="E102" s="84"/>
      <c r="F102" s="49"/>
      <c r="G102" s="49"/>
      <c r="H102" s="49"/>
      <c r="I102" s="51"/>
      <c r="J102" s="49"/>
      <c r="K102" s="49"/>
      <c r="L102" s="49"/>
      <c r="M102" s="49"/>
      <c r="N102" s="49"/>
    </row>
    <row r="103" spans="1:26" s="52" customFormat="1" ht="15.75" hidden="1" outlineLevel="1" x14ac:dyDescent="0.2">
      <c r="A103" s="66" t="s">
        <v>277</v>
      </c>
      <c r="B103" s="50"/>
      <c r="C103" s="53"/>
      <c r="D103" s="581"/>
      <c r="E103" s="54"/>
      <c r="F103" s="49"/>
      <c r="G103" s="49"/>
      <c r="H103" s="49"/>
      <c r="I103" s="51"/>
      <c r="J103" s="49"/>
      <c r="K103" s="49"/>
      <c r="L103" s="49"/>
      <c r="M103" s="49"/>
      <c r="N103" s="49"/>
    </row>
    <row r="104" spans="1:26" s="49" customFormat="1" ht="15.75" hidden="1" outlineLevel="1" x14ac:dyDescent="0.2">
      <c r="A104" s="67" t="s">
        <v>130</v>
      </c>
      <c r="B104" s="55"/>
      <c r="C104" s="56"/>
      <c r="D104" s="582"/>
      <c r="E104" s="67" t="s">
        <v>264</v>
      </c>
      <c r="I104" s="51"/>
    </row>
    <row r="105" spans="1:26" s="52" customFormat="1" ht="15.75" hidden="1" outlineLevel="1" x14ac:dyDescent="0.2">
      <c r="A105" s="66" t="str">
        <f>A91</f>
        <v>OCENJENA VREDNOST EUR/m2 NTP</v>
      </c>
      <c r="B105" s="50"/>
      <c r="C105" s="53"/>
      <c r="D105" s="583" t="str">
        <f>_xlfn.IFNA(VLOOKUP(D103,'CENOVNI RAZREDI'!$B$114:$I$170,8),"")</f>
        <v/>
      </c>
      <c r="E105" s="67" t="s">
        <v>265</v>
      </c>
      <c r="F105" s="49"/>
      <c r="G105" s="49"/>
      <c r="H105" s="49"/>
      <c r="I105" s="51"/>
      <c r="J105" s="49"/>
      <c r="K105" s="49"/>
      <c r="L105" s="49"/>
      <c r="M105" s="49"/>
      <c r="N105" s="49"/>
    </row>
    <row r="106" spans="1:26" s="49" customFormat="1" ht="15.75" hidden="1" outlineLevel="1" x14ac:dyDescent="0.2">
      <c r="A106" s="67" t="s">
        <v>129</v>
      </c>
      <c r="B106" s="55"/>
      <c r="C106" s="57"/>
      <c r="D106" s="584"/>
      <c r="E106" s="67" t="s">
        <v>265</v>
      </c>
      <c r="I106" s="51"/>
      <c r="V106" s="58"/>
      <c r="W106" s="59"/>
      <c r="X106" s="60"/>
      <c r="Y106" s="59"/>
      <c r="Z106" s="60"/>
    </row>
    <row r="107" spans="1:26" s="49" customFormat="1" ht="15.75" hidden="1" outlineLevel="1" x14ac:dyDescent="0.2">
      <c r="A107" s="67" t="str">
        <f>A21</f>
        <v>OCENA STROŠKOV</v>
      </c>
      <c r="B107" s="55"/>
      <c r="C107" s="55"/>
      <c r="D107" s="585">
        <f>D104*D106</f>
        <v>0</v>
      </c>
      <c r="E107" s="331" t="s">
        <v>109</v>
      </c>
      <c r="I107" s="51"/>
      <c r="V107" s="58"/>
      <c r="W107" s="61"/>
    </row>
    <row r="108" spans="1:26" s="49" customFormat="1" ht="16.5" thickBot="1" x14ac:dyDescent="0.25">
      <c r="A108" s="86"/>
      <c r="B108" s="87"/>
      <c r="C108" s="88"/>
      <c r="D108" s="590"/>
      <c r="E108" s="89"/>
      <c r="I108" s="51"/>
      <c r="X108" s="60"/>
      <c r="Y108" s="59"/>
      <c r="Z108" s="60"/>
    </row>
    <row r="109" spans="1:26" s="20" customFormat="1" ht="15.75" x14ac:dyDescent="0.25">
      <c r="A109" s="388" t="s">
        <v>276</v>
      </c>
      <c r="B109" s="388"/>
      <c r="C109" s="388"/>
      <c r="D109" s="578"/>
      <c r="E109" s="388"/>
      <c r="I109" s="47"/>
    </row>
    <row r="110" spans="1:26" s="20" customFormat="1" ht="15.75" x14ac:dyDescent="0.25">
      <c r="A110" s="82"/>
      <c r="B110" s="82"/>
      <c r="C110" s="82"/>
      <c r="D110" s="591"/>
      <c r="E110" s="82"/>
      <c r="I110" s="47"/>
    </row>
    <row r="111" spans="1:26" s="52" customFormat="1" ht="15.75" x14ac:dyDescent="0.2">
      <c r="A111" s="391" t="s">
        <v>641</v>
      </c>
      <c r="B111" s="50"/>
      <c r="C111" s="50"/>
      <c r="D111" s="588" t="s">
        <v>473</v>
      </c>
      <c r="E111" s="84"/>
      <c r="F111" s="49"/>
      <c r="G111" s="49"/>
      <c r="H111" s="49"/>
      <c r="I111" s="51"/>
      <c r="J111" s="49"/>
      <c r="K111" s="49"/>
      <c r="L111" s="49"/>
      <c r="M111" s="49"/>
      <c r="N111" s="49"/>
    </row>
    <row r="112" spans="1:26" s="52" customFormat="1" ht="25.5" outlineLevel="1" x14ac:dyDescent="0.2">
      <c r="A112" s="66" t="s">
        <v>238</v>
      </c>
      <c r="B112" s="50"/>
      <c r="C112" s="53"/>
      <c r="D112" s="581" t="s">
        <v>715</v>
      </c>
      <c r="E112" s="54"/>
      <c r="F112" s="49"/>
      <c r="G112" s="49"/>
      <c r="H112" s="49"/>
      <c r="I112" s="51"/>
      <c r="J112" s="49"/>
      <c r="K112" s="49"/>
      <c r="L112" s="49"/>
      <c r="M112" s="49"/>
      <c r="N112" s="49"/>
    </row>
    <row r="113" spans="1:26" s="52" customFormat="1" ht="15.75" outlineLevel="1" x14ac:dyDescent="0.2">
      <c r="A113" s="66" t="s">
        <v>755</v>
      </c>
      <c r="B113" s="50"/>
      <c r="C113" s="53"/>
      <c r="D113" s="583" t="str">
        <f>_xlfn.IFNA(CONCATENATE(VLOOKUP(D112,'CENOVNI RAZREDI'!$B$184:$J$242,8,FALSE)," - ",VLOOKUP(D112,'CENOVNI RAZREDI'!$B$184:$J$242,9,FALSE)),"")</f>
        <v>60 - 120</v>
      </c>
      <c r="E113" s="67" t="s">
        <v>265</v>
      </c>
      <c r="F113" s="49"/>
      <c r="G113" s="49"/>
      <c r="H113" s="49"/>
      <c r="I113" s="51"/>
      <c r="J113" s="49"/>
      <c r="K113" s="49"/>
      <c r="L113" s="49"/>
      <c r="M113" s="49"/>
      <c r="N113" s="49"/>
    </row>
    <row r="114" spans="1:26" s="49" customFormat="1" ht="15.75" outlineLevel="1" x14ac:dyDescent="0.2">
      <c r="A114" s="67" t="s">
        <v>239</v>
      </c>
      <c r="B114" s="55"/>
      <c r="C114" s="56"/>
      <c r="D114" s="592">
        <v>500</v>
      </c>
      <c r="E114" s="67" t="s">
        <v>264</v>
      </c>
      <c r="I114" s="51"/>
    </row>
    <row r="115" spans="1:26" s="49" customFormat="1" ht="15.75" outlineLevel="1" x14ac:dyDescent="0.2">
      <c r="A115" s="67" t="s">
        <v>5</v>
      </c>
      <c r="B115" s="55"/>
      <c r="C115" s="57"/>
      <c r="D115" s="582">
        <v>100</v>
      </c>
      <c r="E115" s="67" t="s">
        <v>265</v>
      </c>
      <c r="I115" s="51"/>
      <c r="V115" s="58"/>
      <c r="W115" s="59"/>
      <c r="X115" s="60"/>
      <c r="Y115" s="59"/>
      <c r="Z115" s="60"/>
    </row>
    <row r="116" spans="1:26" s="49" customFormat="1" ht="15.75" outlineLevel="1" x14ac:dyDescent="0.2">
      <c r="A116" s="67" t="str">
        <f>$A$66</f>
        <v>OCENA STROŠKOV</v>
      </c>
      <c r="B116" s="55"/>
      <c r="C116" s="55"/>
      <c r="D116" s="332">
        <f>D114*D115</f>
        <v>50000</v>
      </c>
      <c r="E116" s="331" t="s">
        <v>109</v>
      </c>
      <c r="I116" s="51"/>
      <c r="V116" s="58"/>
      <c r="W116" s="61"/>
    </row>
    <row r="117" spans="1:26" s="38" customFormat="1" outlineLevel="1" x14ac:dyDescent="0.2">
      <c r="B117" s="62" t="s">
        <v>82</v>
      </c>
      <c r="C117" s="638">
        <v>0</v>
      </c>
      <c r="D117" s="586">
        <f>C117*D116</f>
        <v>0</v>
      </c>
      <c r="E117" s="39" t="s">
        <v>109</v>
      </c>
      <c r="I117" s="64"/>
      <c r="V117" s="41"/>
      <c r="W117" s="42"/>
    </row>
    <row r="118" spans="1:26" s="38" customFormat="1" outlineLevel="1" x14ac:dyDescent="0.2">
      <c r="A118" s="42"/>
      <c r="B118" s="62" t="s">
        <v>84</v>
      </c>
      <c r="C118" s="638">
        <v>0</v>
      </c>
      <c r="D118" s="586">
        <f>C118*D116</f>
        <v>0</v>
      </c>
      <c r="E118" s="39" t="s">
        <v>109</v>
      </c>
      <c r="I118" s="64"/>
      <c r="X118" s="41"/>
      <c r="Y118" s="40"/>
      <c r="Z118" s="41"/>
    </row>
    <row r="119" spans="1:26" s="38" customFormat="1" outlineLevel="1" x14ac:dyDescent="0.2">
      <c r="B119" s="62" t="s">
        <v>83</v>
      </c>
      <c r="C119" s="638">
        <v>0</v>
      </c>
      <c r="D119" s="586">
        <f>C119*D116</f>
        <v>0</v>
      </c>
      <c r="E119" s="39" t="s">
        <v>109</v>
      </c>
      <c r="I119" s="64"/>
      <c r="V119" s="41"/>
      <c r="W119" s="42"/>
    </row>
    <row r="120" spans="1:26" s="38" customFormat="1" outlineLevel="1" x14ac:dyDescent="0.2">
      <c r="B120" s="62" t="s">
        <v>321</v>
      </c>
      <c r="C120" s="638">
        <v>0</v>
      </c>
      <c r="D120" s="586">
        <f>C120*D116</f>
        <v>0</v>
      </c>
      <c r="E120" s="39" t="s">
        <v>109</v>
      </c>
      <c r="I120" s="64"/>
      <c r="V120" s="41"/>
      <c r="W120" s="42"/>
    </row>
    <row r="121" spans="1:26" s="49" customFormat="1" ht="15.75" x14ac:dyDescent="0.2">
      <c r="A121" s="69"/>
      <c r="B121" s="329"/>
      <c r="C121" s="329"/>
      <c r="D121" s="593"/>
      <c r="E121" s="93"/>
      <c r="I121" s="51"/>
      <c r="V121" s="58"/>
      <c r="W121" s="61"/>
    </row>
    <row r="122" spans="1:26" s="52" customFormat="1" ht="15.75" x14ac:dyDescent="0.2">
      <c r="A122" s="391" t="s">
        <v>642</v>
      </c>
      <c r="B122" s="50"/>
      <c r="C122" s="50"/>
      <c r="D122" s="588"/>
      <c r="E122" s="84"/>
      <c r="F122" s="49"/>
      <c r="G122" s="49"/>
      <c r="H122" s="49"/>
      <c r="I122" s="51"/>
      <c r="J122" s="49"/>
      <c r="K122" s="49"/>
      <c r="L122" s="49"/>
      <c r="M122" s="49"/>
      <c r="N122" s="49"/>
    </row>
    <row r="123" spans="1:26" s="52" customFormat="1" ht="15.75" outlineLevel="1" x14ac:dyDescent="0.2">
      <c r="A123" s="66" t="s">
        <v>238</v>
      </c>
      <c r="B123" s="50"/>
      <c r="C123" s="53"/>
      <c r="D123" s="581"/>
      <c r="E123" s="54"/>
      <c r="F123" s="49"/>
      <c r="G123" s="49"/>
      <c r="H123" s="49"/>
      <c r="I123" s="51"/>
      <c r="J123" s="49"/>
      <c r="K123" s="49"/>
      <c r="L123" s="49"/>
      <c r="M123" s="49"/>
      <c r="N123" s="49"/>
    </row>
    <row r="124" spans="1:26" s="52" customFormat="1" ht="15.75" outlineLevel="1" x14ac:dyDescent="0.2">
      <c r="A124" s="66" t="str">
        <f>A113</f>
        <v>OCENJENA VREDNOST EUR/m2 POVRŠINE</v>
      </c>
      <c r="B124" s="50"/>
      <c r="C124" s="53"/>
      <c r="D124" s="583" t="str">
        <f>_xlfn.IFNA(CONCATENATE(VLOOKUP(D123,'CENOVNI RAZREDI'!$B$184:$J$242,8,FALSE)," - ",VLOOKUP(D123,'CENOVNI RAZREDI'!$B$184:$J$242,9,FALSE)),"")</f>
        <v/>
      </c>
      <c r="E124" s="67" t="s">
        <v>265</v>
      </c>
      <c r="F124" s="49"/>
      <c r="G124" s="49"/>
      <c r="H124" s="49"/>
      <c r="I124" s="51"/>
      <c r="J124" s="49"/>
      <c r="K124" s="49"/>
      <c r="L124" s="49"/>
      <c r="M124" s="49"/>
      <c r="N124" s="49"/>
    </row>
    <row r="125" spans="1:26" s="49" customFormat="1" ht="15.75" outlineLevel="1" x14ac:dyDescent="0.2">
      <c r="A125" s="67" t="s">
        <v>112</v>
      </c>
      <c r="B125" s="55"/>
      <c r="C125" s="56"/>
      <c r="D125" s="592">
        <v>0</v>
      </c>
      <c r="E125" s="67" t="s">
        <v>264</v>
      </c>
      <c r="I125" s="51"/>
    </row>
    <row r="126" spans="1:26" s="49" customFormat="1" ht="15.75" outlineLevel="1" x14ac:dyDescent="0.2">
      <c r="A126" s="67" t="s">
        <v>4</v>
      </c>
      <c r="B126" s="55"/>
      <c r="C126" s="57"/>
      <c r="D126" s="582">
        <v>0</v>
      </c>
      <c r="E126" s="67" t="s">
        <v>265</v>
      </c>
      <c r="I126" s="51"/>
      <c r="V126" s="58"/>
      <c r="W126" s="59"/>
      <c r="X126" s="60"/>
      <c r="Y126" s="59"/>
      <c r="Z126" s="60"/>
    </row>
    <row r="127" spans="1:26" s="49" customFormat="1" ht="15.75" outlineLevel="1" x14ac:dyDescent="0.2">
      <c r="A127" s="67" t="str">
        <f>$A$116</f>
        <v>OCENA STROŠKOV</v>
      </c>
      <c r="B127" s="55"/>
      <c r="C127" s="55"/>
      <c r="D127" s="332">
        <f>D125*D126</f>
        <v>0</v>
      </c>
      <c r="E127" s="331" t="s">
        <v>109</v>
      </c>
      <c r="I127" s="51"/>
      <c r="V127" s="58"/>
      <c r="W127" s="61"/>
    </row>
    <row r="128" spans="1:26" s="38" customFormat="1" outlineLevel="1" x14ac:dyDescent="0.2">
      <c r="B128" s="62" t="s">
        <v>82</v>
      </c>
      <c r="C128" s="638">
        <v>0</v>
      </c>
      <c r="D128" s="586">
        <f>C128*D127</f>
        <v>0</v>
      </c>
      <c r="E128" s="39" t="s">
        <v>109</v>
      </c>
      <c r="I128" s="64"/>
      <c r="V128" s="41"/>
      <c r="W128" s="42"/>
    </row>
    <row r="129" spans="1:26" s="38" customFormat="1" outlineLevel="1" x14ac:dyDescent="0.2">
      <c r="A129" s="42"/>
      <c r="B129" s="62" t="s">
        <v>84</v>
      </c>
      <c r="C129" s="638">
        <v>0</v>
      </c>
      <c r="D129" s="586">
        <f>C129*D127</f>
        <v>0</v>
      </c>
      <c r="E129" s="39" t="s">
        <v>109</v>
      </c>
      <c r="I129" s="64"/>
      <c r="X129" s="41"/>
      <c r="Y129" s="40"/>
      <c r="Z129" s="41"/>
    </row>
    <row r="130" spans="1:26" s="38" customFormat="1" outlineLevel="1" x14ac:dyDescent="0.2">
      <c r="B130" s="62" t="s">
        <v>83</v>
      </c>
      <c r="C130" s="638">
        <v>0</v>
      </c>
      <c r="D130" s="586">
        <f>C130*D127</f>
        <v>0</v>
      </c>
      <c r="E130" s="39" t="s">
        <v>109</v>
      </c>
      <c r="I130" s="64"/>
      <c r="V130" s="41"/>
      <c r="W130" s="42"/>
    </row>
    <row r="131" spans="1:26" s="38" customFormat="1" outlineLevel="1" x14ac:dyDescent="0.2">
      <c r="B131" s="62" t="s">
        <v>321</v>
      </c>
      <c r="C131" s="638">
        <v>0</v>
      </c>
      <c r="D131" s="586">
        <f>C131*D127</f>
        <v>0</v>
      </c>
      <c r="E131" s="39" t="s">
        <v>109</v>
      </c>
      <c r="I131" s="64"/>
      <c r="V131" s="41"/>
      <c r="W131" s="42"/>
    </row>
    <row r="132" spans="1:26" s="49" customFormat="1" ht="15.75" x14ac:dyDescent="0.2">
      <c r="A132" s="69"/>
      <c r="B132" s="329"/>
      <c r="C132" s="329"/>
      <c r="D132" s="593"/>
      <c r="E132" s="93"/>
      <c r="I132" s="51"/>
      <c r="V132" s="58"/>
      <c r="W132" s="61"/>
    </row>
    <row r="133" spans="1:26" s="52" customFormat="1" ht="15.75" x14ac:dyDescent="0.2">
      <c r="A133" s="391" t="s">
        <v>643</v>
      </c>
      <c r="B133" s="50"/>
      <c r="C133" s="50"/>
      <c r="D133" s="588"/>
      <c r="E133" s="84"/>
      <c r="F133" s="49"/>
      <c r="G133" s="49"/>
      <c r="H133" s="49"/>
      <c r="I133" s="51"/>
      <c r="J133" s="49"/>
      <c r="K133" s="49"/>
      <c r="L133" s="49"/>
      <c r="M133" s="49"/>
      <c r="N133" s="49"/>
    </row>
    <row r="134" spans="1:26" s="52" customFormat="1" ht="15.75" outlineLevel="1" x14ac:dyDescent="0.2">
      <c r="A134" s="66" t="s">
        <v>238</v>
      </c>
      <c r="B134" s="50"/>
      <c r="C134" s="53"/>
      <c r="D134" s="581"/>
      <c r="E134" s="54"/>
      <c r="F134" s="49"/>
      <c r="G134" s="49"/>
      <c r="H134" s="49"/>
      <c r="I134" s="51"/>
      <c r="J134" s="49"/>
      <c r="K134" s="49"/>
      <c r="L134" s="49"/>
      <c r="M134" s="49"/>
      <c r="N134" s="49"/>
    </row>
    <row r="135" spans="1:26" s="52" customFormat="1" ht="15.75" outlineLevel="1" x14ac:dyDescent="0.2">
      <c r="A135" s="66" t="str">
        <f>A124</f>
        <v>OCENJENA VREDNOST EUR/m2 POVRŠINE</v>
      </c>
      <c r="B135" s="50"/>
      <c r="C135" s="53"/>
      <c r="D135" s="583" t="str">
        <f>_xlfn.IFNA(CONCATENATE(VLOOKUP(D134,'CENOVNI RAZREDI'!$B$184:$J$242,8,FALSE)," - ",VLOOKUP(D134,'CENOVNI RAZREDI'!$B$184:$J$242,9,FALSE)),"")</f>
        <v/>
      </c>
      <c r="E135" s="67" t="s">
        <v>265</v>
      </c>
      <c r="F135" s="49"/>
      <c r="G135" s="49"/>
      <c r="H135" s="49"/>
      <c r="I135" s="51"/>
      <c r="J135" s="49"/>
      <c r="K135" s="49"/>
      <c r="L135" s="49"/>
      <c r="M135" s="49"/>
      <c r="N135" s="49"/>
    </row>
    <row r="136" spans="1:26" s="49" customFormat="1" ht="15.75" outlineLevel="1" x14ac:dyDescent="0.2">
      <c r="A136" s="67" t="s">
        <v>112</v>
      </c>
      <c r="B136" s="55"/>
      <c r="C136" s="56"/>
      <c r="D136" s="592">
        <v>0</v>
      </c>
      <c r="E136" s="67" t="s">
        <v>264</v>
      </c>
      <c r="I136" s="51"/>
    </row>
    <row r="137" spans="1:26" s="49" customFormat="1" ht="15.75" outlineLevel="1" x14ac:dyDescent="0.2">
      <c r="A137" s="67" t="s">
        <v>4</v>
      </c>
      <c r="B137" s="55"/>
      <c r="C137" s="57"/>
      <c r="D137" s="582">
        <v>0</v>
      </c>
      <c r="E137" s="67" t="s">
        <v>265</v>
      </c>
      <c r="I137" s="51"/>
      <c r="V137" s="58"/>
      <c r="W137" s="59"/>
      <c r="X137" s="60"/>
      <c r="Y137" s="59"/>
      <c r="Z137" s="60"/>
    </row>
    <row r="138" spans="1:26" s="49" customFormat="1" ht="15.75" outlineLevel="1" x14ac:dyDescent="0.2">
      <c r="A138" s="67" t="str">
        <f>$A$116</f>
        <v>OCENA STROŠKOV</v>
      </c>
      <c r="B138" s="55"/>
      <c r="C138" s="55"/>
      <c r="D138" s="332">
        <f>D136*D137</f>
        <v>0</v>
      </c>
      <c r="E138" s="331" t="s">
        <v>109</v>
      </c>
      <c r="I138" s="51"/>
      <c r="V138" s="58"/>
      <c r="W138" s="61"/>
    </row>
    <row r="139" spans="1:26" s="38" customFormat="1" outlineLevel="1" x14ac:dyDescent="0.2">
      <c r="B139" s="62" t="s">
        <v>82</v>
      </c>
      <c r="C139" s="638">
        <v>0</v>
      </c>
      <c r="D139" s="586">
        <f>C139*D138</f>
        <v>0</v>
      </c>
      <c r="E139" s="39" t="s">
        <v>109</v>
      </c>
      <c r="I139" s="64"/>
      <c r="V139" s="41"/>
      <c r="W139" s="42"/>
    </row>
    <row r="140" spans="1:26" s="38" customFormat="1" outlineLevel="1" x14ac:dyDescent="0.2">
      <c r="A140" s="42"/>
      <c r="B140" s="62" t="s">
        <v>84</v>
      </c>
      <c r="C140" s="638">
        <v>0</v>
      </c>
      <c r="D140" s="586">
        <f>C140*D138</f>
        <v>0</v>
      </c>
      <c r="E140" s="39" t="s">
        <v>109</v>
      </c>
      <c r="I140" s="64"/>
      <c r="X140" s="41"/>
      <c r="Y140" s="40"/>
      <c r="Z140" s="41"/>
    </row>
    <row r="141" spans="1:26" s="38" customFormat="1" outlineLevel="1" x14ac:dyDescent="0.2">
      <c r="B141" s="62" t="s">
        <v>83</v>
      </c>
      <c r="C141" s="638">
        <v>0</v>
      </c>
      <c r="D141" s="586">
        <f>C141*D138</f>
        <v>0</v>
      </c>
      <c r="E141" s="39" t="s">
        <v>109</v>
      </c>
      <c r="I141" s="64"/>
      <c r="V141" s="41"/>
      <c r="W141" s="42"/>
    </row>
    <row r="142" spans="1:26" s="38" customFormat="1" outlineLevel="1" x14ac:dyDescent="0.2">
      <c r="B142" s="62" t="s">
        <v>321</v>
      </c>
      <c r="C142" s="638">
        <v>0</v>
      </c>
      <c r="D142" s="586">
        <f>C142*D138</f>
        <v>0</v>
      </c>
      <c r="E142" s="39" t="s">
        <v>109</v>
      </c>
      <c r="I142" s="64"/>
      <c r="V142" s="41"/>
      <c r="W142" s="42"/>
    </row>
    <row r="143" spans="1:26" s="49" customFormat="1" ht="15.75" x14ac:dyDescent="0.2">
      <c r="A143" s="69"/>
      <c r="B143" s="329"/>
      <c r="C143" s="329"/>
      <c r="D143" s="593"/>
      <c r="E143" s="93"/>
      <c r="I143" s="51"/>
      <c r="V143" s="58"/>
      <c r="W143" s="61"/>
    </row>
    <row r="144" spans="1:26" s="52" customFormat="1" ht="15.75" x14ac:dyDescent="0.2">
      <c r="A144" s="391" t="s">
        <v>644</v>
      </c>
      <c r="B144" s="50"/>
      <c r="C144" s="50"/>
      <c r="D144" s="588"/>
      <c r="E144" s="84"/>
      <c r="F144" s="49"/>
      <c r="G144" s="49"/>
      <c r="H144" s="49"/>
      <c r="I144" s="51"/>
      <c r="J144" s="49"/>
      <c r="K144" s="49"/>
      <c r="L144" s="49"/>
      <c r="M144" s="49"/>
      <c r="N144" s="49"/>
    </row>
    <row r="145" spans="1:26" s="52" customFormat="1" ht="15.75" outlineLevel="1" x14ac:dyDescent="0.2">
      <c r="A145" s="66" t="s">
        <v>238</v>
      </c>
      <c r="B145" s="50"/>
      <c r="C145" s="53"/>
      <c r="D145" s="581"/>
      <c r="E145" s="54"/>
      <c r="F145" s="49"/>
      <c r="G145" s="49"/>
      <c r="H145" s="49"/>
      <c r="I145" s="51"/>
      <c r="J145" s="49"/>
      <c r="K145" s="49"/>
      <c r="L145" s="49"/>
      <c r="M145" s="49"/>
      <c r="N145" s="49"/>
    </row>
    <row r="146" spans="1:26" s="52" customFormat="1" ht="15.75" outlineLevel="1" x14ac:dyDescent="0.2">
      <c r="A146" s="66" t="str">
        <f>A135</f>
        <v>OCENJENA VREDNOST EUR/m2 POVRŠINE</v>
      </c>
      <c r="B146" s="50"/>
      <c r="C146" s="53"/>
      <c r="D146" s="583" t="str">
        <f>_xlfn.IFNA(CONCATENATE(VLOOKUP(D145,'CENOVNI RAZREDI'!$B$184:$J$242,8,FALSE)," - ",VLOOKUP(D145,'CENOVNI RAZREDI'!$B$184:$J$242,9,FALSE)),"")</f>
        <v/>
      </c>
      <c r="E146" s="67" t="s">
        <v>265</v>
      </c>
      <c r="F146" s="49"/>
      <c r="G146" s="49"/>
      <c r="H146" s="49"/>
      <c r="I146" s="51"/>
      <c r="J146" s="49"/>
      <c r="K146" s="49"/>
      <c r="L146" s="49"/>
      <c r="M146" s="49"/>
      <c r="N146" s="49"/>
    </row>
    <row r="147" spans="1:26" s="49" customFormat="1" ht="15.75" outlineLevel="1" x14ac:dyDescent="0.2">
      <c r="A147" s="67" t="s">
        <v>112</v>
      </c>
      <c r="B147" s="55"/>
      <c r="C147" s="56"/>
      <c r="D147" s="592">
        <v>0</v>
      </c>
      <c r="E147" s="67" t="s">
        <v>264</v>
      </c>
      <c r="I147" s="51"/>
    </row>
    <row r="148" spans="1:26" s="49" customFormat="1" ht="15.75" outlineLevel="1" x14ac:dyDescent="0.2">
      <c r="A148" s="67" t="s">
        <v>4</v>
      </c>
      <c r="B148" s="55"/>
      <c r="C148" s="57"/>
      <c r="D148" s="582">
        <v>0</v>
      </c>
      <c r="E148" s="67" t="s">
        <v>265</v>
      </c>
      <c r="I148" s="51"/>
      <c r="V148" s="58"/>
      <c r="W148" s="59"/>
      <c r="X148" s="60"/>
      <c r="Y148" s="59"/>
      <c r="Z148" s="60"/>
    </row>
    <row r="149" spans="1:26" s="49" customFormat="1" ht="15.75" outlineLevel="1" x14ac:dyDescent="0.2">
      <c r="A149" s="67" t="str">
        <f>$A$116</f>
        <v>OCENA STROŠKOV</v>
      </c>
      <c r="B149" s="55"/>
      <c r="C149" s="55"/>
      <c r="D149" s="332">
        <f>D147*D148</f>
        <v>0</v>
      </c>
      <c r="E149" s="331" t="s">
        <v>109</v>
      </c>
      <c r="I149" s="51"/>
      <c r="V149" s="58"/>
      <c r="W149" s="61"/>
    </row>
    <row r="150" spans="1:26" s="38" customFormat="1" outlineLevel="1" x14ac:dyDescent="0.2">
      <c r="B150" s="62" t="s">
        <v>82</v>
      </c>
      <c r="C150" s="638">
        <v>0</v>
      </c>
      <c r="D150" s="586">
        <f>C150*D149</f>
        <v>0</v>
      </c>
      <c r="E150" s="39" t="s">
        <v>109</v>
      </c>
      <c r="I150" s="64"/>
      <c r="V150" s="41"/>
      <c r="W150" s="42"/>
    </row>
    <row r="151" spans="1:26" s="38" customFormat="1" outlineLevel="1" x14ac:dyDescent="0.2">
      <c r="A151" s="42"/>
      <c r="B151" s="62" t="s">
        <v>84</v>
      </c>
      <c r="C151" s="638">
        <v>0</v>
      </c>
      <c r="D151" s="586">
        <f>C151*D149</f>
        <v>0</v>
      </c>
      <c r="E151" s="39" t="s">
        <v>109</v>
      </c>
      <c r="I151" s="64"/>
      <c r="X151" s="41"/>
      <c r="Y151" s="40"/>
      <c r="Z151" s="41"/>
    </row>
    <row r="152" spans="1:26" s="38" customFormat="1" outlineLevel="1" x14ac:dyDescent="0.2">
      <c r="B152" s="62" t="s">
        <v>83</v>
      </c>
      <c r="C152" s="638">
        <v>0</v>
      </c>
      <c r="D152" s="586">
        <f>C152*D149</f>
        <v>0</v>
      </c>
      <c r="E152" s="39" t="s">
        <v>109</v>
      </c>
      <c r="I152" s="64"/>
      <c r="V152" s="41"/>
      <c r="W152" s="42"/>
    </row>
    <row r="153" spans="1:26" s="38" customFormat="1" outlineLevel="1" x14ac:dyDescent="0.2">
      <c r="B153" s="62" t="s">
        <v>321</v>
      </c>
      <c r="C153" s="638">
        <v>0</v>
      </c>
      <c r="D153" s="586">
        <f>C153*D149</f>
        <v>0</v>
      </c>
      <c r="E153" s="39" t="s">
        <v>109</v>
      </c>
      <c r="I153" s="64"/>
      <c r="V153" s="41"/>
      <c r="W153" s="42"/>
    </row>
    <row r="154" spans="1:26" s="49" customFormat="1" ht="15.75" x14ac:dyDescent="0.2">
      <c r="A154" s="69"/>
      <c r="B154" s="329"/>
      <c r="C154" s="329"/>
      <c r="D154" s="593"/>
      <c r="E154" s="93"/>
      <c r="I154" s="51"/>
      <c r="V154" s="58"/>
      <c r="W154" s="61"/>
    </row>
    <row r="155" spans="1:26" s="52" customFormat="1" ht="15.75" x14ac:dyDescent="0.2">
      <c r="A155" s="391" t="s">
        <v>645</v>
      </c>
      <c r="B155" s="50"/>
      <c r="C155" s="50"/>
      <c r="D155" s="588"/>
      <c r="E155" s="84"/>
      <c r="F155" s="49"/>
      <c r="G155" s="49"/>
      <c r="H155" s="49"/>
      <c r="I155" s="51"/>
      <c r="J155" s="49"/>
      <c r="K155" s="49"/>
      <c r="L155" s="49"/>
      <c r="M155" s="49"/>
      <c r="N155" s="49"/>
    </row>
    <row r="156" spans="1:26" s="52" customFormat="1" ht="15.75" outlineLevel="1" x14ac:dyDescent="0.2">
      <c r="A156" s="66" t="s">
        <v>238</v>
      </c>
      <c r="B156" s="50"/>
      <c r="C156" s="53"/>
      <c r="D156" s="581"/>
      <c r="E156" s="54"/>
      <c r="F156" s="49"/>
      <c r="G156" s="49"/>
      <c r="H156" s="49"/>
      <c r="I156" s="51"/>
      <c r="J156" s="49"/>
      <c r="K156" s="49"/>
      <c r="L156" s="49"/>
      <c r="M156" s="49"/>
      <c r="N156" s="49"/>
    </row>
    <row r="157" spans="1:26" s="52" customFormat="1" ht="15.75" outlineLevel="1" x14ac:dyDescent="0.2">
      <c r="A157" s="66" t="str">
        <f>A146</f>
        <v>OCENJENA VREDNOST EUR/m2 POVRŠINE</v>
      </c>
      <c r="B157" s="50"/>
      <c r="C157" s="53"/>
      <c r="D157" s="583" t="str">
        <f>_xlfn.IFNA(CONCATENATE(VLOOKUP(D156,'CENOVNI RAZREDI'!$B$184:$J$242,8,FALSE)," - ",VLOOKUP(D156,'CENOVNI RAZREDI'!$B$184:$J$242,9,FALSE)),"")</f>
        <v/>
      </c>
      <c r="E157" s="67" t="s">
        <v>265</v>
      </c>
      <c r="F157" s="49"/>
      <c r="G157" s="49"/>
      <c r="H157" s="49"/>
      <c r="I157" s="51"/>
      <c r="J157" s="49"/>
      <c r="K157" s="49"/>
      <c r="L157" s="49"/>
      <c r="M157" s="49"/>
      <c r="N157" s="49"/>
    </row>
    <row r="158" spans="1:26" s="49" customFormat="1" ht="15.75" outlineLevel="1" x14ac:dyDescent="0.2">
      <c r="A158" s="67" t="s">
        <v>112</v>
      </c>
      <c r="B158" s="55"/>
      <c r="C158" s="56"/>
      <c r="D158" s="592">
        <v>0</v>
      </c>
      <c r="E158" s="67" t="s">
        <v>264</v>
      </c>
      <c r="I158" s="51"/>
    </row>
    <row r="159" spans="1:26" s="49" customFormat="1" ht="15.75" outlineLevel="1" x14ac:dyDescent="0.2">
      <c r="A159" s="67" t="s">
        <v>4</v>
      </c>
      <c r="B159" s="55"/>
      <c r="C159" s="57"/>
      <c r="D159" s="582">
        <v>0</v>
      </c>
      <c r="E159" s="67" t="s">
        <v>265</v>
      </c>
      <c r="I159" s="51"/>
      <c r="V159" s="58"/>
      <c r="W159" s="59"/>
      <c r="X159" s="60"/>
      <c r="Y159" s="59"/>
      <c r="Z159" s="60"/>
    </row>
    <row r="160" spans="1:26" s="49" customFormat="1" ht="15.75" outlineLevel="1" x14ac:dyDescent="0.2">
      <c r="A160" s="67" t="str">
        <f>$A$149</f>
        <v>OCENA STROŠKOV</v>
      </c>
      <c r="B160" s="55"/>
      <c r="C160" s="55"/>
      <c r="D160" s="332">
        <f>D158*D159</f>
        <v>0</v>
      </c>
      <c r="E160" s="331" t="s">
        <v>109</v>
      </c>
      <c r="I160" s="51"/>
      <c r="V160" s="58"/>
      <c r="W160" s="61"/>
    </row>
    <row r="161" spans="1:26" s="38" customFormat="1" outlineLevel="1" x14ac:dyDescent="0.2">
      <c r="B161" s="62" t="s">
        <v>82</v>
      </c>
      <c r="C161" s="638">
        <v>0</v>
      </c>
      <c r="D161" s="586">
        <f>C161*D160</f>
        <v>0</v>
      </c>
      <c r="E161" s="39" t="s">
        <v>109</v>
      </c>
      <c r="I161" s="64"/>
      <c r="V161" s="41"/>
      <c r="W161" s="42"/>
    </row>
    <row r="162" spans="1:26" s="38" customFormat="1" outlineLevel="1" x14ac:dyDescent="0.2">
      <c r="A162" s="42"/>
      <c r="B162" s="62" t="s">
        <v>84</v>
      </c>
      <c r="C162" s="638">
        <v>0</v>
      </c>
      <c r="D162" s="586">
        <f>C162*D160</f>
        <v>0</v>
      </c>
      <c r="E162" s="39" t="s">
        <v>109</v>
      </c>
      <c r="I162" s="64"/>
      <c r="X162" s="41"/>
      <c r="Y162" s="40"/>
      <c r="Z162" s="41"/>
    </row>
    <row r="163" spans="1:26" s="38" customFormat="1" outlineLevel="1" x14ac:dyDescent="0.2">
      <c r="B163" s="62" t="s">
        <v>83</v>
      </c>
      <c r="C163" s="638">
        <v>0</v>
      </c>
      <c r="D163" s="586">
        <f>C163*D160</f>
        <v>0</v>
      </c>
      <c r="E163" s="39" t="s">
        <v>109</v>
      </c>
      <c r="I163" s="64"/>
      <c r="V163" s="41"/>
      <c r="W163" s="42"/>
    </row>
    <row r="164" spans="1:26" s="38" customFormat="1" outlineLevel="1" x14ac:dyDescent="0.2">
      <c r="B164" s="62" t="s">
        <v>321</v>
      </c>
      <c r="C164" s="638">
        <v>0</v>
      </c>
      <c r="D164" s="586">
        <f>C164*D160</f>
        <v>0</v>
      </c>
      <c r="E164" s="39" t="s">
        <v>109</v>
      </c>
      <c r="I164" s="64"/>
      <c r="V164" s="41"/>
      <c r="W164" s="42"/>
    </row>
    <row r="165" spans="1:26" s="17" customFormat="1" ht="18.75" x14ac:dyDescent="0.3">
      <c r="A165" s="330"/>
      <c r="B165" s="330"/>
      <c r="C165" s="330"/>
      <c r="D165" s="594"/>
      <c r="E165" s="330"/>
      <c r="I165" s="23"/>
      <c r="O165" s="20"/>
    </row>
    <row r="166" spans="1:26" s="17" customFormat="1" ht="18.75" x14ac:dyDescent="0.3">
      <c r="A166" s="95"/>
      <c r="B166" s="95"/>
      <c r="C166" s="95"/>
      <c r="D166" s="595"/>
      <c r="E166" s="95"/>
      <c r="I166" s="23"/>
      <c r="O166" s="20"/>
    </row>
    <row r="167" spans="1:26" s="52" customFormat="1" ht="15.75" x14ac:dyDescent="0.2">
      <c r="A167" s="389" t="s">
        <v>120</v>
      </c>
      <c r="B167" s="390"/>
      <c r="C167" s="390"/>
      <c r="D167" s="390"/>
      <c r="E167" s="390"/>
      <c r="F167" s="49"/>
      <c r="G167" s="49"/>
      <c r="H167" s="49"/>
      <c r="I167" s="51"/>
      <c r="J167" s="49"/>
      <c r="K167" s="49"/>
      <c r="L167" s="49"/>
      <c r="M167" s="49"/>
      <c r="N167" s="49"/>
    </row>
    <row r="168" spans="1:26" s="49" customFormat="1" ht="15.75" x14ac:dyDescent="0.2">
      <c r="A168" s="67" t="s">
        <v>121</v>
      </c>
      <c r="B168" s="55"/>
      <c r="C168" s="56"/>
      <c r="D168" s="411">
        <f>+D18+D29+D40+D51+D62</f>
        <v>3000</v>
      </c>
      <c r="E168" s="67" t="s">
        <v>264</v>
      </c>
      <c r="I168" s="51"/>
    </row>
    <row r="169" spans="1:26" s="49" customFormat="1" ht="15.75" x14ac:dyDescent="0.2">
      <c r="A169" s="67" t="s">
        <v>131</v>
      </c>
      <c r="B169" s="55"/>
      <c r="C169" s="57"/>
      <c r="D169" s="414">
        <f>IFERROR(D170/D168,0)</f>
        <v>1000</v>
      </c>
      <c r="E169" s="67" t="s">
        <v>265</v>
      </c>
      <c r="I169" s="51"/>
      <c r="V169" s="58"/>
      <c r="W169" s="59"/>
      <c r="X169" s="60"/>
      <c r="Y169" s="59"/>
      <c r="Z169" s="60"/>
    </row>
    <row r="170" spans="1:26" s="49" customFormat="1" ht="15.75" x14ac:dyDescent="0.2">
      <c r="A170" s="67" t="str">
        <f>A21</f>
        <v>OCENA STROŠKOV</v>
      </c>
      <c r="B170" s="55"/>
      <c r="C170" s="55"/>
      <c r="D170" s="596">
        <f>+D21+D32+D43+D54+D66</f>
        <v>3000000</v>
      </c>
      <c r="E170" s="331" t="s">
        <v>109</v>
      </c>
      <c r="I170" s="51"/>
      <c r="V170" s="58"/>
      <c r="W170" s="61"/>
    </row>
    <row r="171" spans="1:26" s="38" customFormat="1" x14ac:dyDescent="0.2">
      <c r="B171" s="62" t="s">
        <v>82</v>
      </c>
      <c r="C171" s="63"/>
      <c r="D171" s="586">
        <f>+D22+D33+D44+D55+D67</f>
        <v>2385000</v>
      </c>
      <c r="E171" s="39" t="s">
        <v>109</v>
      </c>
      <c r="I171" s="64"/>
      <c r="V171" s="41"/>
      <c r="W171" s="42"/>
    </row>
    <row r="172" spans="1:26" s="38" customFormat="1" x14ac:dyDescent="0.2">
      <c r="A172" s="42"/>
      <c r="B172" s="62" t="s">
        <v>84</v>
      </c>
      <c r="C172" s="63"/>
      <c r="D172" s="586">
        <f>+D23+D34+D45+D56+D68</f>
        <v>164820.00000000003</v>
      </c>
      <c r="E172" s="39" t="s">
        <v>109</v>
      </c>
      <c r="I172" s="64"/>
      <c r="X172" s="41"/>
      <c r="Y172" s="40"/>
      <c r="Z172" s="41"/>
    </row>
    <row r="173" spans="1:26" s="38" customFormat="1" x14ac:dyDescent="0.2">
      <c r="B173" s="62" t="s">
        <v>83</v>
      </c>
      <c r="C173" s="63"/>
      <c r="D173" s="586">
        <f>+D24+D35+D46+D57+D69</f>
        <v>407129.99999999988</v>
      </c>
      <c r="E173" s="39" t="s">
        <v>109</v>
      </c>
      <c r="I173" s="64"/>
      <c r="V173" s="41"/>
      <c r="W173" s="42"/>
    </row>
    <row r="174" spans="1:26" s="38" customFormat="1" x14ac:dyDescent="0.2">
      <c r="B174" s="62" t="s">
        <v>321</v>
      </c>
      <c r="C174" s="63"/>
      <c r="D174" s="586">
        <f>+D25+D36+D47+D58+D70</f>
        <v>42435.000000000007</v>
      </c>
      <c r="E174" s="39" t="s">
        <v>109</v>
      </c>
      <c r="I174" s="64"/>
      <c r="V174" s="41"/>
      <c r="W174" s="42"/>
    </row>
    <row r="175" spans="1:26" s="49" customFormat="1" ht="15.75" x14ac:dyDescent="0.2">
      <c r="A175" s="90"/>
      <c r="B175" s="91"/>
      <c r="C175" s="92"/>
      <c r="D175" s="598"/>
      <c r="E175" s="94"/>
      <c r="I175" s="51"/>
      <c r="X175" s="60"/>
      <c r="Y175" s="59"/>
      <c r="Z175" s="60"/>
    </row>
    <row r="176" spans="1:26" s="52" customFormat="1" ht="15.75" x14ac:dyDescent="0.2">
      <c r="A176" s="389" t="s">
        <v>278</v>
      </c>
      <c r="B176" s="390"/>
      <c r="C176" s="390"/>
      <c r="D176" s="390"/>
      <c r="E176" s="390"/>
      <c r="F176" s="49"/>
      <c r="G176" s="49"/>
      <c r="H176" s="49"/>
      <c r="I176" s="51"/>
      <c r="J176" s="49"/>
      <c r="K176" s="49"/>
      <c r="L176" s="49"/>
      <c r="M176" s="49"/>
      <c r="N176" s="49"/>
    </row>
    <row r="177" spans="1:26" s="49" customFormat="1" ht="15.75" outlineLevel="1" x14ac:dyDescent="0.2">
      <c r="A177" s="67" t="s">
        <v>132</v>
      </c>
      <c r="B177" s="55"/>
      <c r="C177" s="56"/>
      <c r="D177" s="411">
        <f>+D76+D83+D90+D97+D104</f>
        <v>0</v>
      </c>
      <c r="E177" s="67" t="s">
        <v>264</v>
      </c>
      <c r="I177" s="51"/>
    </row>
    <row r="178" spans="1:26" s="49" customFormat="1" ht="15.75" outlineLevel="1" x14ac:dyDescent="0.2">
      <c r="A178" s="67" t="s">
        <v>133</v>
      </c>
      <c r="B178" s="55"/>
      <c r="C178" s="57"/>
      <c r="D178" s="414">
        <f>IFERROR(D179/D177,0)</f>
        <v>0</v>
      </c>
      <c r="E178" s="67" t="s">
        <v>265</v>
      </c>
      <c r="I178" s="51"/>
      <c r="V178" s="58"/>
      <c r="W178" s="59"/>
      <c r="X178" s="60"/>
      <c r="Y178" s="59"/>
      <c r="Z178" s="60"/>
    </row>
    <row r="179" spans="1:26" s="49" customFormat="1" ht="15.75" outlineLevel="1" x14ac:dyDescent="0.2">
      <c r="A179" s="67" t="str">
        <f>$A$160</f>
        <v>OCENA STROŠKOV</v>
      </c>
      <c r="B179" s="55"/>
      <c r="C179" s="55"/>
      <c r="D179" s="596">
        <f>+D79+D86+D93+D100+D107</f>
        <v>0</v>
      </c>
      <c r="E179" s="331" t="s">
        <v>109</v>
      </c>
      <c r="I179" s="51"/>
      <c r="V179" s="58"/>
      <c r="W179" s="61"/>
    </row>
    <row r="180" spans="1:26" s="49" customFormat="1" ht="15.75" x14ac:dyDescent="0.2">
      <c r="A180" s="90"/>
      <c r="B180" s="91"/>
      <c r="C180" s="92"/>
      <c r="D180" s="598"/>
      <c r="E180" s="94"/>
      <c r="I180" s="51"/>
      <c r="X180" s="60"/>
      <c r="Y180" s="59"/>
      <c r="Z180" s="60"/>
    </row>
    <row r="181" spans="1:26" s="52" customFormat="1" ht="15.75" x14ac:dyDescent="0.2">
      <c r="A181" s="389" t="s">
        <v>280</v>
      </c>
      <c r="B181" s="390"/>
      <c r="C181" s="390"/>
      <c r="D181" s="390"/>
      <c r="E181" s="390"/>
      <c r="F181" s="49"/>
      <c r="G181" s="49"/>
      <c r="H181" s="49"/>
      <c r="I181" s="51"/>
      <c r="J181" s="49"/>
      <c r="K181" s="49"/>
      <c r="L181" s="49"/>
      <c r="M181" s="49"/>
      <c r="N181" s="49"/>
    </row>
    <row r="182" spans="1:26" s="49" customFormat="1" ht="15.75" outlineLevel="1" x14ac:dyDescent="0.2">
      <c r="A182" s="67" t="s">
        <v>240</v>
      </c>
      <c r="B182" s="55"/>
      <c r="C182" s="56"/>
      <c r="D182" s="411">
        <f>+D114+D125+D136+D147+D158</f>
        <v>500</v>
      </c>
      <c r="E182" s="67" t="s">
        <v>2</v>
      </c>
      <c r="I182" s="51"/>
    </row>
    <row r="183" spans="1:26" s="49" customFormat="1" ht="15.75" outlineLevel="1" x14ac:dyDescent="0.2">
      <c r="A183" s="67" t="s">
        <v>241</v>
      </c>
      <c r="B183" s="55"/>
      <c r="C183" s="57"/>
      <c r="D183" s="414">
        <f>IFERROR(D184/D182,0)</f>
        <v>100</v>
      </c>
      <c r="E183" s="67" t="s">
        <v>5</v>
      </c>
      <c r="I183" s="51"/>
      <c r="V183" s="58"/>
      <c r="W183" s="59"/>
      <c r="X183" s="60"/>
      <c r="Y183" s="59"/>
      <c r="Z183" s="60"/>
    </row>
    <row r="184" spans="1:26" s="49" customFormat="1" ht="15.75" outlineLevel="1" x14ac:dyDescent="0.2">
      <c r="A184" s="67" t="str">
        <f>$A$160</f>
        <v>OCENA STROŠKOV</v>
      </c>
      <c r="B184" s="55"/>
      <c r="C184" s="55"/>
      <c r="D184" s="596">
        <f>+D116+D127+D138+D149+D160</f>
        <v>50000</v>
      </c>
      <c r="E184" s="331" t="s">
        <v>109</v>
      </c>
      <c r="I184" s="51"/>
      <c r="V184" s="58"/>
      <c r="W184" s="61"/>
    </row>
    <row r="185" spans="1:26" s="38" customFormat="1" ht="15.75" outlineLevel="1" x14ac:dyDescent="0.2">
      <c r="B185" s="62" t="s">
        <v>82</v>
      </c>
      <c r="C185" s="59"/>
      <c r="D185" s="586">
        <f>D117+D128+D139+D150+D161</f>
        <v>0</v>
      </c>
      <c r="E185" s="39" t="s">
        <v>109</v>
      </c>
      <c r="I185" s="64"/>
      <c r="V185" s="41"/>
      <c r="W185" s="42"/>
    </row>
    <row r="186" spans="1:26" s="38" customFormat="1" ht="15.75" outlineLevel="1" x14ac:dyDescent="0.2">
      <c r="A186" s="42"/>
      <c r="B186" s="62" t="s">
        <v>84</v>
      </c>
      <c r="C186" s="59"/>
      <c r="D186" s="586">
        <f t="shared" ref="D186:D188" si="0">D118+D129+D140+D151+D162</f>
        <v>0</v>
      </c>
      <c r="E186" s="39" t="s">
        <v>109</v>
      </c>
      <c r="I186" s="64"/>
      <c r="X186" s="41"/>
      <c r="Y186" s="40"/>
      <c r="Z186" s="41"/>
    </row>
    <row r="187" spans="1:26" s="38" customFormat="1" ht="15.75" outlineLevel="1" x14ac:dyDescent="0.2">
      <c r="B187" s="62" t="s">
        <v>83</v>
      </c>
      <c r="C187" s="59"/>
      <c r="D187" s="586">
        <f t="shared" si="0"/>
        <v>0</v>
      </c>
      <c r="E187" s="39" t="s">
        <v>109</v>
      </c>
      <c r="I187" s="64"/>
      <c r="V187" s="41"/>
      <c r="W187" s="42"/>
    </row>
    <row r="188" spans="1:26" s="38" customFormat="1" outlineLevel="1" x14ac:dyDescent="0.2">
      <c r="B188" s="62" t="s">
        <v>321</v>
      </c>
      <c r="C188" s="63"/>
      <c r="D188" s="586">
        <f t="shared" si="0"/>
        <v>0</v>
      </c>
      <c r="E188" s="39" t="s">
        <v>109</v>
      </c>
      <c r="I188" s="64"/>
      <c r="V188" s="41"/>
      <c r="W188" s="42"/>
    </row>
    <row r="189" spans="1:26" s="49" customFormat="1" ht="15.75" x14ac:dyDescent="0.2">
      <c r="A189" s="393"/>
      <c r="B189" s="412"/>
      <c r="C189" s="412"/>
      <c r="D189" s="599"/>
      <c r="E189" s="413"/>
      <c r="I189" s="51"/>
      <c r="V189" s="58"/>
      <c r="W189" s="61"/>
    </row>
    <row r="190" spans="1:26" s="52" customFormat="1" ht="15.75" x14ac:dyDescent="0.2">
      <c r="A190" s="389" t="s">
        <v>324</v>
      </c>
      <c r="B190" s="390"/>
      <c r="C190" s="390"/>
      <c r="D190" s="390"/>
      <c r="E190" s="390"/>
      <c r="F190" s="49"/>
      <c r="G190" s="49"/>
      <c r="H190" s="49"/>
      <c r="I190" s="51"/>
      <c r="J190" s="49"/>
      <c r="K190" s="49"/>
      <c r="L190" s="49"/>
      <c r="M190" s="49"/>
      <c r="N190" s="49"/>
    </row>
    <row r="191" spans="1:26" s="49" customFormat="1" ht="15.75" outlineLevel="1" x14ac:dyDescent="0.2">
      <c r="A191" s="67" t="s">
        <v>322</v>
      </c>
      <c r="B191" s="55"/>
      <c r="C191" s="55"/>
      <c r="D191" s="596">
        <f>SUM(D192:D195)</f>
        <v>0</v>
      </c>
      <c r="E191" s="331" t="s">
        <v>109</v>
      </c>
      <c r="I191" s="51"/>
      <c r="V191" s="58"/>
      <c r="W191" s="61"/>
    </row>
    <row r="192" spans="1:26" s="49" customFormat="1" ht="15.75" outlineLevel="1" x14ac:dyDescent="0.2">
      <c r="A192" s="62"/>
      <c r="B192" s="62" t="s">
        <v>82</v>
      </c>
      <c r="C192" s="59"/>
      <c r="D192" s="597">
        <v>0</v>
      </c>
      <c r="E192" s="410" t="s">
        <v>109</v>
      </c>
      <c r="F192" s="61"/>
      <c r="I192" s="51"/>
      <c r="V192" s="58"/>
      <c r="W192" s="61"/>
    </row>
    <row r="193" spans="1:23" s="49" customFormat="1" ht="15.75" outlineLevel="1" x14ac:dyDescent="0.2">
      <c r="A193" s="62"/>
      <c r="B193" s="62" t="s">
        <v>84</v>
      </c>
      <c r="C193" s="59"/>
      <c r="D193" s="597">
        <v>0</v>
      </c>
      <c r="E193" s="39" t="s">
        <v>109</v>
      </c>
      <c r="I193" s="51"/>
      <c r="V193" s="58"/>
      <c r="W193" s="61"/>
    </row>
    <row r="194" spans="1:23" s="49" customFormat="1" ht="15.75" outlineLevel="1" x14ac:dyDescent="0.2">
      <c r="A194" s="62"/>
      <c r="B194" s="62" t="s">
        <v>83</v>
      </c>
      <c r="C194" s="59"/>
      <c r="D194" s="597">
        <v>0</v>
      </c>
      <c r="E194" s="39" t="s">
        <v>109</v>
      </c>
      <c r="I194" s="51"/>
      <c r="V194" s="58"/>
      <c r="W194" s="61"/>
    </row>
    <row r="195" spans="1:23" s="38" customFormat="1" outlineLevel="1" x14ac:dyDescent="0.2">
      <c r="B195" s="62" t="s">
        <v>321</v>
      </c>
      <c r="C195" s="63"/>
      <c r="D195" s="597">
        <v>0</v>
      </c>
      <c r="E195" s="39" t="s">
        <v>109</v>
      </c>
      <c r="I195" s="64"/>
      <c r="V195" s="41"/>
      <c r="W195" s="42"/>
    </row>
    <row r="196" spans="1:23" s="49" customFormat="1" ht="15.75" x14ac:dyDescent="0.2">
      <c r="A196" s="69"/>
      <c r="B196" s="329"/>
      <c r="C196" s="329"/>
      <c r="D196" s="600"/>
      <c r="E196" s="93"/>
      <c r="I196" s="51"/>
      <c r="V196" s="58"/>
      <c r="W196" s="61"/>
    </row>
    <row r="197" spans="1:23" s="52" customFormat="1" ht="15.75" x14ac:dyDescent="0.2">
      <c r="A197" s="389" t="s">
        <v>326</v>
      </c>
      <c r="B197" s="390"/>
      <c r="C197" s="390"/>
      <c r="D197" s="390"/>
      <c r="E197" s="390"/>
      <c r="F197" s="49"/>
      <c r="G197" s="49"/>
      <c r="H197" s="49"/>
      <c r="I197" s="51"/>
      <c r="J197" s="49"/>
      <c r="K197" s="49"/>
      <c r="L197" s="49"/>
      <c r="M197" s="49"/>
      <c r="N197" s="49"/>
    </row>
    <row r="198" spans="1:23" s="49" customFormat="1" ht="15.75" outlineLevel="1" x14ac:dyDescent="0.2">
      <c r="A198" s="67" t="s">
        <v>322</v>
      </c>
      <c r="B198" s="55"/>
      <c r="C198" s="55"/>
      <c r="D198" s="596">
        <f>SUM(D199:D204)</f>
        <v>0</v>
      </c>
      <c r="E198" s="331" t="s">
        <v>109</v>
      </c>
      <c r="I198" s="51"/>
      <c r="V198" s="58"/>
      <c r="W198" s="61"/>
    </row>
    <row r="199" spans="1:23" s="49" customFormat="1" ht="15.75" outlineLevel="1" x14ac:dyDescent="0.2">
      <c r="A199" s="62"/>
      <c r="B199" s="62" t="s">
        <v>82</v>
      </c>
      <c r="C199" s="59"/>
      <c r="D199" s="597">
        <v>0</v>
      </c>
      <c r="E199" s="410" t="s">
        <v>109</v>
      </c>
      <c r="F199" s="61"/>
      <c r="I199" s="51"/>
      <c r="V199" s="58"/>
      <c r="W199" s="61"/>
    </row>
    <row r="200" spans="1:23" s="49" customFormat="1" ht="15.75" outlineLevel="1" x14ac:dyDescent="0.2">
      <c r="A200" s="62"/>
      <c r="B200" s="62" t="s">
        <v>84</v>
      </c>
      <c r="C200" s="59"/>
      <c r="D200" s="597">
        <v>0</v>
      </c>
      <c r="E200" s="39" t="s">
        <v>109</v>
      </c>
      <c r="I200" s="51"/>
      <c r="V200" s="58"/>
      <c r="W200" s="61"/>
    </row>
    <row r="201" spans="1:23" s="49" customFormat="1" ht="15.75" outlineLevel="1" x14ac:dyDescent="0.2">
      <c r="A201" s="62"/>
      <c r="B201" s="62" t="s">
        <v>83</v>
      </c>
      <c r="C201" s="59"/>
      <c r="D201" s="597">
        <v>0</v>
      </c>
      <c r="E201" s="39" t="s">
        <v>109</v>
      </c>
      <c r="I201" s="51"/>
      <c r="V201" s="58"/>
      <c r="W201" s="61"/>
    </row>
    <row r="202" spans="1:23" s="49" customFormat="1" ht="15.75" outlineLevel="1" x14ac:dyDescent="0.2">
      <c r="A202" s="62"/>
      <c r="B202" s="62" t="s">
        <v>321</v>
      </c>
      <c r="C202" s="63"/>
      <c r="D202" s="597">
        <v>0</v>
      </c>
      <c r="E202" s="39" t="s">
        <v>109</v>
      </c>
      <c r="I202" s="51"/>
      <c r="V202" s="58"/>
      <c r="W202" s="61"/>
    </row>
    <row r="203" spans="1:23" s="49" customFormat="1" ht="15.75" outlineLevel="1" x14ac:dyDescent="0.2">
      <c r="A203" s="62"/>
      <c r="B203" s="62" t="s">
        <v>802</v>
      </c>
      <c r="C203" s="63"/>
      <c r="D203" s="597">
        <v>0</v>
      </c>
      <c r="E203" s="39" t="s">
        <v>109</v>
      </c>
      <c r="I203" s="51"/>
      <c r="V203" s="58"/>
      <c r="W203" s="61"/>
    </row>
    <row r="204" spans="1:23" s="49" customFormat="1" ht="15.75" outlineLevel="1" x14ac:dyDescent="0.2">
      <c r="A204" s="62"/>
      <c r="B204" s="62" t="s">
        <v>803</v>
      </c>
      <c r="C204" s="63"/>
      <c r="D204" s="597">
        <v>0</v>
      </c>
      <c r="E204" s="39" t="s">
        <v>109</v>
      </c>
      <c r="I204" s="51"/>
      <c r="V204" s="58"/>
      <c r="W204" s="61"/>
    </row>
    <row r="205" spans="1:23" s="49" customFormat="1" ht="15.75" x14ac:dyDescent="0.2">
      <c r="A205" s="69"/>
      <c r="B205" s="329"/>
      <c r="C205" s="329"/>
      <c r="D205" s="600"/>
      <c r="E205" s="93"/>
      <c r="I205" s="51"/>
      <c r="V205" s="58"/>
      <c r="W205" s="61"/>
    </row>
    <row r="206" spans="1:23" s="52" customFormat="1" ht="15.75" x14ac:dyDescent="0.2">
      <c r="A206" s="552" t="s">
        <v>533</v>
      </c>
      <c r="B206" s="553"/>
      <c r="C206" s="72"/>
      <c r="D206" s="73">
        <f>+D170+D179+D184+D191+D198</f>
        <v>3050000</v>
      </c>
      <c r="E206" s="72" t="s">
        <v>109</v>
      </c>
      <c r="F206" s="49"/>
      <c r="G206" s="49"/>
      <c r="H206" s="49"/>
      <c r="I206" s="51"/>
      <c r="J206" s="49"/>
      <c r="K206" s="49"/>
      <c r="L206" s="49"/>
      <c r="M206" s="49"/>
      <c r="N206" s="49"/>
    </row>
    <row r="207" spans="1:23" s="52" customFormat="1" ht="15.75" x14ac:dyDescent="0.2">
      <c r="A207" s="74"/>
      <c r="B207" s="75"/>
      <c r="C207" s="75"/>
      <c r="D207" s="76"/>
      <c r="E207" s="75"/>
      <c r="F207" s="49"/>
      <c r="G207" s="49"/>
      <c r="H207" s="49"/>
      <c r="I207" s="51"/>
      <c r="J207" s="49"/>
      <c r="K207" s="49"/>
      <c r="L207" s="49"/>
      <c r="M207" s="49"/>
      <c r="N207" s="49"/>
    </row>
    <row r="208" spans="1:23" s="20" customFormat="1" ht="18.75" x14ac:dyDescent="0.25">
      <c r="A208" s="1" t="s">
        <v>123</v>
      </c>
      <c r="B208" s="1"/>
      <c r="C208" s="1"/>
      <c r="D208" s="601"/>
      <c r="E208" s="1"/>
      <c r="I208" s="47"/>
    </row>
    <row r="209" spans="1:14" s="20" customFormat="1" ht="39.75" customHeight="1" x14ac:dyDescent="0.25">
      <c r="B209" s="1118" t="s">
        <v>646</v>
      </c>
      <c r="C209" s="1118"/>
      <c r="D209" s="1118"/>
      <c r="E209" s="1118"/>
      <c r="I209" s="47"/>
    </row>
    <row r="210" spans="1:14" s="52" customFormat="1" ht="15.75" x14ac:dyDescent="0.2">
      <c r="B210" s="699" t="s">
        <v>325</v>
      </c>
      <c r="C210" s="703"/>
      <c r="D210" s="704">
        <f>(D171+IF((D172+D173)&gt;D171/4, D171/4+((D172+D173)-D171/4)/2,(D172+D173)))</f>
        <v>2956950</v>
      </c>
      <c r="E210" s="700" t="s">
        <v>109</v>
      </c>
      <c r="F210" s="49"/>
      <c r="G210" s="49"/>
      <c r="H210" s="49"/>
      <c r="I210" s="51"/>
      <c r="J210" s="49"/>
      <c r="K210" s="49"/>
      <c r="L210" s="49"/>
      <c r="M210" s="49"/>
      <c r="N210" s="49"/>
    </row>
    <row r="211" spans="1:14" s="52" customFormat="1" ht="15.75" x14ac:dyDescent="0.2">
      <c r="B211" s="701" t="s">
        <v>3</v>
      </c>
      <c r="C211" s="705"/>
      <c r="D211" s="706">
        <f>+D179</f>
        <v>0</v>
      </c>
      <c r="E211" s="702" t="s">
        <v>109</v>
      </c>
      <c r="F211" s="49"/>
      <c r="G211" s="49"/>
      <c r="H211" s="49"/>
      <c r="I211" s="51"/>
      <c r="J211" s="49"/>
      <c r="K211" s="49"/>
      <c r="L211" s="49"/>
      <c r="M211" s="49"/>
      <c r="N211" s="49"/>
    </row>
    <row r="212" spans="1:14" s="52" customFormat="1" ht="15.75" x14ac:dyDescent="0.2">
      <c r="B212" s="701" t="s">
        <v>276</v>
      </c>
      <c r="C212" s="705"/>
      <c r="D212" s="706">
        <f>D184</f>
        <v>50000</v>
      </c>
      <c r="E212" s="702" t="s">
        <v>109</v>
      </c>
      <c r="F212" s="49"/>
      <c r="G212" s="49"/>
      <c r="H212" s="49"/>
      <c r="I212" s="51"/>
      <c r="J212" s="49"/>
      <c r="K212" s="49"/>
      <c r="L212" s="49"/>
      <c r="M212" s="49"/>
      <c r="N212" s="49"/>
    </row>
    <row r="213" spans="1:14" s="52" customFormat="1" ht="15.75" x14ac:dyDescent="0.2">
      <c r="B213" s="701" t="s">
        <v>324</v>
      </c>
      <c r="C213" s="705"/>
      <c r="D213" s="706">
        <f>(D192+IF((D193+D194+D195)&gt;D192/4, D192/4+((D193+D194+D195)-D192/4)/2,D193+D194+D195))</f>
        <v>0</v>
      </c>
      <c r="E213" s="702" t="s">
        <v>109</v>
      </c>
      <c r="F213" s="49"/>
      <c r="G213" s="49"/>
      <c r="H213" s="49"/>
      <c r="I213" s="51"/>
      <c r="J213" s="49"/>
      <c r="K213" s="49"/>
      <c r="L213" s="49"/>
      <c r="M213" s="49"/>
      <c r="N213" s="49"/>
    </row>
    <row r="214" spans="1:14" s="52" customFormat="1" ht="15.75" x14ac:dyDescent="0.2">
      <c r="B214" s="707" t="s">
        <v>326</v>
      </c>
      <c r="C214" s="708"/>
      <c r="D214" s="709">
        <f>(D199+IF((D200+D201+D202)&gt;D199/4, D199/4+((D200+D201+D202)-D200/4)/2,D200+D201+D202))</f>
        <v>0</v>
      </c>
      <c r="E214" s="710" t="s">
        <v>109</v>
      </c>
      <c r="F214" s="49"/>
      <c r="G214" s="49"/>
      <c r="H214" s="49"/>
      <c r="I214" s="51"/>
      <c r="J214" s="49"/>
      <c r="K214" s="49"/>
      <c r="L214" s="49"/>
      <c r="M214" s="49"/>
      <c r="N214" s="49"/>
    </row>
    <row r="215" spans="1:14" s="52" customFormat="1" ht="15.75" x14ac:dyDescent="0.2">
      <c r="B215" s="714"/>
      <c r="C215" s="715"/>
      <c r="D215" s="716"/>
      <c r="E215" s="717"/>
      <c r="F215" s="49"/>
      <c r="G215" s="49"/>
      <c r="H215" s="49"/>
      <c r="I215" s="51"/>
      <c r="J215" s="49"/>
      <c r="K215" s="49"/>
      <c r="L215" s="49"/>
      <c r="M215" s="49"/>
      <c r="N215" s="49"/>
    </row>
    <row r="216" spans="1:14" s="52" customFormat="1" ht="15.75" x14ac:dyDescent="0.2">
      <c r="B216" s="711" t="s">
        <v>327</v>
      </c>
      <c r="C216" s="712"/>
      <c r="D216" s="713">
        <f>+D171*0.55+(D173+D172+D174)*0.1+D192*0.9+(D193+D194+D195)*0.1</f>
        <v>1373188.5</v>
      </c>
      <c r="E216" s="689" t="s">
        <v>109</v>
      </c>
      <c r="F216" s="49"/>
      <c r="G216" s="49"/>
      <c r="H216" s="49"/>
      <c r="I216" s="51"/>
      <c r="J216" s="49"/>
      <c r="K216" s="49"/>
      <c r="L216" s="49"/>
      <c r="M216" s="49"/>
      <c r="N216" s="49"/>
    </row>
    <row r="217" spans="1:14" s="52" customFormat="1" ht="15.75" x14ac:dyDescent="0.2">
      <c r="B217" s="684" t="s">
        <v>328</v>
      </c>
      <c r="C217" s="685"/>
      <c r="D217" s="695">
        <f>D172+D186+D193+D200</f>
        <v>164820.00000000003</v>
      </c>
      <c r="E217" s="686" t="s">
        <v>109</v>
      </c>
      <c r="F217" s="49"/>
      <c r="G217" s="49"/>
      <c r="H217" s="49"/>
      <c r="I217" s="51"/>
      <c r="J217" s="49"/>
      <c r="K217" s="49"/>
      <c r="L217" s="49"/>
      <c r="M217" s="49"/>
      <c r="N217" s="49"/>
    </row>
    <row r="218" spans="1:14" s="52" customFormat="1" ht="15.75" x14ac:dyDescent="0.2">
      <c r="B218" s="684" t="s">
        <v>329</v>
      </c>
      <c r="C218" s="685"/>
      <c r="D218" s="695">
        <f>D173+D187+D194+D201</f>
        <v>407129.99999999988</v>
      </c>
      <c r="E218" s="686" t="s">
        <v>109</v>
      </c>
      <c r="F218" s="49"/>
      <c r="G218" s="49"/>
      <c r="H218" s="49"/>
      <c r="I218" s="51"/>
      <c r="J218" s="49"/>
      <c r="K218" s="49"/>
      <c r="L218" s="49"/>
      <c r="M218" s="49"/>
      <c r="N218" s="49"/>
    </row>
    <row r="219" spans="1:14" s="52" customFormat="1" ht="15.75" x14ac:dyDescent="0.2">
      <c r="B219" s="684" t="s">
        <v>320</v>
      </c>
      <c r="C219" s="685"/>
      <c r="D219" s="695">
        <f>+D174+D188+D195+D202</f>
        <v>42435.000000000007</v>
      </c>
      <c r="E219" s="686" t="s">
        <v>109</v>
      </c>
      <c r="F219" s="49"/>
      <c r="G219" s="49"/>
      <c r="H219" s="49"/>
      <c r="I219" s="51"/>
      <c r="J219" s="49"/>
      <c r="K219" s="49"/>
      <c r="L219" s="49"/>
      <c r="M219" s="49"/>
      <c r="N219" s="49"/>
    </row>
    <row r="220" spans="1:14" s="52" customFormat="1" ht="15.75" x14ac:dyDescent="0.2">
      <c r="B220" s="684" t="s">
        <v>333</v>
      </c>
      <c r="C220" s="685"/>
      <c r="D220" s="695">
        <f>D170</f>
        <v>3000000</v>
      </c>
      <c r="E220" s="686" t="s">
        <v>109</v>
      </c>
      <c r="F220" s="49"/>
      <c r="G220" s="49"/>
      <c r="H220" s="49"/>
      <c r="I220" s="51"/>
      <c r="J220" s="49"/>
      <c r="K220" s="49"/>
      <c r="L220" s="49"/>
      <c r="M220" s="49"/>
      <c r="N220" s="49"/>
    </row>
    <row r="221" spans="1:14" s="52" customFormat="1" ht="15.75" x14ac:dyDescent="0.2">
      <c r="B221" s="687" t="s">
        <v>330</v>
      </c>
      <c r="C221" s="688"/>
      <c r="D221" s="696">
        <f>D210</f>
        <v>2956950</v>
      </c>
      <c r="E221" s="689" t="s">
        <v>109</v>
      </c>
      <c r="F221" s="49"/>
      <c r="G221" s="49"/>
      <c r="H221" s="49"/>
      <c r="I221" s="51"/>
      <c r="J221" s="49"/>
      <c r="K221" s="49"/>
      <c r="L221" s="49"/>
      <c r="M221" s="49"/>
      <c r="N221" s="49"/>
    </row>
    <row r="222" spans="1:14" s="52" customFormat="1" ht="15.75" x14ac:dyDescent="0.2">
      <c r="B222" s="690" t="s">
        <v>331</v>
      </c>
      <c r="C222" s="691"/>
      <c r="D222" s="697">
        <f>D171</f>
        <v>2385000</v>
      </c>
      <c r="E222" s="686" t="s">
        <v>109</v>
      </c>
      <c r="F222" s="49"/>
      <c r="G222" s="49"/>
      <c r="H222" s="49"/>
      <c r="I222" s="51"/>
      <c r="J222" s="49"/>
      <c r="K222" s="49"/>
      <c r="L222" s="49"/>
      <c r="M222" s="49"/>
      <c r="N222" s="49"/>
    </row>
    <row r="223" spans="1:14" s="52" customFormat="1" ht="15.75" x14ac:dyDescent="0.2">
      <c r="B223" s="692" t="s">
        <v>332</v>
      </c>
      <c r="C223" s="693"/>
      <c r="D223" s="698">
        <f>D170*0.6+D179</f>
        <v>1800000</v>
      </c>
      <c r="E223" s="694" t="s">
        <v>109</v>
      </c>
      <c r="F223" s="49"/>
      <c r="G223" s="49"/>
      <c r="H223" s="49"/>
      <c r="I223" s="51"/>
      <c r="J223" s="49"/>
      <c r="K223" s="49"/>
      <c r="L223" s="49"/>
      <c r="M223" s="49"/>
      <c r="N223" s="49"/>
    </row>
    <row r="224" spans="1:14" s="52" customFormat="1" ht="15.75" x14ac:dyDescent="0.2">
      <c r="A224" s="74"/>
      <c r="B224" s="75"/>
      <c r="C224" s="75"/>
      <c r="D224" s="76"/>
      <c r="E224" s="75"/>
      <c r="F224" s="49"/>
      <c r="G224" s="49"/>
      <c r="H224" s="49"/>
      <c r="I224" s="51"/>
      <c r="J224" s="49"/>
      <c r="K224" s="49"/>
      <c r="L224" s="49"/>
      <c r="M224" s="49"/>
      <c r="N224" s="49"/>
    </row>
    <row r="225" spans="1:18" s="52" customFormat="1" ht="15.75" x14ac:dyDescent="0.2">
      <c r="A225" s="74"/>
      <c r="B225" s="75"/>
      <c r="C225" s="75"/>
      <c r="D225" s="76"/>
      <c r="E225" s="75"/>
      <c r="F225" s="49"/>
      <c r="G225" s="49"/>
      <c r="H225" s="49"/>
      <c r="I225" s="51"/>
      <c r="J225" s="49"/>
      <c r="K225" s="49"/>
      <c r="L225" s="49"/>
      <c r="M225" s="49"/>
      <c r="N225" s="49"/>
    </row>
    <row r="226" spans="1:18" s="52" customFormat="1" ht="15.75" x14ac:dyDescent="0.2">
      <c r="A226" s="74"/>
      <c r="B226" s="75"/>
      <c r="C226" s="75"/>
      <c r="D226" s="76"/>
      <c r="E226" s="75"/>
      <c r="F226" s="49"/>
      <c r="G226" s="49"/>
      <c r="H226" s="49"/>
      <c r="I226" s="51"/>
      <c r="J226" s="49"/>
      <c r="K226" s="49"/>
      <c r="L226" s="49"/>
      <c r="M226" s="49"/>
      <c r="N226" s="49"/>
    </row>
    <row r="227" spans="1:18" s="20" customFormat="1" ht="18.75" x14ac:dyDescent="0.25">
      <c r="A227" s="1" t="s">
        <v>145</v>
      </c>
      <c r="B227" s="79"/>
      <c r="C227" s="79"/>
      <c r="D227" s="576"/>
      <c r="E227" s="79"/>
      <c r="I227" s="47"/>
    </row>
    <row r="228" spans="1:18" s="20" customFormat="1" ht="49.5" customHeight="1" x14ac:dyDescent="0.25">
      <c r="B228" s="1116" t="s">
        <v>756</v>
      </c>
      <c r="C228" s="1116"/>
      <c r="D228" s="1116"/>
      <c r="E228" s="1116"/>
      <c r="I228" s="47"/>
    </row>
    <row r="229" spans="1:18" s="52" customFormat="1" ht="15.75" x14ac:dyDescent="0.2">
      <c r="A229" s="74"/>
      <c r="B229" s="75"/>
      <c r="C229" s="75"/>
      <c r="D229" s="76"/>
      <c r="E229" s="75"/>
      <c r="F229" s="49"/>
      <c r="G229" s="49"/>
      <c r="H229" s="49"/>
      <c r="I229" s="51"/>
      <c r="J229" s="49"/>
      <c r="K229" s="49"/>
      <c r="L229" s="49"/>
      <c r="M229" s="49"/>
      <c r="N229" s="49"/>
    </row>
    <row r="231" spans="1:18" ht="15.75" x14ac:dyDescent="0.25">
      <c r="A231" s="378"/>
      <c r="B231" s="46"/>
      <c r="C231" s="61"/>
      <c r="D231" s="602"/>
      <c r="E231" s="379"/>
    </row>
    <row r="232" spans="1:18" s="83" customFormat="1" ht="18.75" x14ac:dyDescent="0.2">
      <c r="A232" s="1" t="s">
        <v>430</v>
      </c>
      <c r="B232" s="79"/>
      <c r="C232" s="79"/>
      <c r="D232" s="576"/>
      <c r="E232" s="79"/>
      <c r="G232" s="79"/>
      <c r="H232" s="79"/>
      <c r="I232" s="79"/>
      <c r="J232" s="79"/>
    </row>
    <row r="233" spans="1:18" s="96" customFormat="1" ht="39" customHeight="1" x14ac:dyDescent="0.2">
      <c r="B233" s="1116" t="s">
        <v>817</v>
      </c>
      <c r="C233" s="1116"/>
      <c r="D233" s="1116"/>
      <c r="E233" s="1116"/>
    </row>
    <row r="234" spans="1:18" s="96" customFormat="1" ht="18.75" x14ac:dyDescent="0.2">
      <c r="B234" s="1116" t="s">
        <v>605</v>
      </c>
      <c r="C234" s="1116"/>
      <c r="D234" s="1116"/>
      <c r="E234" s="1116"/>
    </row>
    <row r="235" spans="1:18" s="96" customFormat="1" ht="18.75" x14ac:dyDescent="0.2">
      <c r="A235" s="386"/>
      <c r="B235" s="386"/>
      <c r="C235" s="386"/>
      <c r="D235" s="569"/>
      <c r="E235" s="386"/>
    </row>
    <row r="236" spans="1:18" s="345" customFormat="1" ht="62.25" customHeight="1" x14ac:dyDescent="0.3">
      <c r="A236" s="24"/>
      <c r="B236" s="665" t="s">
        <v>439</v>
      </c>
      <c r="C236" s="666" t="s">
        <v>123</v>
      </c>
      <c r="D236" s="409" t="s">
        <v>114</v>
      </c>
      <c r="E236" s="666" t="s">
        <v>603</v>
      </c>
      <c r="F236" s="666" t="s">
        <v>604</v>
      </c>
      <c r="G236" s="672" t="s">
        <v>649</v>
      </c>
      <c r="H236" s="673" t="s">
        <v>648</v>
      </c>
      <c r="I236" s="673" t="s">
        <v>76</v>
      </c>
      <c r="J236" s="673" t="s">
        <v>90</v>
      </c>
      <c r="K236" s="673" t="s">
        <v>534</v>
      </c>
      <c r="L236" s="346"/>
      <c r="M236" s="346"/>
      <c r="N236" s="346"/>
      <c r="O236" s="346"/>
      <c r="P236" s="346"/>
      <c r="Q236" s="347"/>
      <c r="R236" s="347"/>
    </row>
    <row r="237" spans="1:18" s="20" customFormat="1" ht="15.75" x14ac:dyDescent="0.25">
      <c r="A237" s="24"/>
      <c r="B237" s="667" t="s">
        <v>325</v>
      </c>
      <c r="C237" s="668">
        <f>D210</f>
        <v>2956950</v>
      </c>
      <c r="D237" s="603" t="s">
        <v>106</v>
      </c>
      <c r="E237" s="668">
        <f>'STAVBE IN NOTRANJA OPREMA'!F46</f>
        <v>3777.4494500000001</v>
      </c>
      <c r="F237" s="668">
        <f>'STAVBE IN NOTRANJA OPREMA'!F51</f>
        <v>4711.22325</v>
      </c>
      <c r="G237" s="674" t="b">
        <v>1</v>
      </c>
      <c r="H237" s="675"/>
      <c r="I237" s="877">
        <f>IFERROR(IF(G237=TRUE,(E237+F237)/2, H237),0)</f>
        <v>4244.3363499999996</v>
      </c>
      <c r="J237" s="668">
        <f>I237*'ARHIGRAM 5'!$I$17</f>
        <v>169773.45399999997</v>
      </c>
      <c r="K237" s="668">
        <f>'STAVBE IN NOTRANJA OPREMA'!H114</f>
        <v>135818.76319999999</v>
      </c>
    </row>
    <row r="238" spans="1:18" s="20" customFormat="1" ht="15.75" x14ac:dyDescent="0.25">
      <c r="A238" s="24"/>
      <c r="B238" s="669" t="s">
        <v>3</v>
      </c>
      <c r="C238" s="670">
        <f>'OSNOVNI PODATKI'!D211</f>
        <v>0</v>
      </c>
      <c r="D238" s="604" t="s">
        <v>106</v>
      </c>
      <c r="E238" s="670" t="str">
        <f>'STAVBE IN NOTRANJA OPREMA'!F66</f>
        <v>NI DOLOČENO</v>
      </c>
      <c r="F238" s="670" t="str">
        <f>'STAVBE IN NOTRANJA OPREMA'!F71</f>
        <v>NI DOLOČENO</v>
      </c>
      <c r="G238" s="676" t="b">
        <v>1</v>
      </c>
      <c r="H238" s="677"/>
      <c r="I238" s="878">
        <f t="shared" ref="I238:I241" si="1">IFERROR(IF(G238=TRUE,(E238+F238)/2, H238),0)</f>
        <v>0</v>
      </c>
      <c r="J238" s="670">
        <f>I238*'ARHIGRAM 5'!$I$17</f>
        <v>0</v>
      </c>
      <c r="K238" s="670">
        <f>'STAVBE IN NOTRANJA OPREMA'!H156</f>
        <v>0</v>
      </c>
    </row>
    <row r="239" spans="1:18" s="20" customFormat="1" ht="15.75" x14ac:dyDescent="0.25">
      <c r="A239" s="24"/>
      <c r="B239" s="669" t="s">
        <v>276</v>
      </c>
      <c r="C239" s="670">
        <f>'OSNOVNI PODATKI'!D212</f>
        <v>50000</v>
      </c>
      <c r="D239" s="604" t="s">
        <v>107</v>
      </c>
      <c r="E239" s="670">
        <f>'ODPRTI PROSTOR'!F51</f>
        <v>179.33333333333334</v>
      </c>
      <c r="F239" s="670">
        <f>'ODPRTI PROSTOR'!F56</f>
        <v>203.33333333333334</v>
      </c>
      <c r="G239" s="676" t="b">
        <v>1</v>
      </c>
      <c r="H239" s="677"/>
      <c r="I239" s="878">
        <f t="shared" si="1"/>
        <v>191.33333333333334</v>
      </c>
      <c r="J239" s="670">
        <f>I239*'ARHIGRAM 5'!$I$17</f>
        <v>7653.3333333333339</v>
      </c>
      <c r="K239" s="670">
        <f>'ODPRTI PROSTOR'!H102</f>
        <v>6275.7333333333345</v>
      </c>
    </row>
    <row r="240" spans="1:18" s="20" customFormat="1" ht="15.75" x14ac:dyDescent="0.25">
      <c r="A240" s="24"/>
      <c r="B240" s="669" t="s">
        <v>324</v>
      </c>
      <c r="C240" s="671">
        <f>+D213</f>
        <v>0</v>
      </c>
      <c r="D240" s="604"/>
      <c r="E240" s="671" t="str">
        <f>'INŽENIRSKI OBJEKTI'!F46</f>
        <v>NI DOLOČENO</v>
      </c>
      <c r="F240" s="671" t="str">
        <f>'INŽENIRSKI OBJEKTI'!F51</f>
        <v>NI DOLOČENO</v>
      </c>
      <c r="G240" s="676" t="b">
        <v>1</v>
      </c>
      <c r="H240" s="677"/>
      <c r="I240" s="878">
        <f t="shared" si="1"/>
        <v>0</v>
      </c>
      <c r="J240" s="670">
        <f>I240*'ARHIGRAM 5'!$I$17</f>
        <v>0</v>
      </c>
      <c r="K240" s="670">
        <f>'INŽENIRSKI OBJEKTI'!H95</f>
        <v>0</v>
      </c>
    </row>
    <row r="241" spans="1:23" s="20" customFormat="1" ht="15.75" x14ac:dyDescent="0.25">
      <c r="A241" s="24"/>
      <c r="B241" s="718" t="s">
        <v>326</v>
      </c>
      <c r="C241" s="719">
        <f>+D214</f>
        <v>0</v>
      </c>
      <c r="D241" s="720"/>
      <c r="E241" s="719" t="str">
        <f>'PROMETNA INFRASTRUKTURA'!F46</f>
        <v>NI DOLOČENO</v>
      </c>
      <c r="F241" s="719" t="str">
        <f>'PROMETNA INFRASTRUKTURA'!F51</f>
        <v>NI DOLOČENO</v>
      </c>
      <c r="G241" s="678" t="b">
        <v>1</v>
      </c>
      <c r="H241" s="721"/>
      <c r="I241" s="879">
        <f t="shared" si="1"/>
        <v>0</v>
      </c>
      <c r="J241" s="719">
        <f>I241*'ARHIGRAM 5'!$I$17</f>
        <v>0</v>
      </c>
      <c r="K241" s="719">
        <f>'PROMETNA INFRASTRUKTURA'!H96</f>
        <v>0</v>
      </c>
    </row>
    <row r="242" spans="1:23" s="20" customFormat="1" ht="15.75" x14ac:dyDescent="0.25">
      <c r="A242" s="24"/>
      <c r="B242" s="726"/>
      <c r="C242" s="727"/>
      <c r="D242" s="727"/>
      <c r="E242" s="727"/>
      <c r="F242" s="727"/>
      <c r="G242" s="728"/>
      <c r="H242" s="728"/>
      <c r="I242" s="727"/>
      <c r="J242" s="727"/>
      <c r="K242" s="727"/>
    </row>
    <row r="243" spans="1:23" s="20" customFormat="1" ht="15.75" x14ac:dyDescent="0.25">
      <c r="A243" s="24"/>
      <c r="B243" s="722" t="s">
        <v>327</v>
      </c>
      <c r="C243" s="723">
        <f>'OSNOVNI PODATKI'!D216</f>
        <v>1373188.5</v>
      </c>
      <c r="D243" s="724" t="s">
        <v>106</v>
      </c>
      <c r="E243" s="723">
        <f>'GRADBENE KONSTRUKCIJE'!F46</f>
        <v>1644.79719</v>
      </c>
      <c r="F243" s="723">
        <f>'GRADBENE KONSTRUKCIJE'!F51</f>
        <v>2051.8696760000003</v>
      </c>
      <c r="G243" s="725" t="b">
        <v>1</v>
      </c>
      <c r="H243" s="880"/>
      <c r="I243" s="881">
        <f>IFERROR(IF(G243=TRUE,(E243+F243)/2, H243),0)</f>
        <v>1848.3334330000002</v>
      </c>
      <c r="J243" s="882">
        <f>I243*'ARHIGRAM 5'!$I$17</f>
        <v>73933.337320000006</v>
      </c>
      <c r="K243" s="723">
        <f>'GRADBENE KONSTRUKCIJE'!H94</f>
        <v>66540.003588000007</v>
      </c>
    </row>
    <row r="244" spans="1:23" s="20" customFormat="1" ht="15.75" x14ac:dyDescent="0.25">
      <c r="A244" s="24"/>
      <c r="B244" s="639" t="s">
        <v>328</v>
      </c>
      <c r="C244" s="487">
        <f>'OSNOVNI PODATKI'!D217</f>
        <v>164820.00000000003</v>
      </c>
      <c r="D244" s="679" t="s">
        <v>105</v>
      </c>
      <c r="E244" s="487">
        <f>'TEHNIČNA OPREMA'!F48</f>
        <v>500.23420000000004</v>
      </c>
      <c r="F244" s="487">
        <f>'TEHNIČNA OPREMA'!F53</f>
        <v>588.01400000000012</v>
      </c>
      <c r="G244" s="680" t="b">
        <v>1</v>
      </c>
      <c r="H244" s="491"/>
      <c r="I244" s="883">
        <f>IFERROR(IF(G244=TRUE,(E244+F244)/2, H244),0)</f>
        <v>544.12410000000011</v>
      </c>
      <c r="J244" s="487">
        <f>I244*'ARHIGRAM 5'!$I$17</f>
        <v>21764.964000000004</v>
      </c>
      <c r="K244" s="487">
        <f>'TEHNIČNA OPREMA'!H136</f>
        <v>15670.774080000003</v>
      </c>
    </row>
    <row r="245" spans="1:23" s="20" customFormat="1" ht="15.75" x14ac:dyDescent="0.25">
      <c r="A245" s="24"/>
      <c r="B245" s="639" t="s">
        <v>329</v>
      </c>
      <c r="C245" s="487">
        <f>'OSNOVNI PODATKI'!D218</f>
        <v>407129.99999999988</v>
      </c>
      <c r="D245" s="679" t="s">
        <v>105</v>
      </c>
      <c r="E245" s="487">
        <f>'TEHNIČNA OPREMA'!F68</f>
        <v>1016.2881599999997</v>
      </c>
      <c r="F245" s="487">
        <f>'TEHNIČNA OPREMA'!F73</f>
        <v>1193.2264399999997</v>
      </c>
      <c r="G245" s="680" t="b">
        <v>1</v>
      </c>
      <c r="H245" s="491"/>
      <c r="I245" s="883">
        <f t="shared" ref="I245:I250" si="2">IFERROR(IF(G245=TRUE,(E245+F245)/2, H245),0)</f>
        <v>1104.7572999999998</v>
      </c>
      <c r="J245" s="487">
        <f>I245*'ARHIGRAM 5'!$I$17</f>
        <v>44190.291999999987</v>
      </c>
      <c r="K245" s="487">
        <f>'TEHNIČNA OPREMA'!H180</f>
        <v>31817.010239999989</v>
      </c>
    </row>
    <row r="246" spans="1:23" s="20" customFormat="1" ht="15.75" x14ac:dyDescent="0.25">
      <c r="A246" s="24"/>
      <c r="B246" s="639" t="s">
        <v>320</v>
      </c>
      <c r="C246" s="487">
        <f>'OSNOVNI PODATKI'!D219</f>
        <v>42435.000000000007</v>
      </c>
      <c r="D246" s="679" t="s">
        <v>104</v>
      </c>
      <c r="E246" s="487">
        <f>'TEHNIČNA OPREMA'!F88</f>
        <v>144.32233333333335</v>
      </c>
      <c r="F246" s="487">
        <f>'TEHNIČNA OPREMA'!F93</f>
        <v>172.28766666666669</v>
      </c>
      <c r="G246" s="680" t="b">
        <v>1</v>
      </c>
      <c r="H246" s="491"/>
      <c r="I246" s="883">
        <f t="shared" si="2"/>
        <v>158.30500000000001</v>
      </c>
      <c r="J246" s="487">
        <f>I246*'ARHIGRAM 5'!$I$17</f>
        <v>6332.2000000000007</v>
      </c>
      <c r="K246" s="487">
        <f>'TEHNIČNA OPREMA'!H223</f>
        <v>4812.4719999999998</v>
      </c>
    </row>
    <row r="247" spans="1:23" s="20" customFormat="1" ht="15.75" x14ac:dyDescent="0.25">
      <c r="A247" s="24"/>
      <c r="B247" s="639" t="s">
        <v>333</v>
      </c>
      <c r="C247" s="487">
        <f>'OSNOVNI PODATKI'!D220</f>
        <v>3000000</v>
      </c>
      <c r="D247" s="681"/>
      <c r="E247" s="487"/>
      <c r="F247" s="487">
        <f>'POŽARNA VARNOST'!F70</f>
        <v>128</v>
      </c>
      <c r="G247" s="680" t="b">
        <v>1</v>
      </c>
      <c r="H247" s="491"/>
      <c r="I247" s="883">
        <f t="shared" si="2"/>
        <v>64</v>
      </c>
      <c r="J247" s="487">
        <f>I247*'ARHIGRAM 5'!$I$17</f>
        <v>2560</v>
      </c>
      <c r="K247" s="487">
        <f>'POŽARNA VARNOST'!H110</f>
        <v>2560</v>
      </c>
    </row>
    <row r="248" spans="1:23" s="20" customFormat="1" ht="15.75" x14ac:dyDescent="0.25">
      <c r="A248" s="24"/>
      <c r="B248" s="640" t="s">
        <v>330</v>
      </c>
      <c r="C248" s="487">
        <f>'OSNOVNI PODATKI'!D221</f>
        <v>2956950</v>
      </c>
      <c r="D248" s="681" t="str">
        <f>D237</f>
        <v>Cenovni razred III</v>
      </c>
      <c r="E248" s="489">
        <f>'GRADBENA FIZIKA'!F112</f>
        <v>80.682050000000004</v>
      </c>
      <c r="F248" s="489">
        <f>'GRADBENA FIZIKA'!F117</f>
        <v>98.50985</v>
      </c>
      <c r="G248" s="680" t="b">
        <v>1</v>
      </c>
      <c r="H248" s="491"/>
      <c r="I248" s="883">
        <f t="shared" si="2"/>
        <v>89.595950000000002</v>
      </c>
      <c r="J248" s="487">
        <f>I248*'ARHIGRAM 5'!$I$17</f>
        <v>3583.8380000000002</v>
      </c>
      <c r="K248" s="487">
        <f>'GRADBENA FIZIKA'!H200</f>
        <v>3583.8379999999993</v>
      </c>
    </row>
    <row r="249" spans="1:23" s="20" customFormat="1" ht="15.75" x14ac:dyDescent="0.25">
      <c r="A249" s="24"/>
      <c r="B249" s="641" t="s">
        <v>89</v>
      </c>
      <c r="C249" s="487">
        <f>'OSNOVNI PODATKI'!D222</f>
        <v>2385000</v>
      </c>
      <c r="D249" s="679" t="s">
        <v>105</v>
      </c>
      <c r="E249" s="490">
        <f>'GRADBENA FIZIKA'!F133</f>
        <v>108.55</v>
      </c>
      <c r="F249" s="490">
        <f>'GRADBENA FIZIKA'!F138</f>
        <v>125.09</v>
      </c>
      <c r="G249" s="680" t="b">
        <v>1</v>
      </c>
      <c r="H249" s="491"/>
      <c r="I249" s="883">
        <f t="shared" si="2"/>
        <v>116.82</v>
      </c>
      <c r="J249" s="487">
        <f>I249*'ARHIGRAM 5'!$I$17</f>
        <v>4672.7999999999993</v>
      </c>
      <c r="K249" s="487">
        <f>'GRADBENA FIZIKA'!H243</f>
        <v>4672.8</v>
      </c>
    </row>
    <row r="250" spans="1:23" s="20" customFormat="1" ht="15.75" x14ac:dyDescent="0.25">
      <c r="A250" s="24"/>
      <c r="B250" s="642" t="s">
        <v>332</v>
      </c>
      <c r="C250" s="488">
        <f>'OSNOVNI PODATKI'!D223</f>
        <v>1800000</v>
      </c>
      <c r="D250" s="682" t="s">
        <v>104</v>
      </c>
      <c r="E250" s="488">
        <f>'GRADBENA FIZIKA'!F154</f>
        <v>83.6</v>
      </c>
      <c r="F250" s="488">
        <f>'GRADBENA FIZIKA'!F159</f>
        <v>108.6</v>
      </c>
      <c r="G250" s="683" t="b">
        <v>1</v>
      </c>
      <c r="H250" s="492"/>
      <c r="I250" s="884">
        <f t="shared" si="2"/>
        <v>96.1</v>
      </c>
      <c r="J250" s="487">
        <f>I250*'ARHIGRAM 5'!$I$17</f>
        <v>3844</v>
      </c>
      <c r="K250" s="488">
        <f>'GRADBENA FIZIKA'!H286</f>
        <v>3843.9999999999995</v>
      </c>
    </row>
    <row r="251" spans="1:23" s="20" customFormat="1" ht="15.75" x14ac:dyDescent="0.25">
      <c r="A251" s="24"/>
      <c r="B251" s="25"/>
      <c r="C251" s="26"/>
      <c r="D251" s="605"/>
      <c r="E251" s="26"/>
      <c r="F251" s="26"/>
      <c r="G251" s="27"/>
      <c r="H251" s="27"/>
      <c r="I251" s="27"/>
      <c r="J251" s="493">
        <f>SUM(J237:J250)</f>
        <v>338308.21865333326</v>
      </c>
      <c r="K251" s="493">
        <f>SUM(K237:K250)</f>
        <v>275595.39444133331</v>
      </c>
    </row>
    <row r="252" spans="1:23" s="20" customFormat="1" ht="18.75" x14ac:dyDescent="0.25">
      <c r="A252" s="1" t="s">
        <v>606</v>
      </c>
      <c r="B252" s="79"/>
      <c r="C252" s="79"/>
      <c r="D252" s="576"/>
      <c r="E252" s="79"/>
      <c r="I252" s="47"/>
      <c r="J252" s="498">
        <f>IFERROR(J251/D206,0)</f>
        <v>0.11092072742732238</v>
      </c>
      <c r="K252" s="498">
        <f>IFERROR(K251/D206,0)</f>
        <v>9.0359145718469938E-2</v>
      </c>
    </row>
    <row r="253" spans="1:23" s="20" customFormat="1" ht="15.75" customHeight="1" x14ac:dyDescent="0.25">
      <c r="B253" s="38" t="s">
        <v>760</v>
      </c>
      <c r="C253" s="486"/>
      <c r="D253" s="569"/>
      <c r="E253" s="486"/>
      <c r="I253" s="47"/>
    </row>
    <row r="254" spans="1:23" ht="15.75" x14ac:dyDescent="0.25">
      <c r="A254" s="20"/>
      <c r="B254" s="648"/>
      <c r="C254" s="649"/>
      <c r="D254" s="650"/>
      <c r="E254" s="648"/>
      <c r="F254" s="648" t="s">
        <v>609</v>
      </c>
      <c r="G254" s="648"/>
      <c r="H254" s="648"/>
      <c r="I254" s="648"/>
      <c r="J254" s="648"/>
      <c r="K254" s="648"/>
    </row>
    <row r="255" spans="1:23" s="38" customFormat="1" ht="15.75" x14ac:dyDescent="0.25">
      <c r="A255" s="20"/>
      <c r="B255" s="651" t="s">
        <v>451</v>
      </c>
      <c r="C255" s="652"/>
      <c r="D255" s="653" t="s">
        <v>433</v>
      </c>
      <c r="E255" s="654">
        <v>0</v>
      </c>
      <c r="F255" s="651" t="s">
        <v>612</v>
      </c>
      <c r="G255" s="651"/>
      <c r="H255" s="651"/>
      <c r="I255" s="651"/>
      <c r="J255" s="651"/>
      <c r="K255" s="651"/>
      <c r="V255" s="41"/>
      <c r="W255" s="42"/>
    </row>
    <row r="256" spans="1:23" s="38" customFormat="1" ht="15.75" x14ac:dyDescent="0.25">
      <c r="A256" s="20"/>
      <c r="B256" s="655" t="s">
        <v>607</v>
      </c>
      <c r="C256" s="656"/>
      <c r="D256" s="657" t="s">
        <v>608</v>
      </c>
      <c r="E256" s="658">
        <v>1</v>
      </c>
      <c r="F256" s="655" t="s">
        <v>613</v>
      </c>
      <c r="G256" s="655"/>
      <c r="H256" s="655"/>
      <c r="I256" s="655"/>
      <c r="J256" s="655"/>
      <c r="K256" s="655"/>
      <c r="V256" s="41"/>
      <c r="W256" s="42"/>
    </row>
    <row r="257" spans="1:23" ht="15.75" x14ac:dyDescent="0.25">
      <c r="A257" s="20"/>
      <c r="B257" s="659" t="s">
        <v>452</v>
      </c>
      <c r="C257" s="660"/>
      <c r="D257" s="1026" t="s">
        <v>778</v>
      </c>
      <c r="E257" s="1025">
        <f>LOOKUP(D257,'CENOVNI RAZREDI'!B674:C679)</f>
        <v>0</v>
      </c>
      <c r="F257" s="659" t="s">
        <v>776</v>
      </c>
      <c r="G257" s="659"/>
      <c r="H257" s="659"/>
      <c r="I257" s="659"/>
      <c r="J257" s="659"/>
      <c r="K257" s="659"/>
    </row>
    <row r="258" spans="1:23" ht="15.75" x14ac:dyDescent="0.25">
      <c r="A258" s="20"/>
      <c r="B258" s="661" t="s">
        <v>611</v>
      </c>
      <c r="C258" s="662"/>
      <c r="D258" s="663" t="s">
        <v>438</v>
      </c>
      <c r="E258" s="664">
        <v>0</v>
      </c>
      <c r="F258" s="661" t="s">
        <v>614</v>
      </c>
      <c r="G258" s="661"/>
      <c r="H258" s="661"/>
      <c r="I258" s="661"/>
      <c r="J258" s="661"/>
      <c r="K258" s="661"/>
    </row>
    <row r="259" spans="1:23" ht="41.25" customHeight="1" x14ac:dyDescent="0.25">
      <c r="A259" s="20"/>
      <c r="B259" s="730" t="s">
        <v>472</v>
      </c>
      <c r="C259" s="731"/>
      <c r="D259" s="732" t="b">
        <v>1</v>
      </c>
      <c r="E259" s="733" t="b">
        <v>0</v>
      </c>
      <c r="F259" s="1117" t="s">
        <v>777</v>
      </c>
      <c r="G259" s="1117"/>
      <c r="H259" s="1117"/>
      <c r="I259" s="1117"/>
      <c r="J259" s="1117"/>
      <c r="K259" s="1117"/>
    </row>
    <row r="260" spans="1:23" ht="15.75" x14ac:dyDescent="0.25">
      <c r="A260" s="20"/>
      <c r="B260" s="738"/>
      <c r="C260" s="739"/>
      <c r="D260" s="740"/>
      <c r="E260" s="741"/>
      <c r="F260" s="742"/>
      <c r="G260" s="742"/>
      <c r="H260" s="742"/>
      <c r="I260" s="742"/>
      <c r="J260" s="742"/>
      <c r="K260" s="742"/>
    </row>
    <row r="261" spans="1:23" ht="25.5" x14ac:dyDescent="0.25">
      <c r="A261" s="20"/>
      <c r="B261" s="734" t="s">
        <v>444</v>
      </c>
      <c r="C261" s="735"/>
      <c r="D261" s="736" t="b">
        <v>1</v>
      </c>
      <c r="E261" s="737">
        <f>IF(D261=TRUE,-10%,0%)</f>
        <v>-0.1</v>
      </c>
      <c r="F261" s="734" t="s">
        <v>447</v>
      </c>
      <c r="G261" s="729"/>
      <c r="H261" s="729"/>
      <c r="I261" s="729"/>
      <c r="J261" s="729"/>
      <c r="K261" s="729"/>
    </row>
    <row r="262" spans="1:23" s="38" customFormat="1" ht="15.75" x14ac:dyDescent="0.25">
      <c r="A262" s="20"/>
      <c r="B262" s="645" t="s">
        <v>445</v>
      </c>
      <c r="C262" s="644"/>
      <c r="D262" s="646" t="b">
        <v>1</v>
      </c>
      <c r="E262" s="647">
        <f>IF(D262=TRUE,-4%,0%)</f>
        <v>-0.04</v>
      </c>
      <c r="F262" s="645" t="s">
        <v>448</v>
      </c>
      <c r="G262" s="481"/>
      <c r="H262" s="481"/>
      <c r="I262" s="481"/>
      <c r="J262" s="481"/>
      <c r="K262" s="481"/>
      <c r="V262" s="41"/>
      <c r="W262" s="42"/>
    </row>
    <row r="263" spans="1:23" s="38" customFormat="1" ht="25.5" x14ac:dyDescent="0.25">
      <c r="A263" s="20"/>
      <c r="B263" s="643" t="s">
        <v>446</v>
      </c>
      <c r="C263" s="644"/>
      <c r="D263" s="646" t="b">
        <v>1</v>
      </c>
      <c r="E263" s="647">
        <f>IF(D263=TRUE,-4%,0%)</f>
        <v>-0.04</v>
      </c>
      <c r="F263" s="645" t="s">
        <v>448</v>
      </c>
      <c r="G263" s="481"/>
      <c r="H263" s="481"/>
      <c r="I263" s="481"/>
      <c r="J263" s="481"/>
      <c r="K263" s="481"/>
      <c r="V263" s="41"/>
      <c r="W263" s="42"/>
    </row>
    <row r="264" spans="1:23" s="38" customFormat="1" ht="15.75" x14ac:dyDescent="0.25">
      <c r="A264" s="20"/>
      <c r="B264" s="645" t="s">
        <v>443</v>
      </c>
      <c r="C264" s="644"/>
      <c r="D264" s="646" t="b">
        <v>0</v>
      </c>
      <c r="E264" s="647">
        <f>IF(D264=TRUE,10%,0%)</f>
        <v>0</v>
      </c>
      <c r="F264" s="645" t="s">
        <v>449</v>
      </c>
      <c r="G264" s="481"/>
      <c r="H264" s="481"/>
      <c r="I264" s="481"/>
      <c r="J264" s="481"/>
      <c r="K264" s="481"/>
      <c r="V264" s="41"/>
      <c r="W264" s="42"/>
    </row>
    <row r="265" spans="1:23" ht="15.75" x14ac:dyDescent="0.25">
      <c r="A265" s="20"/>
      <c r="B265" s="645" t="s">
        <v>440</v>
      </c>
      <c r="C265" s="644"/>
      <c r="D265" s="1045" t="s">
        <v>441</v>
      </c>
      <c r="E265" s="1046">
        <v>0</v>
      </c>
      <c r="F265" s="645" t="s">
        <v>450</v>
      </c>
      <c r="G265" s="481"/>
      <c r="H265" s="481"/>
      <c r="I265" s="481"/>
      <c r="J265" s="481"/>
      <c r="K265" s="481"/>
    </row>
    <row r="266" spans="1:23" s="38" customFormat="1" ht="25.5" x14ac:dyDescent="0.25">
      <c r="A266" s="20"/>
      <c r="B266" s="1049" t="s">
        <v>804</v>
      </c>
      <c r="C266" s="1043"/>
      <c r="D266" s="1045" t="s">
        <v>807</v>
      </c>
      <c r="E266" s="1041">
        <v>1</v>
      </c>
      <c r="F266" s="1042" t="s">
        <v>805</v>
      </c>
      <c r="G266" s="1044"/>
      <c r="H266" s="1044"/>
      <c r="I266" s="1044"/>
      <c r="J266" s="1044"/>
      <c r="K266" s="1044"/>
      <c r="V266" s="41"/>
      <c r="W266" s="42"/>
    </row>
    <row r="267" spans="1:23" ht="15.75" x14ac:dyDescent="0.25">
      <c r="A267" s="20"/>
      <c r="B267" s="46"/>
      <c r="C267" s="61"/>
      <c r="D267" s="602"/>
      <c r="E267" s="379"/>
    </row>
    <row r="268" spans="1:23" ht="15.75" x14ac:dyDescent="0.25">
      <c r="A268" s="378"/>
      <c r="B268" s="46"/>
      <c r="C268" s="61"/>
      <c r="D268" s="602"/>
      <c r="E268" s="379"/>
    </row>
    <row r="269" spans="1:23" x14ac:dyDescent="0.2">
      <c r="A269" s="38"/>
      <c r="B269" s="62"/>
      <c r="C269" s="63"/>
      <c r="D269" s="586"/>
    </row>
    <row r="270" spans="1:23" ht="15.75" x14ac:dyDescent="0.25">
      <c r="A270" s="35"/>
      <c r="B270" s="375" t="s">
        <v>1080</v>
      </c>
      <c r="C270" s="376"/>
      <c r="D270" s="606"/>
      <c r="E270" s="377"/>
      <c r="F270" s="377"/>
      <c r="G270" s="377"/>
      <c r="H270" s="377"/>
      <c r="I270" s="377"/>
      <c r="J270" s="377"/>
      <c r="K270" s="377"/>
    </row>
  </sheetData>
  <dataConsolidate/>
  <mergeCells count="6">
    <mergeCell ref="B12:E12"/>
    <mergeCell ref="F259:K259"/>
    <mergeCell ref="B209:E209"/>
    <mergeCell ref="B228:E228"/>
    <mergeCell ref="B233:E233"/>
    <mergeCell ref="B234:E234"/>
  </mergeCells>
  <phoneticPr fontId="70" type="noConversion"/>
  <dataValidations disablePrompts="1" count="1">
    <dataValidation type="list" allowBlank="1" showInputMessage="1" showErrorMessage="1" sqref="D65" xr:uid="{00000000-0002-0000-0200-000000000000}">
      <formula1>#REF!</formula1>
    </dataValidation>
  </dataValidations>
  <pageMargins left="0.7" right="0.7" top="0.75" bottom="0.75" header="0.3" footer="0.3"/>
  <pageSetup paperSize="8" scale="78" fitToHeight="0" orientation="portrait" r:id="rId1"/>
  <rowBreaks count="1" manualBreakCount="1">
    <brk id="2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6</xdr:col>
                    <xdr:colOff>76200</xdr:colOff>
                    <xdr:row>236</xdr:row>
                    <xdr:rowOff>19050</xdr:rowOff>
                  </from>
                  <to>
                    <xdr:col>6</xdr:col>
                    <xdr:colOff>323850</xdr:colOff>
                    <xdr:row>236</xdr:row>
                    <xdr:rowOff>180975</xdr:rowOff>
                  </to>
                </anchor>
              </controlPr>
            </control>
          </mc:Choice>
        </mc:AlternateContent>
        <mc:AlternateContent xmlns:mc="http://schemas.openxmlformats.org/markup-compatibility/2006">
          <mc:Choice Requires="x14">
            <control shapeId="3083" r:id="rId5" name="Check Box 11">
              <controlPr defaultSize="0" autoFill="0" autoLine="0" autoPict="0">
                <anchor moveWithCells="1">
                  <from>
                    <xdr:col>6</xdr:col>
                    <xdr:colOff>76200</xdr:colOff>
                    <xdr:row>237</xdr:row>
                    <xdr:rowOff>19050</xdr:rowOff>
                  </from>
                  <to>
                    <xdr:col>6</xdr:col>
                    <xdr:colOff>323850</xdr:colOff>
                    <xdr:row>237</xdr:row>
                    <xdr:rowOff>180975</xdr:rowOff>
                  </to>
                </anchor>
              </controlPr>
            </control>
          </mc:Choice>
        </mc:AlternateContent>
        <mc:AlternateContent xmlns:mc="http://schemas.openxmlformats.org/markup-compatibility/2006">
          <mc:Choice Requires="x14">
            <control shapeId="3084" r:id="rId6" name="Check Box 12">
              <controlPr defaultSize="0" autoFill="0" autoLine="0" autoPict="0">
                <anchor moveWithCells="1">
                  <from>
                    <xdr:col>6</xdr:col>
                    <xdr:colOff>76200</xdr:colOff>
                    <xdr:row>238</xdr:row>
                    <xdr:rowOff>19050</xdr:rowOff>
                  </from>
                  <to>
                    <xdr:col>6</xdr:col>
                    <xdr:colOff>323850</xdr:colOff>
                    <xdr:row>238</xdr:row>
                    <xdr:rowOff>180975</xdr:rowOff>
                  </to>
                </anchor>
              </controlPr>
            </control>
          </mc:Choice>
        </mc:AlternateContent>
        <mc:AlternateContent xmlns:mc="http://schemas.openxmlformats.org/markup-compatibility/2006">
          <mc:Choice Requires="x14">
            <control shapeId="3085" r:id="rId7" name="Check Box 13">
              <controlPr defaultSize="0" autoFill="0" autoLine="0" autoPict="0">
                <anchor moveWithCells="1">
                  <from>
                    <xdr:col>6</xdr:col>
                    <xdr:colOff>76200</xdr:colOff>
                    <xdr:row>242</xdr:row>
                    <xdr:rowOff>19050</xdr:rowOff>
                  </from>
                  <to>
                    <xdr:col>6</xdr:col>
                    <xdr:colOff>323850</xdr:colOff>
                    <xdr:row>242</xdr:row>
                    <xdr:rowOff>180975</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6</xdr:col>
                    <xdr:colOff>76200</xdr:colOff>
                    <xdr:row>243</xdr:row>
                    <xdr:rowOff>19050</xdr:rowOff>
                  </from>
                  <to>
                    <xdr:col>6</xdr:col>
                    <xdr:colOff>323850</xdr:colOff>
                    <xdr:row>243</xdr:row>
                    <xdr:rowOff>180975</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6</xdr:col>
                    <xdr:colOff>76200</xdr:colOff>
                    <xdr:row>244</xdr:row>
                    <xdr:rowOff>19050</xdr:rowOff>
                  </from>
                  <to>
                    <xdr:col>6</xdr:col>
                    <xdr:colOff>323850</xdr:colOff>
                    <xdr:row>244</xdr:row>
                    <xdr:rowOff>180975</xdr:rowOff>
                  </to>
                </anchor>
              </controlPr>
            </control>
          </mc:Choice>
        </mc:AlternateContent>
        <mc:AlternateContent xmlns:mc="http://schemas.openxmlformats.org/markup-compatibility/2006">
          <mc:Choice Requires="x14">
            <control shapeId="3088" r:id="rId10" name="Check Box 16">
              <controlPr defaultSize="0" autoFill="0" autoLine="0" autoPict="0">
                <anchor moveWithCells="1">
                  <from>
                    <xdr:col>6</xdr:col>
                    <xdr:colOff>76200</xdr:colOff>
                    <xdr:row>245</xdr:row>
                    <xdr:rowOff>19050</xdr:rowOff>
                  </from>
                  <to>
                    <xdr:col>6</xdr:col>
                    <xdr:colOff>323850</xdr:colOff>
                    <xdr:row>245</xdr:row>
                    <xdr:rowOff>180975</xdr:rowOff>
                  </to>
                </anchor>
              </controlPr>
            </control>
          </mc:Choice>
        </mc:AlternateContent>
        <mc:AlternateContent xmlns:mc="http://schemas.openxmlformats.org/markup-compatibility/2006">
          <mc:Choice Requires="x14">
            <control shapeId="3089" r:id="rId11" name="Check Box 17">
              <controlPr defaultSize="0" autoFill="0" autoLine="0" autoPict="0">
                <anchor moveWithCells="1">
                  <from>
                    <xdr:col>6</xdr:col>
                    <xdr:colOff>76200</xdr:colOff>
                    <xdr:row>246</xdr:row>
                    <xdr:rowOff>19050</xdr:rowOff>
                  </from>
                  <to>
                    <xdr:col>6</xdr:col>
                    <xdr:colOff>323850</xdr:colOff>
                    <xdr:row>246</xdr:row>
                    <xdr:rowOff>180975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6</xdr:col>
                    <xdr:colOff>76200</xdr:colOff>
                    <xdr:row>239</xdr:row>
                    <xdr:rowOff>19050</xdr:rowOff>
                  </from>
                  <to>
                    <xdr:col>6</xdr:col>
                    <xdr:colOff>323850</xdr:colOff>
                    <xdr:row>239</xdr:row>
                    <xdr:rowOff>180975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6</xdr:col>
                    <xdr:colOff>76200</xdr:colOff>
                    <xdr:row>240</xdr:row>
                    <xdr:rowOff>19050</xdr:rowOff>
                  </from>
                  <to>
                    <xdr:col>6</xdr:col>
                    <xdr:colOff>323850</xdr:colOff>
                    <xdr:row>240</xdr:row>
                    <xdr:rowOff>180975</xdr:rowOff>
                  </to>
                </anchor>
              </controlPr>
            </control>
          </mc:Choice>
        </mc:AlternateContent>
        <mc:AlternateContent xmlns:mc="http://schemas.openxmlformats.org/markup-compatibility/2006">
          <mc:Choice Requires="x14">
            <control shapeId="3103" r:id="rId14" name="Check Box 31">
              <controlPr defaultSize="0" autoFill="0" autoLine="0" autoPict="0">
                <anchor moveWithCells="1">
                  <from>
                    <xdr:col>4</xdr:col>
                    <xdr:colOff>38100</xdr:colOff>
                    <xdr:row>262</xdr:row>
                    <xdr:rowOff>314325</xdr:rowOff>
                  </from>
                  <to>
                    <xdr:col>4</xdr:col>
                    <xdr:colOff>342900</xdr:colOff>
                    <xdr:row>264</xdr:row>
                    <xdr:rowOff>0</xdr:rowOff>
                  </to>
                </anchor>
              </controlPr>
            </control>
          </mc:Choice>
        </mc:AlternateContent>
        <mc:AlternateContent xmlns:mc="http://schemas.openxmlformats.org/markup-compatibility/2006">
          <mc:Choice Requires="x14">
            <control shapeId="3105" r:id="rId15" name="Check Box 33">
              <controlPr defaultSize="0" autoFill="0" autoLine="0" autoPict="0">
                <anchor moveWithCells="1">
                  <from>
                    <xdr:col>4</xdr:col>
                    <xdr:colOff>38100</xdr:colOff>
                    <xdr:row>262</xdr:row>
                    <xdr:rowOff>47625</xdr:rowOff>
                  </from>
                  <to>
                    <xdr:col>4</xdr:col>
                    <xdr:colOff>342900</xdr:colOff>
                    <xdr:row>262</xdr:row>
                    <xdr:rowOff>266700</xdr:rowOff>
                  </to>
                </anchor>
              </controlPr>
            </control>
          </mc:Choice>
        </mc:AlternateContent>
        <mc:AlternateContent xmlns:mc="http://schemas.openxmlformats.org/markup-compatibility/2006">
          <mc:Choice Requires="x14">
            <control shapeId="3108" r:id="rId16" name="Check Box 36">
              <controlPr defaultSize="0" autoFill="0" autoLine="0" autoPict="0">
                <anchor moveWithCells="1">
                  <from>
                    <xdr:col>6</xdr:col>
                    <xdr:colOff>76200</xdr:colOff>
                    <xdr:row>247</xdr:row>
                    <xdr:rowOff>19050</xdr:rowOff>
                  </from>
                  <to>
                    <xdr:col>6</xdr:col>
                    <xdr:colOff>323850</xdr:colOff>
                    <xdr:row>247</xdr:row>
                    <xdr:rowOff>180975</xdr:rowOff>
                  </to>
                </anchor>
              </controlPr>
            </control>
          </mc:Choice>
        </mc:AlternateContent>
        <mc:AlternateContent xmlns:mc="http://schemas.openxmlformats.org/markup-compatibility/2006">
          <mc:Choice Requires="x14">
            <control shapeId="3109" r:id="rId17" name="Check Box 37">
              <controlPr defaultSize="0" autoFill="0" autoLine="0" autoPict="0">
                <anchor moveWithCells="1">
                  <from>
                    <xdr:col>6</xdr:col>
                    <xdr:colOff>76200</xdr:colOff>
                    <xdr:row>248</xdr:row>
                    <xdr:rowOff>19050</xdr:rowOff>
                  </from>
                  <to>
                    <xdr:col>6</xdr:col>
                    <xdr:colOff>323850</xdr:colOff>
                    <xdr:row>248</xdr:row>
                    <xdr:rowOff>180975</xdr:rowOff>
                  </to>
                </anchor>
              </controlPr>
            </control>
          </mc:Choice>
        </mc:AlternateContent>
        <mc:AlternateContent xmlns:mc="http://schemas.openxmlformats.org/markup-compatibility/2006">
          <mc:Choice Requires="x14">
            <control shapeId="3110" r:id="rId18" name="Check Box 38">
              <controlPr defaultSize="0" autoFill="0" autoLine="0" autoPict="0">
                <anchor moveWithCells="1">
                  <from>
                    <xdr:col>6</xdr:col>
                    <xdr:colOff>76200</xdr:colOff>
                    <xdr:row>249</xdr:row>
                    <xdr:rowOff>19050</xdr:rowOff>
                  </from>
                  <to>
                    <xdr:col>6</xdr:col>
                    <xdr:colOff>323850</xdr:colOff>
                    <xdr:row>249</xdr:row>
                    <xdr:rowOff>180975</xdr:rowOff>
                  </to>
                </anchor>
              </controlPr>
            </control>
          </mc:Choice>
        </mc:AlternateContent>
        <mc:AlternateContent xmlns:mc="http://schemas.openxmlformats.org/markup-compatibility/2006">
          <mc:Choice Requires="x14">
            <control shapeId="3100" r:id="rId19" name="Check Box 28">
              <controlPr defaultSize="0" autoFill="0" autoLine="0" autoPict="0">
                <anchor moveWithCells="1">
                  <from>
                    <xdr:col>4</xdr:col>
                    <xdr:colOff>38100</xdr:colOff>
                    <xdr:row>258</xdr:row>
                    <xdr:rowOff>0</xdr:rowOff>
                  </from>
                  <to>
                    <xdr:col>4</xdr:col>
                    <xdr:colOff>342900</xdr:colOff>
                    <xdr:row>258</xdr:row>
                    <xdr:rowOff>219075</xdr:rowOff>
                  </to>
                </anchor>
              </controlPr>
            </control>
          </mc:Choice>
        </mc:AlternateContent>
        <mc:AlternateContent xmlns:mc="http://schemas.openxmlformats.org/markup-compatibility/2006">
          <mc:Choice Requires="x14">
            <control shapeId="3111" r:id="rId20" name="Check Box 39">
              <controlPr defaultSize="0" autoFill="0" autoLine="0" autoPict="0">
                <anchor moveWithCells="1">
                  <from>
                    <xdr:col>4</xdr:col>
                    <xdr:colOff>38100</xdr:colOff>
                    <xdr:row>260</xdr:row>
                    <xdr:rowOff>304800</xdr:rowOff>
                  </from>
                  <to>
                    <xdr:col>4</xdr:col>
                    <xdr:colOff>342900</xdr:colOff>
                    <xdr:row>262</xdr:row>
                    <xdr:rowOff>0</xdr:rowOff>
                  </to>
                </anchor>
              </controlPr>
            </control>
          </mc:Choice>
        </mc:AlternateContent>
        <mc:AlternateContent xmlns:mc="http://schemas.openxmlformats.org/markup-compatibility/2006">
          <mc:Choice Requires="x14">
            <control shapeId="3121" r:id="rId21" name="Check Box 49">
              <controlPr defaultSize="0" autoFill="0" autoLine="0" autoPict="0">
                <anchor moveWithCells="1">
                  <from>
                    <xdr:col>4</xdr:col>
                    <xdr:colOff>38100</xdr:colOff>
                    <xdr:row>260</xdr:row>
                    <xdr:rowOff>47625</xdr:rowOff>
                  </from>
                  <to>
                    <xdr:col>4</xdr:col>
                    <xdr:colOff>342900</xdr:colOff>
                    <xdr:row>260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95E10A42-7FF7-452C-B515-785875023EFE}">
          <x14:formula1>
            <xm:f>'CENOVNI RAZREDI'!$B$114:$B$171</xm:f>
          </x14:formula1>
          <xm:sqref>D75 D103 D96 D89 D82</xm:sqref>
        </x14:dataValidation>
        <x14:dataValidation type="list" allowBlank="1" showInputMessage="1" showErrorMessage="1" xr:uid="{534441ED-77D9-4B56-A409-97AC0D971FA3}">
          <x14:formula1>
            <xm:f>'CENOVNI RAZREDI'!$B$184:$B$243</xm:f>
          </x14:formula1>
          <xm:sqref>D112 D123 D134 D145 D156</xm:sqref>
        </x14:dataValidation>
        <x14:dataValidation type="list" allowBlank="1" showInputMessage="1" showErrorMessage="1" xr:uid="{D05E8CDB-13CD-4796-8A27-5C6290005D8E}">
          <x14:formula1>
            <xm:f>'CENOVNI RAZREDI'!$B$674:$B$679</xm:f>
          </x14:formula1>
          <xm:sqref>D257</xm:sqref>
        </x14:dataValidation>
        <x14:dataValidation type="list" allowBlank="1" showInputMessage="1" showErrorMessage="1" xr:uid="{5DB76704-A205-4BD1-992A-34CC4DE202C4}">
          <x14:formula1>
            <xm:f>'CENOVNI RAZREDI'!$I$96:$I$98</xm:f>
          </x14:formula1>
          <xm:sqref>D249 D244:D246</xm:sqref>
        </x14:dataValidation>
        <x14:dataValidation type="list" allowBlank="1" showInputMessage="1" showErrorMessage="1" xr:uid="{170F8113-9D40-4188-AE96-3B40E5633C04}">
          <x14:formula1>
            <xm:f>'CENOVNI RAZREDI'!$I$96:$I$100</xm:f>
          </x14:formula1>
          <xm:sqref>D243 D237:D241 D250</xm:sqref>
        </x14:dataValidation>
        <x14:dataValidation type="list" allowBlank="1" showInputMessage="1" showErrorMessage="1" xr:uid="{681008A1-3C56-4649-9128-4ADA25811849}">
          <x14:formula1>
            <xm:f>'CENOVNI RAZREDI'!$B$7:$B$93</xm:f>
          </x14:formula1>
          <xm:sqref>D17 D28 D39 D50 D61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E266D-EBC6-4DEF-86EF-0F4169E51259}">
  <sheetPr codeName="Sheet5">
    <tabColor rgb="FF00B0F0"/>
    <outlinePr summaryBelow="0"/>
  </sheetPr>
  <dimension ref="A1:Y679"/>
  <sheetViews>
    <sheetView workbookViewId="0">
      <selection activeCell="B86" sqref="B86"/>
    </sheetView>
  </sheetViews>
  <sheetFormatPr defaultRowHeight="12.75" outlineLevelRow="1" x14ac:dyDescent="0.2"/>
  <cols>
    <col min="2" max="2" width="72" customWidth="1"/>
    <col min="3" max="7" width="9.140625" style="422"/>
    <col min="8" max="8" width="3.7109375" customWidth="1"/>
    <col min="9" max="9" width="15.5703125" customWidth="1"/>
    <col min="10" max="10" width="15.28515625" customWidth="1"/>
    <col min="11" max="14" width="10" customWidth="1"/>
    <col min="16" max="16" width="3.5703125" customWidth="1"/>
    <col min="17" max="17" width="25.140625" customWidth="1"/>
    <col min="18" max="18" width="14.28515625" customWidth="1"/>
  </cols>
  <sheetData>
    <row r="1" spans="2:18" ht="25.5" x14ac:dyDescent="0.35">
      <c r="B1" s="3" t="s">
        <v>363</v>
      </c>
      <c r="Q1" s="397"/>
      <c r="R1" s="637">
        <f>0.84*R2</f>
        <v>0.75600000000000001</v>
      </c>
    </row>
    <row r="2" spans="2:18" ht="47.25" x14ac:dyDescent="0.2">
      <c r="B2" s="431"/>
      <c r="C2" s="501" t="s">
        <v>281</v>
      </c>
      <c r="D2" s="501" t="s">
        <v>282</v>
      </c>
      <c r="E2" s="501" t="s">
        <v>283</v>
      </c>
      <c r="F2" s="501" t="s">
        <v>284</v>
      </c>
      <c r="G2" s="501" t="s">
        <v>285</v>
      </c>
      <c r="I2" s="431" t="s">
        <v>768</v>
      </c>
      <c r="J2" s="431" t="s">
        <v>769</v>
      </c>
      <c r="K2" s="501" t="s">
        <v>791</v>
      </c>
      <c r="L2" s="501" t="s">
        <v>788</v>
      </c>
      <c r="M2" s="501" t="s">
        <v>789</v>
      </c>
      <c r="N2" s="501" t="s">
        <v>790</v>
      </c>
      <c r="O2" s="501"/>
      <c r="P2" s="607"/>
      <c r="Q2" s="397" t="s">
        <v>586</v>
      </c>
      <c r="R2" s="636">
        <v>0.9</v>
      </c>
    </row>
    <row r="3" spans="2:18" x14ac:dyDescent="0.2">
      <c r="B3" s="398"/>
      <c r="C3" s="424"/>
      <c r="D3" s="424"/>
      <c r="E3" s="424"/>
      <c r="F3" s="424"/>
      <c r="G3" s="424"/>
    </row>
    <row r="4" spans="2:18" ht="54" customHeight="1" x14ac:dyDescent="0.2">
      <c r="B4" s="1120" t="s">
        <v>602</v>
      </c>
      <c r="C4" s="1120"/>
      <c r="D4" s="1120"/>
      <c r="E4" s="1120"/>
      <c r="F4" s="1120"/>
      <c r="G4" s="1120"/>
      <c r="Q4" s="397"/>
      <c r="R4" s="637"/>
    </row>
    <row r="5" spans="2:18" x14ac:dyDescent="0.2">
      <c r="I5" s="5"/>
      <c r="J5" s="5"/>
      <c r="K5" s="5"/>
      <c r="L5" s="5"/>
      <c r="M5" s="5"/>
      <c r="N5" s="5"/>
      <c r="O5" s="5"/>
    </row>
    <row r="6" spans="2:18" ht="51" x14ac:dyDescent="0.2">
      <c r="B6" s="389" t="s">
        <v>325</v>
      </c>
      <c r="C6" s="500" t="s">
        <v>281</v>
      </c>
      <c r="D6" s="500" t="s">
        <v>282</v>
      </c>
      <c r="E6" s="500" t="s">
        <v>283</v>
      </c>
      <c r="F6" s="500" t="s">
        <v>284</v>
      </c>
      <c r="G6" s="500" t="s">
        <v>285</v>
      </c>
      <c r="H6" s="405"/>
      <c r="I6" s="621" t="s">
        <v>770</v>
      </c>
      <c r="J6" s="621" t="s">
        <v>771</v>
      </c>
      <c r="K6" s="501" t="s">
        <v>791</v>
      </c>
      <c r="L6" s="501" t="s">
        <v>788</v>
      </c>
      <c r="M6" s="501" t="s">
        <v>789</v>
      </c>
      <c r="N6" s="501" t="s">
        <v>790</v>
      </c>
      <c r="O6" s="622"/>
      <c r="P6" s="405"/>
    </row>
    <row r="7" spans="2:18" ht="15.75" x14ac:dyDescent="0.2">
      <c r="B7" s="429" t="s">
        <v>682</v>
      </c>
      <c r="C7" s="430"/>
      <c r="D7" s="430"/>
      <c r="E7" s="430"/>
      <c r="F7" s="430"/>
      <c r="G7" s="430"/>
      <c r="H7" s="406"/>
      <c r="I7" s="633">
        <f t="shared" ref="I7:N7" si="0">AVERAGE(I8:I20)</f>
        <v>807.2916923076923</v>
      </c>
      <c r="J7" s="633">
        <f t="shared" si="0"/>
        <v>1140.7458461538461</v>
      </c>
      <c r="K7" s="634">
        <f t="shared" si="0"/>
        <v>0.80046153846153834</v>
      </c>
      <c r="L7" s="634">
        <f t="shared" si="0"/>
        <v>0.137907</v>
      </c>
      <c r="M7" s="634">
        <f t="shared" si="0"/>
        <v>4.9840415384615394E-2</v>
      </c>
      <c r="N7" s="634">
        <f t="shared" si="0"/>
        <v>1.1825307692307692E-2</v>
      </c>
      <c r="O7" s="635"/>
      <c r="P7" s="406"/>
    </row>
    <row r="8" spans="2:18" outlineLevel="1" x14ac:dyDescent="0.2">
      <c r="B8" s="425" t="s">
        <v>677</v>
      </c>
      <c r="C8" s="426" t="s">
        <v>286</v>
      </c>
      <c r="D8" s="426"/>
      <c r="E8" s="426"/>
      <c r="F8" s="426"/>
      <c r="G8" s="426"/>
      <c r="I8" s="608">
        <f>820*$R$1*0.6</f>
        <v>371.95199999999994</v>
      </c>
      <c r="J8" s="608">
        <f>1110*$R$1*0.6</f>
        <v>503.49599999999998</v>
      </c>
      <c r="K8" s="629">
        <v>0.81</v>
      </c>
      <c r="L8" s="629">
        <f>(37.6+32+4.8)/100*19.1/100</f>
        <v>0.14210399999999998</v>
      </c>
      <c r="M8" s="629">
        <f>(21.7+3.3)/100*19.1/100</f>
        <v>4.7750000000000001E-2</v>
      </c>
      <c r="N8" s="629">
        <v>0</v>
      </c>
      <c r="O8" s="630">
        <f t="shared" ref="O8" si="1">SUM(K8:N8)</f>
        <v>0.99985400000000002</v>
      </c>
      <c r="P8" s="1028"/>
    </row>
    <row r="9" spans="2:18" outlineLevel="1" x14ac:dyDescent="0.2">
      <c r="B9" s="425" t="s">
        <v>616</v>
      </c>
      <c r="C9" s="426"/>
      <c r="D9" s="426" t="s">
        <v>286</v>
      </c>
      <c r="E9" s="426"/>
      <c r="F9" s="426"/>
      <c r="G9" s="426"/>
      <c r="I9" s="608">
        <f>900*$R$1</f>
        <v>680.4</v>
      </c>
      <c r="J9" s="608">
        <f>1060*$R$1</f>
        <v>801.36</v>
      </c>
      <c r="K9" s="629">
        <v>0.86</v>
      </c>
      <c r="L9" s="629">
        <f>(36+40.7+0.1)/100*14.1/100</f>
        <v>0.108288</v>
      </c>
      <c r="M9" s="629">
        <f>(19.2+3.6)/100*14.1/100</f>
        <v>3.2147999999999996E-2</v>
      </c>
      <c r="N9" s="629">
        <v>0</v>
      </c>
      <c r="O9" s="630">
        <f t="shared" ref="O9:O19" si="2">SUM(K9:N9)</f>
        <v>1.0004360000000001</v>
      </c>
    </row>
    <row r="10" spans="2:18" outlineLevel="1" x14ac:dyDescent="0.2">
      <c r="B10" s="425" t="s">
        <v>590</v>
      </c>
      <c r="C10" s="426"/>
      <c r="D10" s="426"/>
      <c r="E10" s="426" t="s">
        <v>286</v>
      </c>
      <c r="F10" s="426"/>
      <c r="G10" s="426"/>
      <c r="I10" s="608">
        <f>1120*$R$1</f>
        <v>846.72</v>
      </c>
      <c r="J10" s="608">
        <f>1540*$R$1</f>
        <v>1164.24</v>
      </c>
      <c r="K10" s="629">
        <v>0.82</v>
      </c>
      <c r="L10" s="629">
        <f>(29.1+41.5+4.6)/100*18/100</f>
        <v>0.13535999999999998</v>
      </c>
      <c r="M10" s="629">
        <f>(20.6+3.5)/100*18/100</f>
        <v>4.3380000000000002E-2</v>
      </c>
      <c r="N10" s="629">
        <f>(0.5)/100*18/100</f>
        <v>8.9999999999999998E-4</v>
      </c>
      <c r="O10" s="630">
        <f t="shared" si="2"/>
        <v>0.99963999999999997</v>
      </c>
    </row>
    <row r="11" spans="2:18" outlineLevel="1" x14ac:dyDescent="0.2">
      <c r="B11" s="425" t="s">
        <v>591</v>
      </c>
      <c r="C11" s="426"/>
      <c r="D11" s="426"/>
      <c r="E11" s="426"/>
      <c r="F11" s="426" t="s">
        <v>286</v>
      </c>
      <c r="G11" s="426"/>
      <c r="I11" s="608">
        <f>1360*$R$1</f>
        <v>1028.1600000000001</v>
      </c>
      <c r="J11" s="608">
        <f>1940*$R$1</f>
        <v>1466.64</v>
      </c>
      <c r="K11" s="629">
        <v>0.80900000000000005</v>
      </c>
      <c r="L11" s="629">
        <f>(24.4+43+5.7)/100*19.1/100</f>
        <v>0.13962100000000002</v>
      </c>
      <c r="M11" s="629">
        <f>(19.1+5.1)/100*19.1/100</f>
        <v>4.6222000000000006E-2</v>
      </c>
      <c r="N11" s="629">
        <f>(2.7)/100*19.1/100</f>
        <v>5.1570000000000001E-3</v>
      </c>
      <c r="O11" s="630">
        <f t="shared" si="2"/>
        <v>1</v>
      </c>
    </row>
    <row r="12" spans="2:18" outlineLevel="1" x14ac:dyDescent="0.2">
      <c r="B12" s="425" t="s">
        <v>592</v>
      </c>
      <c r="C12" s="426"/>
      <c r="D12" s="426" t="s">
        <v>286</v>
      </c>
      <c r="E12" s="426"/>
      <c r="F12" s="426"/>
      <c r="G12" s="426"/>
      <c r="I12" s="608">
        <f>910*$R$1</f>
        <v>687.96</v>
      </c>
      <c r="J12" s="608">
        <f>1220*$R$1</f>
        <v>922.32</v>
      </c>
      <c r="K12" s="629">
        <v>0.81699999999999995</v>
      </c>
      <c r="L12" s="629">
        <f>(32.4+42.6+6)/100*18.3/100</f>
        <v>0.14823000000000003</v>
      </c>
      <c r="M12" s="629">
        <f>(15.6+3.2)/100*18.38/100</f>
        <v>3.4554399999999999E-2</v>
      </c>
      <c r="N12" s="629">
        <v>0</v>
      </c>
      <c r="O12" s="630">
        <f t="shared" si="2"/>
        <v>0.99978440000000002</v>
      </c>
    </row>
    <row r="13" spans="2:18" outlineLevel="1" x14ac:dyDescent="0.2">
      <c r="B13" s="425" t="s">
        <v>593</v>
      </c>
      <c r="C13" s="426"/>
      <c r="D13" s="426"/>
      <c r="E13" s="426" t="s">
        <v>286</v>
      </c>
      <c r="F13" s="426"/>
      <c r="G13" s="426"/>
      <c r="I13" s="608">
        <f>1200*$R$1</f>
        <v>907.2</v>
      </c>
      <c r="J13" s="608">
        <f>1730*$R$1</f>
        <v>1307.8800000000001</v>
      </c>
      <c r="K13" s="629">
        <v>0.80800000000000005</v>
      </c>
      <c r="L13" s="629">
        <f>(32+40.1+4.8)/100*19.2/100</f>
        <v>0.14764799999999997</v>
      </c>
      <c r="M13" s="629">
        <f>(18.6+4.6)/100*19.2/100</f>
        <v>4.4544000000000007E-2</v>
      </c>
      <c r="N13" s="629">
        <v>0</v>
      </c>
      <c r="O13" s="630">
        <f t="shared" si="2"/>
        <v>1.000192</v>
      </c>
    </row>
    <row r="14" spans="2:18" outlineLevel="1" x14ac:dyDescent="0.2">
      <c r="B14" s="425" t="s">
        <v>594</v>
      </c>
      <c r="C14" s="426"/>
      <c r="D14" s="426"/>
      <c r="E14" s="426"/>
      <c r="F14" s="426" t="s">
        <v>286</v>
      </c>
      <c r="G14" s="426"/>
      <c r="I14" s="608">
        <f>1470*$R$1</f>
        <v>1111.32</v>
      </c>
      <c r="J14" s="608">
        <f>2100*$R$1</f>
        <v>1587.6</v>
      </c>
      <c r="K14" s="629">
        <v>0.80900000000000005</v>
      </c>
      <c r="L14" s="629">
        <f>(24.4+43+5.7)/100*19.1/100</f>
        <v>0.13962100000000002</v>
      </c>
      <c r="M14" s="629">
        <f>(19.1+5.1)/100*19.1/100</f>
        <v>4.6222000000000006E-2</v>
      </c>
      <c r="N14" s="629">
        <f>(2.7)/100*19.1/100</f>
        <v>5.1570000000000001E-3</v>
      </c>
      <c r="O14" s="630">
        <f t="shared" si="2"/>
        <v>1</v>
      </c>
    </row>
    <row r="15" spans="2:18" ht="25.5" outlineLevel="1" x14ac:dyDescent="0.2">
      <c r="B15" s="425" t="s">
        <v>587</v>
      </c>
      <c r="C15" s="426"/>
      <c r="D15" s="426" t="s">
        <v>286</v>
      </c>
      <c r="E15" s="426"/>
      <c r="F15" s="426"/>
      <c r="G15" s="426"/>
      <c r="I15" s="608">
        <f>820*$R$1</f>
        <v>619.91999999999996</v>
      </c>
      <c r="J15" s="608">
        <f>1110*$R$1</f>
        <v>839.16</v>
      </c>
      <c r="K15" s="629">
        <v>0.81</v>
      </c>
      <c r="L15" s="629">
        <f>(37.6+32+4.8)/100*19.1/100</f>
        <v>0.14210399999999998</v>
      </c>
      <c r="M15" s="629">
        <f>(21.7+3.3)/100*19.1/100</f>
        <v>4.7750000000000001E-2</v>
      </c>
      <c r="N15" s="631">
        <f>(0.2)/100*19.1/100</f>
        <v>3.8200000000000007E-4</v>
      </c>
      <c r="O15" s="630">
        <f t="shared" si="2"/>
        <v>1.0002360000000001</v>
      </c>
    </row>
    <row r="16" spans="2:18" ht="25.5" outlineLevel="1" x14ac:dyDescent="0.2">
      <c r="B16" s="425" t="s">
        <v>588</v>
      </c>
      <c r="C16" s="426"/>
      <c r="D16" s="426"/>
      <c r="E16" s="426" t="s">
        <v>286</v>
      </c>
      <c r="F16" s="426"/>
      <c r="G16" s="426"/>
      <c r="I16" s="608">
        <f>960*$R$1</f>
        <v>725.76</v>
      </c>
      <c r="J16" s="608">
        <f>1390*$R$1</f>
        <v>1050.8399999999999</v>
      </c>
      <c r="K16" s="629">
        <v>0.79500000000000004</v>
      </c>
      <c r="L16" s="629">
        <f>(32.9+29.2+4.1)/100*20.5/100</f>
        <v>0.13570999999999997</v>
      </c>
      <c r="M16" s="629">
        <f>(23.8+3)/100*20.5/100</f>
        <v>5.494000000000001E-2</v>
      </c>
      <c r="N16" s="629">
        <f>(6.9)/100*20.5/100</f>
        <v>1.4145000000000001E-2</v>
      </c>
      <c r="O16" s="630">
        <f t="shared" si="2"/>
        <v>0.99979499999999999</v>
      </c>
    </row>
    <row r="17" spans="2:25" ht="25.5" outlineLevel="1" x14ac:dyDescent="0.2">
      <c r="B17" s="425" t="s">
        <v>589</v>
      </c>
      <c r="C17" s="426"/>
      <c r="D17" s="426"/>
      <c r="E17" s="426"/>
      <c r="F17" s="426" t="s">
        <v>286</v>
      </c>
      <c r="G17" s="426"/>
      <c r="I17" s="608">
        <f>1130*$R$1</f>
        <v>854.28</v>
      </c>
      <c r="J17" s="608">
        <f>1580*$R$1</f>
        <v>1194.48</v>
      </c>
      <c r="K17" s="629">
        <v>0.79700000000000004</v>
      </c>
      <c r="L17" s="629">
        <f>(33+24.5+5)/100*20.3/100</f>
        <v>0.12687499999999999</v>
      </c>
      <c r="M17" s="629">
        <f>(15.8+4.5)/100*20.3/100</f>
        <v>4.120900000000001E-2</v>
      </c>
      <c r="N17" s="629">
        <f>(17.2)/100*20.3/100</f>
        <v>3.4916000000000003E-2</v>
      </c>
      <c r="O17" s="630">
        <f t="shared" si="2"/>
        <v>1</v>
      </c>
    </row>
    <row r="18" spans="2:25" outlineLevel="1" x14ac:dyDescent="0.2">
      <c r="B18" s="425" t="s">
        <v>595</v>
      </c>
      <c r="C18" s="426"/>
      <c r="D18" s="426"/>
      <c r="E18" s="426" t="s">
        <v>286</v>
      </c>
      <c r="F18" s="426"/>
      <c r="G18" s="426"/>
      <c r="I18" s="608">
        <f>1030*$R$1</f>
        <v>778.68</v>
      </c>
      <c r="J18" s="608">
        <f>1510*$R$1</f>
        <v>1141.56</v>
      </c>
      <c r="K18" s="629">
        <v>0.753</v>
      </c>
      <c r="L18" s="629">
        <f>(30.9+20.6+3.9)/100*24.8/100</f>
        <v>0.13739199999999999</v>
      </c>
      <c r="M18" s="629">
        <f>(22.8+6)/100*24.8/100</f>
        <v>7.1424000000000015E-2</v>
      </c>
      <c r="N18" s="629">
        <f>(14.9+0.6)/100*24.8/100</f>
        <v>3.8440000000000002E-2</v>
      </c>
      <c r="O18" s="630">
        <f t="shared" si="2"/>
        <v>1.000256</v>
      </c>
    </row>
    <row r="19" spans="2:25" outlineLevel="1" x14ac:dyDescent="0.2">
      <c r="B19" s="425" t="s">
        <v>596</v>
      </c>
      <c r="C19" s="426"/>
      <c r="D19" s="426"/>
      <c r="E19" s="426"/>
      <c r="F19" s="426" t="s">
        <v>286</v>
      </c>
      <c r="G19" s="426"/>
      <c r="I19" s="608">
        <f>1100*$R$1</f>
        <v>831.6</v>
      </c>
      <c r="J19" s="608">
        <f>1770*$R$1</f>
        <v>1338.1200000000001</v>
      </c>
      <c r="K19" s="629">
        <v>0.748</v>
      </c>
      <c r="L19" s="629">
        <f>(27.1+35.3+0.5)/100*25.2/100</f>
        <v>0.15850799999999998</v>
      </c>
      <c r="M19" s="629">
        <f>(19.6+4.5)/100*25.2/100</f>
        <v>6.0732000000000001E-2</v>
      </c>
      <c r="N19" s="629">
        <f>(12.9+0.2)/100*25.2/100</f>
        <v>3.3012E-2</v>
      </c>
      <c r="O19" s="630">
        <f t="shared" si="2"/>
        <v>1.0002519999999999</v>
      </c>
    </row>
    <row r="20" spans="2:25" outlineLevel="1" x14ac:dyDescent="0.2">
      <c r="B20" s="425" t="s">
        <v>597</v>
      </c>
      <c r="C20" s="426"/>
      <c r="D20" s="426"/>
      <c r="E20" s="426" t="s">
        <v>286</v>
      </c>
      <c r="F20" s="426" t="s">
        <v>286</v>
      </c>
      <c r="G20" s="426"/>
      <c r="I20" s="608">
        <f>1390*$R$1</f>
        <v>1050.8399999999999</v>
      </c>
      <c r="J20" s="608">
        <f>2000*$R$1</f>
        <v>1512</v>
      </c>
      <c r="K20" s="629">
        <v>0.77</v>
      </c>
      <c r="L20" s="629">
        <f>(24.4+25.8+6.9)/100*23/100</f>
        <v>0.13133</v>
      </c>
      <c r="M20" s="629">
        <f>(27.3+6.2)/100*23/100</f>
        <v>7.7050000000000007E-2</v>
      </c>
      <c r="N20" s="629">
        <f>(4.1+3.3+1.5+0.5)/100*23/100</f>
        <v>2.1619999999999993E-2</v>
      </c>
      <c r="O20" s="630">
        <f>SUM(K20:N20)</f>
        <v>1</v>
      </c>
    </row>
    <row r="21" spans="2:25" ht="15.75" collapsed="1" x14ac:dyDescent="0.2">
      <c r="B21" s="434" t="s">
        <v>688</v>
      </c>
      <c r="C21" s="428"/>
      <c r="D21" s="428"/>
      <c r="E21" s="428"/>
      <c r="F21" s="428"/>
      <c r="G21" s="428"/>
      <c r="H21" s="407"/>
      <c r="I21" s="633">
        <f>AVERAGE(I22:I27)</f>
        <v>1268.82</v>
      </c>
      <c r="J21" s="633">
        <f>AVERAGE(J22:J27)</f>
        <v>1864.8</v>
      </c>
      <c r="K21" s="634">
        <f>AVERAGE(K22:K27)</f>
        <v>0.73099999999999998</v>
      </c>
      <c r="L21" s="634">
        <f>AVERAGE(L22:L27)</f>
        <v>0.13594933333333334</v>
      </c>
      <c r="M21" s="634">
        <f t="shared" ref="M21:N21" si="3">AVERAGE(M22:M27)</f>
        <v>9.1583166666666674E-2</v>
      </c>
      <c r="N21" s="634">
        <f t="shared" si="3"/>
        <v>4.1590500000000009E-2</v>
      </c>
      <c r="O21" s="630"/>
      <c r="P21" s="407"/>
      <c r="R21" s="421"/>
    </row>
    <row r="22" spans="2:25" hidden="1" outlineLevel="1" x14ac:dyDescent="0.2">
      <c r="B22" s="425" t="s">
        <v>652</v>
      </c>
      <c r="C22" s="426" t="s">
        <v>286</v>
      </c>
      <c r="D22" s="426"/>
      <c r="E22" s="426"/>
      <c r="F22" s="426"/>
      <c r="G22" s="426"/>
      <c r="I22" s="608">
        <f>1500*$R$1</f>
        <v>1134</v>
      </c>
      <c r="J22" s="608">
        <f>2050*$R$1</f>
        <v>1549.8</v>
      </c>
      <c r="K22" s="629">
        <v>0.76600000000000001</v>
      </c>
      <c r="L22" s="629">
        <f>(26.6+18.5+13.4)/100*23.4/100</f>
        <v>0.13688999999999998</v>
      </c>
      <c r="M22" s="629">
        <f>(36.7+3.2)/100*23.4/100</f>
        <v>9.3366000000000005E-2</v>
      </c>
      <c r="N22" s="629">
        <f>(0.1+1.6)/100*23.4/100</f>
        <v>3.9779999999999998E-3</v>
      </c>
      <c r="O22" s="630">
        <f t="shared" ref="O22" si="4">SUM(K22:N22)</f>
        <v>1.0002340000000001</v>
      </c>
      <c r="P22" s="1028"/>
    </row>
    <row r="23" spans="2:25" ht="15.75" hidden="1" outlineLevel="1" x14ac:dyDescent="0.25">
      <c r="B23" s="425" t="s">
        <v>599</v>
      </c>
      <c r="C23" s="426"/>
      <c r="D23" s="426"/>
      <c r="E23" s="426" t="s">
        <v>286</v>
      </c>
      <c r="F23" s="426"/>
      <c r="G23" s="426"/>
      <c r="H23" s="406"/>
      <c r="I23" s="608">
        <f>1480*$R$1</f>
        <v>1118.8800000000001</v>
      </c>
      <c r="J23" s="608">
        <f>2180*$R$1</f>
        <v>1648.08</v>
      </c>
      <c r="K23" s="629">
        <v>0.77200000000000002</v>
      </c>
      <c r="L23" s="629">
        <f>(14.8+18.8+11.4)/100*22.8/100</f>
        <v>0.1026</v>
      </c>
      <c r="M23" s="629">
        <f>(34.5+6.8)/100*22.8/100</f>
        <v>9.4163999999999998E-2</v>
      </c>
      <c r="N23" s="629">
        <f>(3+5.6+3.5+1.6)/100*22.8/100</f>
        <v>3.1235999999999996E-2</v>
      </c>
      <c r="O23" s="630">
        <f t="shared" ref="O23" si="5">SUM(K23:N23)</f>
        <v>1</v>
      </c>
      <c r="P23" s="406"/>
      <c r="Q23" s="81"/>
      <c r="R23" s="80"/>
      <c r="S23" s="80"/>
      <c r="T23" s="80"/>
      <c r="U23" s="80"/>
      <c r="V23" s="80"/>
      <c r="W23" s="80"/>
      <c r="X23" s="420"/>
      <c r="Y23" s="80"/>
    </row>
    <row r="24" spans="2:25" ht="15.75" hidden="1" outlineLevel="1" x14ac:dyDescent="0.25">
      <c r="B24" s="425" t="s">
        <v>598</v>
      </c>
      <c r="C24" s="426"/>
      <c r="D24" s="426"/>
      <c r="E24" s="426" t="s">
        <v>286</v>
      </c>
      <c r="F24" s="426"/>
      <c r="G24" s="426"/>
      <c r="H24" s="406"/>
      <c r="I24" s="608">
        <f>1400*$R$1</f>
        <v>1058.4000000000001</v>
      </c>
      <c r="J24" s="608">
        <f>2290*$R$1</f>
        <v>1731.24</v>
      </c>
      <c r="K24" s="629">
        <v>0.71399999999999997</v>
      </c>
      <c r="L24" s="629">
        <f>(13.1+13.6+12.7)/100*28.6/100</f>
        <v>0.11268399999999999</v>
      </c>
      <c r="M24" s="629">
        <f>(31.4+8.1)/100*28.6/100</f>
        <v>0.11297</v>
      </c>
      <c r="N24" s="629">
        <f>(3.3+12.2+5.6+0.1)/100*28.6/100</f>
        <v>6.0632000000000012E-2</v>
      </c>
      <c r="O24" s="630">
        <f t="shared" ref="O24" si="6">SUM(K24:N24)</f>
        <v>1.000286</v>
      </c>
      <c r="P24" s="406"/>
      <c r="Q24" s="81"/>
      <c r="R24" s="80"/>
      <c r="S24" s="80"/>
      <c r="T24" s="80"/>
      <c r="U24" s="80"/>
      <c r="V24" s="80"/>
      <c r="W24" s="80"/>
      <c r="X24" s="420"/>
      <c r="Y24" s="80"/>
    </row>
    <row r="25" spans="2:25" ht="25.5" hidden="1" outlineLevel="1" x14ac:dyDescent="0.25">
      <c r="B25" s="425" t="s">
        <v>727</v>
      </c>
      <c r="C25" s="426"/>
      <c r="D25" s="426"/>
      <c r="E25" s="426"/>
      <c r="F25" s="426" t="s">
        <v>286</v>
      </c>
      <c r="G25" s="426"/>
      <c r="H25" s="406"/>
      <c r="I25" s="608">
        <f>1850*$R$1</f>
        <v>1398.6</v>
      </c>
      <c r="J25" s="608">
        <f>2400*$R$1</f>
        <v>1814.4</v>
      </c>
      <c r="K25" s="629">
        <v>0.76200000000000001</v>
      </c>
      <c r="L25" s="629">
        <f>(21.7+16.7+11.5)/100*23.8/100</f>
        <v>0.11876200000000001</v>
      </c>
      <c r="M25" s="629">
        <f>(28.7+4.8)/100*23.8/100</f>
        <v>7.9730000000000009E-2</v>
      </c>
      <c r="N25" s="629">
        <f>(3.9+7.1+5.6+0)/100*23.8/100</f>
        <v>3.9508000000000008E-2</v>
      </c>
      <c r="O25" s="630">
        <f t="shared" ref="O25" si="7">SUM(K25:N25)</f>
        <v>1</v>
      </c>
      <c r="P25" s="406"/>
      <c r="Q25" s="81"/>
      <c r="R25" s="80"/>
      <c r="S25" s="80"/>
      <c r="T25" s="80"/>
      <c r="U25" s="80"/>
      <c r="V25" s="80"/>
      <c r="W25" s="80"/>
      <c r="X25" s="420"/>
      <c r="Y25" s="80"/>
    </row>
    <row r="26" spans="2:25" hidden="1" outlineLevel="1" x14ac:dyDescent="0.2">
      <c r="B26" s="425" t="s">
        <v>338</v>
      </c>
      <c r="C26" s="426"/>
      <c r="D26" s="426"/>
      <c r="E26" s="426"/>
      <c r="F26" s="426" t="s">
        <v>286</v>
      </c>
      <c r="G26" s="426"/>
      <c r="H26" s="406"/>
      <c r="I26" s="608">
        <f>1850*$R$1</f>
        <v>1398.6</v>
      </c>
      <c r="J26" s="608">
        <f>2400*$R$1</f>
        <v>1814.4</v>
      </c>
      <c r="K26" s="629">
        <v>0.76200000000000001</v>
      </c>
      <c r="L26" s="629">
        <f>(21.7+16.7+11.5)/100*23.8/100</f>
        <v>0.11876200000000001</v>
      </c>
      <c r="M26" s="629">
        <f>(28.7+4.8)/100*23.8/100</f>
        <v>7.9730000000000009E-2</v>
      </c>
      <c r="N26" s="629">
        <f>(3.9+7.1+5.6+0)/100*23.8/100</f>
        <v>3.9508000000000008E-2</v>
      </c>
      <c r="O26" s="630">
        <f t="shared" ref="O26" si="8">SUM(K26:N26)</f>
        <v>1</v>
      </c>
      <c r="P26" s="1028"/>
    </row>
    <row r="27" spans="2:25" hidden="1" outlineLevel="1" x14ac:dyDescent="0.2">
      <c r="B27" s="425" t="s">
        <v>339</v>
      </c>
      <c r="C27" s="426"/>
      <c r="D27" s="426"/>
      <c r="E27" s="426"/>
      <c r="F27" s="426" t="s">
        <v>286</v>
      </c>
      <c r="G27" s="426" t="s">
        <v>286</v>
      </c>
      <c r="H27" s="406"/>
      <c r="I27" s="608">
        <f>1990*$R$1</f>
        <v>1504.44</v>
      </c>
      <c r="J27" s="608">
        <f>3480*$R$1</f>
        <v>2630.88</v>
      </c>
      <c r="K27" s="629">
        <v>0.61</v>
      </c>
      <c r="L27" s="629">
        <f>(7.1+11.3+39.4)/100*39.1/100</f>
        <v>0.22599799999999998</v>
      </c>
      <c r="M27" s="629">
        <f>(17.4+5.5)/100*39.1/100</f>
        <v>8.9538999999999994E-2</v>
      </c>
      <c r="N27" s="629">
        <f>(0.5+13.5+4.6+0.5)/100*39.1/100</f>
        <v>7.4681000000000011E-2</v>
      </c>
      <c r="O27" s="630">
        <f t="shared" ref="O27" si="9">SUM(K27:N27)</f>
        <v>1.0002180000000001</v>
      </c>
      <c r="P27" s="406"/>
    </row>
    <row r="28" spans="2:25" ht="15.75" collapsed="1" x14ac:dyDescent="0.2">
      <c r="B28" s="427" t="s">
        <v>690</v>
      </c>
      <c r="C28" s="428"/>
      <c r="D28" s="428"/>
      <c r="E28" s="428"/>
      <c r="F28" s="428"/>
      <c r="G28" s="428"/>
      <c r="H28" s="406"/>
      <c r="I28" s="633">
        <f t="shared" ref="I28:N28" si="10">AVERAGE(I29:I36)</f>
        <v>1170.855</v>
      </c>
      <c r="J28" s="633">
        <f t="shared" si="10"/>
        <v>1817.2349999999997</v>
      </c>
      <c r="K28" s="634">
        <f t="shared" si="10"/>
        <v>0.74800000000000011</v>
      </c>
      <c r="L28" s="634">
        <f t="shared" si="10"/>
        <v>0.114477</v>
      </c>
      <c r="M28" s="634">
        <f t="shared" si="10"/>
        <v>0.10927265000000001</v>
      </c>
      <c r="N28" s="634">
        <f t="shared" si="10"/>
        <v>2.8224750000000007E-2</v>
      </c>
      <c r="O28" s="630"/>
      <c r="P28" s="406"/>
    </row>
    <row r="29" spans="2:25" hidden="1" outlineLevel="1" x14ac:dyDescent="0.2">
      <c r="B29" s="425" t="s">
        <v>728</v>
      </c>
      <c r="C29" s="426"/>
      <c r="D29" s="426" t="s">
        <v>286</v>
      </c>
      <c r="E29" s="426"/>
      <c r="F29" s="426"/>
      <c r="G29" s="426"/>
      <c r="H29" s="406"/>
      <c r="I29" s="608">
        <f>1020*$R$1</f>
        <v>771.12</v>
      </c>
      <c r="J29" s="608">
        <f>1390*$R$1</f>
        <v>1050.8399999999999</v>
      </c>
      <c r="K29" s="629">
        <v>0.81</v>
      </c>
      <c r="L29" s="629">
        <f>(16.1+24.9+7.2)/100*19/100</f>
        <v>9.1580000000000009E-2</v>
      </c>
      <c r="M29" s="629">
        <f>(36.8+7.4)/100*19/100</f>
        <v>8.3979999999999999E-2</v>
      </c>
      <c r="N29" s="629">
        <f>(5.6+0.4+1.6)/100*19/100</f>
        <v>1.444E-2</v>
      </c>
      <c r="O29" s="630">
        <f t="shared" ref="O29" si="11">SUM(K29:N29)</f>
        <v>1</v>
      </c>
      <c r="P29" s="406"/>
    </row>
    <row r="30" spans="2:25" hidden="1" outlineLevel="1" x14ac:dyDescent="0.2">
      <c r="B30" s="425" t="s">
        <v>729</v>
      </c>
      <c r="C30" s="426"/>
      <c r="D30" s="426"/>
      <c r="E30" s="426" t="s">
        <v>286</v>
      </c>
      <c r="F30" s="426"/>
      <c r="G30" s="426"/>
      <c r="H30" s="406"/>
      <c r="I30" s="608">
        <f>1480*$R$1</f>
        <v>1118.8800000000001</v>
      </c>
      <c r="J30" s="608">
        <f>2010*$R$1</f>
        <v>1519.56</v>
      </c>
      <c r="K30" s="629">
        <v>0.76100000000000001</v>
      </c>
      <c r="L30" s="629">
        <f>(13.7+24+8.5)/100*23.9/100</f>
        <v>0.110418</v>
      </c>
      <c r="M30" s="629">
        <f>(32.9+14)/100*23.9/100</f>
        <v>0.112091</v>
      </c>
      <c r="N30" s="629">
        <f>(2.4+1.9+2.6+0)/100*23.9/100</f>
        <v>1.6490999999999999E-2</v>
      </c>
      <c r="O30" s="630">
        <f t="shared" ref="O30" si="12">SUM(K30:N30)</f>
        <v>1</v>
      </c>
      <c r="P30" s="406"/>
    </row>
    <row r="31" spans="2:25" hidden="1" outlineLevel="1" x14ac:dyDescent="0.2">
      <c r="B31" s="425" t="s">
        <v>730</v>
      </c>
      <c r="C31" s="426"/>
      <c r="D31" s="426"/>
      <c r="E31" s="426"/>
      <c r="F31" s="426" t="s">
        <v>286</v>
      </c>
      <c r="G31" s="426"/>
      <c r="H31" s="406"/>
      <c r="I31" s="608">
        <f>1840*$R$1</f>
        <v>1391.04</v>
      </c>
      <c r="J31" s="608">
        <f>2900*$R$1</f>
        <v>2192.4</v>
      </c>
      <c r="K31" s="629">
        <v>0.73699999999999999</v>
      </c>
      <c r="L31" s="629">
        <f>(10.2+22.1+15)/100*26.3/100</f>
        <v>0.124399</v>
      </c>
      <c r="M31" s="629">
        <f>(31.5+11.2)/100*26.3/100</f>
        <v>0.11230100000000003</v>
      </c>
      <c r="N31" s="629">
        <f>(3.2+0.9+5.8+0.1)/100*26.3/100</f>
        <v>2.6300000000000004E-2</v>
      </c>
      <c r="O31" s="630">
        <f t="shared" ref="O31" si="13">SUM(K31:N31)</f>
        <v>1</v>
      </c>
      <c r="P31" s="406"/>
    </row>
    <row r="32" spans="2:25" hidden="1" outlineLevel="1" x14ac:dyDescent="0.2">
      <c r="B32" s="425" t="s">
        <v>731</v>
      </c>
      <c r="C32" s="426"/>
      <c r="D32" s="426"/>
      <c r="E32" s="426"/>
      <c r="F32" s="426" t="s">
        <v>286</v>
      </c>
      <c r="G32" s="426"/>
      <c r="H32" s="408"/>
      <c r="I32" s="608">
        <f>1840*$R$1</f>
        <v>1391.04</v>
      </c>
      <c r="J32" s="608">
        <f>2900*$R$1</f>
        <v>2192.4</v>
      </c>
      <c r="K32" s="629">
        <v>0.73699999999999999</v>
      </c>
      <c r="L32" s="629">
        <f>(10.2+22.1+15)/100*26.3/100</f>
        <v>0.124399</v>
      </c>
      <c r="M32" s="629">
        <f>(31.5+11.2)/100*26.3/100</f>
        <v>0.11230100000000003</v>
      </c>
      <c r="N32" s="629">
        <f>(3.2+0.9+5.8+0.1)/100*26.3/100</f>
        <v>2.6300000000000004E-2</v>
      </c>
      <c r="O32" s="630">
        <f t="shared" ref="O32" si="14">SUM(K32:N32)</f>
        <v>1</v>
      </c>
      <c r="P32" s="1028"/>
    </row>
    <row r="33" spans="2:25" hidden="1" outlineLevel="1" x14ac:dyDescent="0.2">
      <c r="B33" s="425" t="s">
        <v>340</v>
      </c>
      <c r="C33" s="426"/>
      <c r="D33" s="426"/>
      <c r="E33" s="426"/>
      <c r="F33" s="426" t="s">
        <v>286</v>
      </c>
      <c r="G33" s="426" t="s">
        <v>286</v>
      </c>
      <c r="H33" s="408"/>
      <c r="I33" s="608">
        <f>1130*$R$1</f>
        <v>854.28</v>
      </c>
      <c r="J33" s="608">
        <f>1580*$R$1</f>
        <v>1194.48</v>
      </c>
      <c r="K33" s="629">
        <v>0.70399999999999996</v>
      </c>
      <c r="L33" s="629">
        <f>(14.8+8.4+17)/100*29.6/100</f>
        <v>0.118992</v>
      </c>
      <c r="M33" s="629">
        <f>(33.1+12.5)/100*29.62/100</f>
        <v>0.13506720000000003</v>
      </c>
      <c r="N33" s="629">
        <f>(7.1+2.5+4.2+0.3)/100*29.6/100</f>
        <v>4.1736000000000002E-2</v>
      </c>
      <c r="O33" s="630">
        <f t="shared" ref="O33" si="15">SUM(K33:N33)</f>
        <v>0.9997952</v>
      </c>
      <c r="P33" s="1028"/>
    </row>
    <row r="34" spans="2:25" hidden="1" outlineLevel="1" x14ac:dyDescent="0.2">
      <c r="B34" s="425" t="s">
        <v>735</v>
      </c>
      <c r="C34" s="426"/>
      <c r="D34" s="426"/>
      <c r="E34" s="426" t="s">
        <v>286</v>
      </c>
      <c r="F34" s="426" t="s">
        <v>286</v>
      </c>
      <c r="G34" s="426"/>
      <c r="H34" s="408"/>
      <c r="I34" s="608">
        <f>1420*$R$1</f>
        <v>1073.52</v>
      </c>
      <c r="J34" s="608">
        <f>1980*$R$1</f>
        <v>1496.88</v>
      </c>
      <c r="K34" s="629">
        <v>0.753</v>
      </c>
      <c r="L34" s="629">
        <f>(18.4+14.6+11.2)/100*24.7/100</f>
        <v>0.10917400000000001</v>
      </c>
      <c r="M34" s="629">
        <f>(26.8+10.2)/100*24.7/100</f>
        <v>9.1389999999999999E-2</v>
      </c>
      <c r="N34" s="629">
        <f>(1.3+14+2.9+0.6)/100*24.7/100</f>
        <v>4.6436000000000005E-2</v>
      </c>
      <c r="O34" s="630">
        <f t="shared" ref="O34" si="16">SUM(K34:N34)</f>
        <v>1</v>
      </c>
      <c r="P34" s="408"/>
    </row>
    <row r="35" spans="2:25" hidden="1" outlineLevel="1" x14ac:dyDescent="0.2">
      <c r="B35" s="425" t="s">
        <v>732</v>
      </c>
      <c r="C35" s="426"/>
      <c r="D35" s="426"/>
      <c r="E35" s="426" t="s">
        <v>286</v>
      </c>
      <c r="F35" s="426" t="s">
        <v>286</v>
      </c>
      <c r="G35" s="426"/>
      <c r="H35" s="408"/>
      <c r="I35" s="608">
        <f>1840*$R$1</f>
        <v>1391.04</v>
      </c>
      <c r="J35" s="608">
        <f>2900*$R$1</f>
        <v>2192.4</v>
      </c>
      <c r="K35" s="629">
        <v>0.73699999999999999</v>
      </c>
      <c r="L35" s="629">
        <f>(10.2+22.1+15)/100*26.3/100</f>
        <v>0.124399</v>
      </c>
      <c r="M35" s="629">
        <f>(31.5+11.2)/100*26.3/100</f>
        <v>0.11230100000000003</v>
      </c>
      <c r="N35" s="629">
        <f>(3.2+0.9+5.8+0.1)/100*26.3/100</f>
        <v>2.6300000000000004E-2</v>
      </c>
      <c r="O35" s="630">
        <f t="shared" ref="O35" si="17">SUM(K35:N35)</f>
        <v>1</v>
      </c>
      <c r="P35" s="408"/>
    </row>
    <row r="36" spans="2:25" ht="15.75" hidden="1" outlineLevel="1" x14ac:dyDescent="0.25">
      <c r="B36" s="425" t="s">
        <v>733</v>
      </c>
      <c r="C36" s="426"/>
      <c r="D36" s="426"/>
      <c r="E36" s="426" t="s">
        <v>286</v>
      </c>
      <c r="F36" s="426" t="s">
        <v>286</v>
      </c>
      <c r="G36" s="426"/>
      <c r="H36" s="408"/>
      <c r="I36" s="608">
        <f>1820*$R$1</f>
        <v>1375.92</v>
      </c>
      <c r="J36" s="608">
        <f>3570*$R$1</f>
        <v>2698.92</v>
      </c>
      <c r="K36" s="629">
        <v>0.745</v>
      </c>
      <c r="L36" s="629">
        <f>(13.5+19.7+10.9)/100*25.5/100</f>
        <v>0.112455</v>
      </c>
      <c r="M36" s="629">
        <f>(37.2+7.8)/100*25.5/100</f>
        <v>0.11474999999999999</v>
      </c>
      <c r="N36" s="629">
        <f>(1.6+5.2+2.8+1.3)/100*25.5/100</f>
        <v>2.7795000000000004E-2</v>
      </c>
      <c r="O36" s="630">
        <f t="shared" ref="O36" si="18">SUM(K36:N36)</f>
        <v>1</v>
      </c>
      <c r="P36" s="408"/>
      <c r="Q36" s="80"/>
      <c r="R36" s="80"/>
      <c r="S36" s="20"/>
      <c r="T36" s="49"/>
      <c r="U36" s="51"/>
      <c r="V36" s="49"/>
      <c r="W36" s="49"/>
      <c r="X36" s="49"/>
      <c r="Y36" s="49"/>
    </row>
    <row r="37" spans="2:25" ht="15.75" collapsed="1" x14ac:dyDescent="0.25">
      <c r="B37" s="427" t="s">
        <v>734</v>
      </c>
      <c r="C37" s="428"/>
      <c r="D37" s="428"/>
      <c r="E37" s="428"/>
      <c r="F37" s="428"/>
      <c r="G37" s="428"/>
      <c r="H37" s="408"/>
      <c r="I37" s="633">
        <f>AVERAGE(I38:I48)</f>
        <v>1133.3127272727272</v>
      </c>
      <c r="J37" s="633">
        <f>AVERAGE(J38:J48)</f>
        <v>1664.5745454545452</v>
      </c>
      <c r="K37" s="634">
        <f>AVERAGE(K38:K48)</f>
        <v>0.72670000000000001</v>
      </c>
      <c r="L37" s="634">
        <f t="shared" ref="L37:N37" si="19">AVERAGE(L38:L48)</f>
        <v>0.13261972727272725</v>
      </c>
      <c r="M37" s="634">
        <f t="shared" si="19"/>
        <v>0.10934389090909093</v>
      </c>
      <c r="N37" s="634">
        <f t="shared" si="19"/>
        <v>3.1343181818181819E-2</v>
      </c>
      <c r="O37" s="630"/>
      <c r="P37" s="408"/>
      <c r="Q37" s="80"/>
      <c r="R37" s="80"/>
      <c r="S37" s="20"/>
      <c r="T37" s="20"/>
      <c r="U37" s="47"/>
      <c r="V37" s="20"/>
      <c r="W37" s="20"/>
      <c r="X37" s="20"/>
      <c r="Y37" s="20"/>
    </row>
    <row r="38" spans="2:25" hidden="1" outlineLevel="1" x14ac:dyDescent="0.2">
      <c r="B38" s="425" t="s">
        <v>652</v>
      </c>
      <c r="C38" s="426" t="s">
        <v>286</v>
      </c>
      <c r="D38" s="426"/>
      <c r="E38" s="426"/>
      <c r="F38" s="426"/>
      <c r="G38" s="426"/>
      <c r="H38" s="408"/>
      <c r="I38" s="608">
        <f>1500*$R$1</f>
        <v>1134</v>
      </c>
      <c r="J38" s="608">
        <f>2050*$R$1</f>
        <v>1549.8</v>
      </c>
      <c r="K38" s="629">
        <v>0.76600000000000001</v>
      </c>
      <c r="L38" s="629">
        <f>(26.6+18.5+13.4)/100*23.4/100</f>
        <v>0.13688999999999998</v>
      </c>
      <c r="M38" s="629">
        <f>(36.7+3.2)/100*23.4/100</f>
        <v>9.3366000000000005E-2</v>
      </c>
      <c r="N38" s="629">
        <f>(0.1+1.6)/100*23.4/100</f>
        <v>3.9779999999999998E-3</v>
      </c>
      <c r="O38" s="630">
        <f t="shared" ref="O38" si="20">SUM(K38:N38)</f>
        <v>1.0002340000000001</v>
      </c>
      <c r="P38" s="1028"/>
      <c r="T38" s="101"/>
      <c r="U38" s="101"/>
      <c r="V38" s="101"/>
      <c r="W38" s="101"/>
      <c r="X38" s="101"/>
      <c r="Y38" s="101"/>
    </row>
    <row r="39" spans="2:25" hidden="1" outlineLevel="1" x14ac:dyDescent="0.2">
      <c r="B39" s="425" t="s">
        <v>650</v>
      </c>
      <c r="C39" s="426"/>
      <c r="D39" s="426"/>
      <c r="E39" s="426" t="s">
        <v>286</v>
      </c>
      <c r="F39" s="426"/>
      <c r="G39" s="426"/>
      <c r="H39" s="408"/>
      <c r="I39" s="608">
        <f>1520*$R$1</f>
        <v>1149.1200000000001</v>
      </c>
      <c r="J39" s="608">
        <f>2300*$R$1</f>
        <v>1738.8</v>
      </c>
      <c r="K39" s="629">
        <v>0.78500000000000003</v>
      </c>
      <c r="L39" s="629">
        <f>(24.4+24.4+8)/100*21.6/100</f>
        <v>0.12268800000000001</v>
      </c>
      <c r="M39" s="629">
        <f>(31.8+5.7)/100*21.6/100</f>
        <v>8.1000000000000016E-2</v>
      </c>
      <c r="N39" s="629">
        <f>(1.2+2.6+0.8+0.7)/100*21.6/100</f>
        <v>1.1448E-2</v>
      </c>
      <c r="O39" s="630">
        <f t="shared" ref="O39" si="21">SUM(K39:N39)</f>
        <v>1.0001359999999999</v>
      </c>
      <c r="P39" s="408"/>
      <c r="T39" s="104"/>
      <c r="U39" s="104"/>
      <c r="V39" s="104"/>
      <c r="W39" s="104"/>
      <c r="X39" s="104"/>
      <c r="Y39" s="104"/>
    </row>
    <row r="40" spans="2:25" hidden="1" outlineLevel="1" x14ac:dyDescent="0.2">
      <c r="B40" s="425" t="s">
        <v>651</v>
      </c>
      <c r="C40" s="426"/>
      <c r="D40" s="426"/>
      <c r="E40" s="426" t="s">
        <v>286</v>
      </c>
      <c r="F40" s="426"/>
      <c r="G40" s="426"/>
      <c r="H40" s="408"/>
      <c r="I40" s="608">
        <f>1600*$R$1</f>
        <v>1209.5999999999999</v>
      </c>
      <c r="J40" s="608">
        <f>2190*$R$1</f>
        <v>1655.64</v>
      </c>
      <c r="K40" s="629">
        <v>0.79800000000000004</v>
      </c>
      <c r="L40" s="629">
        <f>(24.6+24.3+10.4)/100*20.2/100</f>
        <v>0.11978600000000002</v>
      </c>
      <c r="M40" s="629">
        <f>(32.6+3.8)/100*20.2/100</f>
        <v>7.3527999999999996E-2</v>
      </c>
      <c r="N40" s="629">
        <f>(0.3+3.3+0.7)/100*20.2/100</f>
        <v>8.6859999999999993E-3</v>
      </c>
      <c r="O40" s="630">
        <f t="shared" ref="O40" si="22">SUM(K40:N40)</f>
        <v>1.0000000000000002</v>
      </c>
      <c r="P40" s="408"/>
      <c r="T40" s="104"/>
      <c r="U40" s="104"/>
      <c r="V40" s="104"/>
      <c r="W40" s="104"/>
      <c r="X40" s="104"/>
      <c r="Y40" s="104"/>
    </row>
    <row r="41" spans="2:25" hidden="1" outlineLevel="1" x14ac:dyDescent="0.2">
      <c r="B41" s="425" t="s">
        <v>766</v>
      </c>
      <c r="C41" s="426"/>
      <c r="D41" s="426"/>
      <c r="E41" s="426" t="s">
        <v>286</v>
      </c>
      <c r="F41" s="426"/>
      <c r="G41" s="426"/>
      <c r="H41" s="408"/>
      <c r="I41" s="608">
        <f>1480*$R$1</f>
        <v>1118.8800000000001</v>
      </c>
      <c r="J41" s="608">
        <f>2010*$R$1</f>
        <v>1519.56</v>
      </c>
      <c r="K41" s="629">
        <v>0.76100000000000001</v>
      </c>
      <c r="L41" s="629">
        <f>(13.7+24+8.5)/100*23.9/100</f>
        <v>0.110418</v>
      </c>
      <c r="M41" s="629">
        <f>(32.9+14)/100*23.9/100</f>
        <v>0.112091</v>
      </c>
      <c r="N41" s="629">
        <f>(2.4+1.9+2.6+0)/100*23.9/100</f>
        <v>1.6490999999999999E-2</v>
      </c>
      <c r="O41" s="630">
        <f t="shared" ref="O41" si="23">SUM(K41:N41)</f>
        <v>1</v>
      </c>
      <c r="P41" s="1028"/>
      <c r="T41" s="104"/>
      <c r="U41" s="104"/>
      <c r="V41" s="104"/>
      <c r="W41" s="104"/>
      <c r="X41" s="104"/>
      <c r="Y41" s="104"/>
    </row>
    <row r="42" spans="2:25" hidden="1" outlineLevel="1" x14ac:dyDescent="0.2">
      <c r="B42" s="425" t="s">
        <v>341</v>
      </c>
      <c r="C42" s="426"/>
      <c r="D42" s="426"/>
      <c r="E42" s="426" t="s">
        <v>286</v>
      </c>
      <c r="F42" s="426"/>
      <c r="G42" s="426"/>
      <c r="H42" s="408"/>
      <c r="I42" s="608">
        <f>1480*$R$1</f>
        <v>1118.8800000000001</v>
      </c>
      <c r="J42" s="608">
        <f>2010*$R$1</f>
        <v>1519.56</v>
      </c>
      <c r="K42" s="629">
        <v>0.76100000000000001</v>
      </c>
      <c r="L42" s="629">
        <f>(13.7+24+8.5)/100*23.9/100</f>
        <v>0.110418</v>
      </c>
      <c r="M42" s="629">
        <f>(32.9+14)/100*23.9/100</f>
        <v>0.112091</v>
      </c>
      <c r="N42" s="629">
        <f>(2.4+1.9+2.6+0)/100*23.9/100</f>
        <v>1.6490999999999999E-2</v>
      </c>
      <c r="O42" s="630">
        <f t="shared" ref="O42" si="24">SUM(K42:N42)</f>
        <v>1</v>
      </c>
      <c r="P42" s="1028"/>
      <c r="T42" s="104"/>
      <c r="U42" s="104"/>
      <c r="V42" s="104"/>
      <c r="W42" s="104"/>
      <c r="X42" s="104"/>
      <c r="Y42" s="104"/>
    </row>
    <row r="43" spans="2:25" ht="25.5" hidden="1" outlineLevel="1" x14ac:dyDescent="0.2">
      <c r="B43" s="425" t="s">
        <v>342</v>
      </c>
      <c r="C43" s="426"/>
      <c r="D43" s="426"/>
      <c r="E43" s="426" t="s">
        <v>286</v>
      </c>
      <c r="F43" s="426" t="s">
        <v>286</v>
      </c>
      <c r="G43" s="426"/>
      <c r="H43" s="408"/>
      <c r="I43" s="608">
        <f>1420*$R$1</f>
        <v>1073.52</v>
      </c>
      <c r="J43" s="608">
        <f>2420*$R$1</f>
        <v>1829.52</v>
      </c>
      <c r="K43" s="629">
        <v>0.69669999999999999</v>
      </c>
      <c r="L43" s="629">
        <f>(28.2+9.1+14.4)/100*30.3/100</f>
        <v>0.15665099999999998</v>
      </c>
      <c r="M43" s="629">
        <f>(21.6+11.7)/100*30.3/100</f>
        <v>0.10089899999999999</v>
      </c>
      <c r="N43" s="629">
        <f>(3.9+10.9+0.3+0.1)/100*30.3/100</f>
        <v>4.6056000000000007E-2</v>
      </c>
      <c r="O43" s="630">
        <f t="shared" ref="O43" si="25">SUM(K43:N43)</f>
        <v>1.0003059999999999</v>
      </c>
      <c r="P43" s="408"/>
      <c r="T43" s="104"/>
      <c r="U43" s="104"/>
      <c r="V43" s="104"/>
      <c r="W43" s="104"/>
      <c r="X43" s="104"/>
      <c r="Y43" s="104"/>
    </row>
    <row r="44" spans="2:25" hidden="1" outlineLevel="1" x14ac:dyDescent="0.2">
      <c r="B44" s="425" t="s">
        <v>343</v>
      </c>
      <c r="C44" s="426"/>
      <c r="D44" s="426" t="s">
        <v>286</v>
      </c>
      <c r="E44" s="426" t="s">
        <v>286</v>
      </c>
      <c r="F44" s="426"/>
      <c r="G44" s="426"/>
      <c r="H44" s="408"/>
      <c r="I44" s="608">
        <f>1130*$R$1</f>
        <v>854.28</v>
      </c>
      <c r="J44" s="608">
        <f>1580*$R$1</f>
        <v>1194.48</v>
      </c>
      <c r="K44" s="629">
        <v>0.70399999999999996</v>
      </c>
      <c r="L44" s="629">
        <f>(14.8+8.4+17)/100*29.6/100</f>
        <v>0.118992</v>
      </c>
      <c r="M44" s="629">
        <f>(33.1+12.5)/100*29.62/100</f>
        <v>0.13506720000000003</v>
      </c>
      <c r="N44" s="629">
        <f>(7.1+2.5+4.2+0.3)/100*29.6/100</f>
        <v>4.1736000000000002E-2</v>
      </c>
      <c r="O44" s="630">
        <f t="shared" ref="O44" si="26">SUM(K44:N44)</f>
        <v>0.9997952</v>
      </c>
      <c r="P44" s="1028"/>
      <c r="T44" s="104"/>
      <c r="U44" s="104"/>
      <c r="V44" s="104"/>
      <c r="W44" s="104"/>
      <c r="X44" s="104"/>
      <c r="Y44" s="104"/>
    </row>
    <row r="45" spans="2:25" ht="25.5" hidden="1" outlineLevel="1" x14ac:dyDescent="0.2">
      <c r="B45" s="425" t="s">
        <v>344</v>
      </c>
      <c r="C45" s="426"/>
      <c r="D45" s="426"/>
      <c r="E45" s="426" t="s">
        <v>286</v>
      </c>
      <c r="F45" s="426" t="s">
        <v>286</v>
      </c>
      <c r="G45" s="426"/>
      <c r="H45" s="408"/>
      <c r="I45" s="608">
        <f>1620*$R$1</f>
        <v>1224.72</v>
      </c>
      <c r="J45" s="608">
        <f>2300*$R$1</f>
        <v>1738.8</v>
      </c>
      <c r="K45" s="629">
        <v>0.70399999999999996</v>
      </c>
      <c r="L45" s="629">
        <f>(14.8+8.4+17)/100*29.6/100</f>
        <v>0.118992</v>
      </c>
      <c r="M45" s="629">
        <f>(33.1+12.5)/100*29.62/100</f>
        <v>0.13506720000000003</v>
      </c>
      <c r="N45" s="629">
        <f>(7.1+2.5+4.2+0.3)/100*29.6/100</f>
        <v>4.1736000000000002E-2</v>
      </c>
      <c r="O45" s="630">
        <f t="shared" ref="O45" si="27">SUM(K45:N45)</f>
        <v>0.9997952</v>
      </c>
      <c r="P45" s="1028"/>
      <c r="Q45" s="408"/>
    </row>
    <row r="46" spans="2:25" hidden="1" outlineLevel="1" x14ac:dyDescent="0.2">
      <c r="B46" s="425" t="s">
        <v>345</v>
      </c>
      <c r="C46" s="426"/>
      <c r="D46" s="426"/>
      <c r="E46" s="426" t="s">
        <v>286</v>
      </c>
      <c r="F46" s="426"/>
      <c r="G46" s="426"/>
      <c r="H46" s="408"/>
      <c r="I46" s="608">
        <f>1130*$R$1</f>
        <v>854.28</v>
      </c>
      <c r="J46" s="608">
        <f>1580*$R$1</f>
        <v>1194.48</v>
      </c>
      <c r="K46" s="629">
        <v>0.70399999999999996</v>
      </c>
      <c r="L46" s="629">
        <f>(14.8+8.4+17)/100*29.6/100</f>
        <v>0.118992</v>
      </c>
      <c r="M46" s="629">
        <f>(33.1+12.5)/100*29.62/100</f>
        <v>0.13506720000000003</v>
      </c>
      <c r="N46" s="629">
        <f>(7.1+2.5+4.2+0.3)/100*29.6/100</f>
        <v>4.1736000000000002E-2</v>
      </c>
      <c r="O46" s="630">
        <f t="shared" ref="O46" si="28">SUM(K46:N46)</f>
        <v>0.9997952</v>
      </c>
      <c r="P46" s="1028"/>
      <c r="Q46" s="408"/>
    </row>
    <row r="47" spans="2:25" hidden="1" outlineLevel="1" x14ac:dyDescent="0.2">
      <c r="B47" s="425" t="s">
        <v>346</v>
      </c>
      <c r="C47" s="426"/>
      <c r="D47" s="426"/>
      <c r="E47" s="426"/>
      <c r="F47" s="426" t="s">
        <v>286</v>
      </c>
      <c r="G47" s="426"/>
      <c r="H47" s="408"/>
      <c r="I47" s="608">
        <f>1620*$R$1</f>
        <v>1224.72</v>
      </c>
      <c r="J47" s="608">
        <f>2300*$R$1</f>
        <v>1738.8</v>
      </c>
      <c r="K47" s="629">
        <v>0.70399999999999996</v>
      </c>
      <c r="L47" s="629">
        <f>(14.8+8.4+17)/100*29.6/100</f>
        <v>0.118992</v>
      </c>
      <c r="M47" s="629">
        <f>(33.1+12.5)/100*29.62/100</f>
        <v>0.13506720000000003</v>
      </c>
      <c r="N47" s="629">
        <f>(7.1+2.5+4.2+0.3)/100*29.6/100</f>
        <v>4.1736000000000002E-2</v>
      </c>
      <c r="O47" s="630">
        <f t="shared" ref="O47" si="29">SUM(K47:N47)</f>
        <v>0.9997952</v>
      </c>
      <c r="P47" s="408"/>
      <c r="Q47" s="408"/>
    </row>
    <row r="48" spans="2:25" hidden="1" outlineLevel="1" x14ac:dyDescent="0.2">
      <c r="B48" s="425" t="s">
        <v>347</v>
      </c>
      <c r="C48" s="426"/>
      <c r="D48" s="426"/>
      <c r="E48" s="426"/>
      <c r="F48" s="426"/>
      <c r="G48" s="426" t="s">
        <v>286</v>
      </c>
      <c r="H48" s="408"/>
      <c r="I48" s="608">
        <f>1990*$R$1</f>
        <v>1504.44</v>
      </c>
      <c r="J48" s="608">
        <f>3480*$R$1</f>
        <v>2630.88</v>
      </c>
      <c r="K48" s="629">
        <v>0.61</v>
      </c>
      <c r="L48" s="629">
        <f>(7.1+11.3+39.4)/100*39.1/100</f>
        <v>0.22599799999999998</v>
      </c>
      <c r="M48" s="629">
        <f>(17.4+5.5)/100*39.1/100</f>
        <v>8.9538999999999994E-2</v>
      </c>
      <c r="N48" s="629">
        <f>(0.5+13.5+4.6+0.5)/100*39.1/100</f>
        <v>7.4681000000000011E-2</v>
      </c>
      <c r="O48" s="630">
        <f t="shared" ref="O48" si="30">SUM(K48:N48)</f>
        <v>1.0002180000000001</v>
      </c>
      <c r="P48" s="1028"/>
      <c r="Q48" s="408"/>
    </row>
    <row r="49" spans="2:17" ht="15.75" collapsed="1" x14ac:dyDescent="0.2">
      <c r="B49" s="427" t="s">
        <v>689</v>
      </c>
      <c r="C49" s="428"/>
      <c r="D49" s="428"/>
      <c r="E49" s="428"/>
      <c r="F49" s="428"/>
      <c r="G49" s="428"/>
      <c r="H49" s="408"/>
      <c r="I49" s="633">
        <f>AVERAGE(I50:I58)</f>
        <v>889.72800000000007</v>
      </c>
      <c r="J49" s="633">
        <f>AVERAGE(J50:J58)</f>
        <v>1378.944</v>
      </c>
      <c r="K49" s="634">
        <f>AVERAGE(K50:K58)</f>
        <v>0.76866666666666661</v>
      </c>
      <c r="L49" s="634">
        <f t="shared" ref="L49" si="31">AVERAGE(L50:L58)</f>
        <v>0.12836888888888889</v>
      </c>
      <c r="M49" s="634">
        <f t="shared" ref="M49" si="32">AVERAGE(M50:M58)</f>
        <v>6.9441888888888886E-2</v>
      </c>
      <c r="N49" s="634">
        <f t="shared" ref="N49" si="33">AVERAGE(N50:N58)</f>
        <v>3.3334999999999997E-2</v>
      </c>
      <c r="O49" s="630"/>
      <c r="P49" s="408"/>
      <c r="Q49" s="408"/>
    </row>
    <row r="50" spans="2:17" hidden="1" outlineLevel="1" x14ac:dyDescent="0.2">
      <c r="B50" s="425" t="s">
        <v>348</v>
      </c>
      <c r="C50" s="426"/>
      <c r="D50" s="426" t="s">
        <v>286</v>
      </c>
      <c r="E50" s="426"/>
      <c r="F50" s="426"/>
      <c r="G50" s="426"/>
      <c r="H50" s="408"/>
      <c r="I50" s="608">
        <f>460*$R$1</f>
        <v>347.76</v>
      </c>
      <c r="J50" s="608">
        <f>1180*$R$1</f>
        <v>892.08</v>
      </c>
      <c r="K50" s="629">
        <v>0.85799999999999998</v>
      </c>
      <c r="L50" s="629">
        <f>(21.8+17.8+2.5)/100*14.2/100</f>
        <v>5.9782000000000002E-2</v>
      </c>
      <c r="M50" s="629">
        <f>(49.4+4.8)/100*14.2/100</f>
        <v>7.6963999999999991E-2</v>
      </c>
      <c r="N50" s="629">
        <f>(0.1+2.5+0.8)/100*14.2/100</f>
        <v>4.8279999999999998E-3</v>
      </c>
      <c r="O50" s="630">
        <f t="shared" ref="O50" si="34">SUM(K50:N50)</f>
        <v>0.99957400000000007</v>
      </c>
      <c r="P50" s="1028"/>
      <c r="Q50" s="408"/>
    </row>
    <row r="51" spans="2:17" hidden="1" outlineLevel="1" x14ac:dyDescent="0.2">
      <c r="B51" s="425" t="s">
        <v>658</v>
      </c>
      <c r="C51" s="426"/>
      <c r="D51" s="426"/>
      <c r="E51" s="426" t="s">
        <v>286</v>
      </c>
      <c r="F51" s="426"/>
      <c r="G51" s="426"/>
      <c r="H51" s="408"/>
      <c r="I51" s="608">
        <f>950*$R$1</f>
        <v>718.2</v>
      </c>
      <c r="J51" s="608">
        <f>1420*$R$1</f>
        <v>1073.52</v>
      </c>
      <c r="K51" s="629">
        <v>0.78300000000000003</v>
      </c>
      <c r="L51" s="629">
        <f>(14.6+22.6+17.9)/100*21.7/100</f>
        <v>0.11956700000000002</v>
      </c>
      <c r="M51" s="629">
        <f>(30.8+2)/100*21.7/100</f>
        <v>7.1175999999999989E-2</v>
      </c>
      <c r="N51" s="629">
        <f>(12.1)/100*21.7/100</f>
        <v>2.6256999999999996E-2</v>
      </c>
      <c r="O51" s="630">
        <f t="shared" ref="O51" si="35">SUM(K51:N51)</f>
        <v>1</v>
      </c>
      <c r="P51" s="408"/>
      <c r="Q51" s="408"/>
    </row>
    <row r="52" spans="2:17" hidden="1" outlineLevel="1" x14ac:dyDescent="0.2">
      <c r="B52" s="425" t="s">
        <v>659</v>
      </c>
      <c r="C52" s="426"/>
      <c r="D52" s="426"/>
      <c r="E52" s="426"/>
      <c r="F52" s="426" t="s">
        <v>286</v>
      </c>
      <c r="G52" s="426"/>
      <c r="H52" s="408"/>
      <c r="I52" s="608">
        <f>1220*$R$1</f>
        <v>922.32</v>
      </c>
      <c r="J52" s="608">
        <f>2200*$R$1</f>
        <v>1663.2</v>
      </c>
      <c r="K52" s="629">
        <v>0.78800000000000003</v>
      </c>
      <c r="L52" s="629">
        <f>(26.4+32.5+1.4)/100*21.2/100</f>
        <v>0.12783600000000001</v>
      </c>
      <c r="M52" s="629">
        <f>(22.2+4.2)/100*21.2/100</f>
        <v>5.5967999999999997E-2</v>
      </c>
      <c r="N52" s="629">
        <f>(13.3)/100*21.2/100</f>
        <v>2.8195999999999999E-2</v>
      </c>
      <c r="O52" s="630">
        <f t="shared" ref="O52" si="36">SUM(K52:N52)</f>
        <v>1</v>
      </c>
      <c r="P52" s="408"/>
      <c r="Q52" s="408"/>
    </row>
    <row r="53" spans="2:17" hidden="1" outlineLevel="1" x14ac:dyDescent="0.2">
      <c r="B53" s="425" t="s">
        <v>657</v>
      </c>
      <c r="C53" s="426"/>
      <c r="D53" s="426"/>
      <c r="E53" s="426" t="s">
        <v>286</v>
      </c>
      <c r="F53" s="426" t="s">
        <v>286</v>
      </c>
      <c r="G53" s="426"/>
      <c r="H53" s="408"/>
      <c r="I53" s="608">
        <f>1950*$R$1</f>
        <v>1474.2</v>
      </c>
      <c r="J53" s="608">
        <f>2980*$R$1</f>
        <v>2252.88</v>
      </c>
      <c r="K53" s="629">
        <v>0.72199999999999998</v>
      </c>
      <c r="L53" s="629">
        <f>(14.9+17.4+24.7)/100*27.9/100</f>
        <v>0.15902999999999998</v>
      </c>
      <c r="M53" s="629">
        <f>(24.2+2.5)/100*27.92/100</f>
        <v>7.4546400000000013E-2</v>
      </c>
      <c r="N53" s="629">
        <f>(2.2+12.8+0.8)/100*27.9/100</f>
        <v>4.4081999999999996E-2</v>
      </c>
      <c r="O53" s="630">
        <f t="shared" ref="O53" si="37">SUM(K53:N53)</f>
        <v>0.99965839999999995</v>
      </c>
      <c r="P53" s="408"/>
      <c r="Q53" s="408"/>
    </row>
    <row r="54" spans="2:17" hidden="1" outlineLevel="1" x14ac:dyDescent="0.2">
      <c r="B54" s="425" t="s">
        <v>349</v>
      </c>
      <c r="C54" s="426"/>
      <c r="D54" s="426"/>
      <c r="E54" s="426"/>
      <c r="F54" s="426" t="s">
        <v>286</v>
      </c>
      <c r="G54" s="426"/>
      <c r="H54" s="408"/>
      <c r="I54" s="608">
        <f>1950*$R$1</f>
        <v>1474.2</v>
      </c>
      <c r="J54" s="608">
        <f>2980*$R$1</f>
        <v>2252.88</v>
      </c>
      <c r="K54" s="629">
        <v>0.64600000000000002</v>
      </c>
      <c r="L54" s="629">
        <f>(14.9+17.4+24.7)/100*27.9/100</f>
        <v>0.15902999999999998</v>
      </c>
      <c r="M54" s="629">
        <f>(24.2+2.5)/100*27.92/100</f>
        <v>7.4546400000000013E-2</v>
      </c>
      <c r="N54" s="629">
        <v>0.12</v>
      </c>
      <c r="O54" s="630">
        <f t="shared" ref="O54" si="38">SUM(K54:N54)</f>
        <v>0.99957640000000003</v>
      </c>
      <c r="P54" s="1028"/>
      <c r="Q54" s="408"/>
    </row>
    <row r="55" spans="2:17" ht="25.5" hidden="1" outlineLevel="1" x14ac:dyDescent="0.2">
      <c r="B55" s="425" t="s">
        <v>725</v>
      </c>
      <c r="C55" s="426" t="s">
        <v>286</v>
      </c>
      <c r="D55" s="426"/>
      <c r="E55" s="426"/>
      <c r="F55" s="426"/>
      <c r="G55" s="426"/>
      <c r="I55" s="608">
        <f>820*$R$1*0.6</f>
        <v>371.95199999999994</v>
      </c>
      <c r="J55" s="608">
        <f>1110*$R$1*0.6</f>
        <v>503.49599999999998</v>
      </c>
      <c r="K55" s="629">
        <v>0.81</v>
      </c>
      <c r="L55" s="629">
        <f>(37.6+32+4.8)/100*19.1/100</f>
        <v>0.14210399999999998</v>
      </c>
      <c r="M55" s="629">
        <f>(21.7+3.3)/100*19.1/100</f>
        <v>4.7750000000000001E-2</v>
      </c>
      <c r="N55" s="629">
        <v>0</v>
      </c>
      <c r="O55" s="630">
        <f t="shared" ref="O55" si="39">SUM(K55:N55)</f>
        <v>0.99985400000000002</v>
      </c>
      <c r="P55" s="1028"/>
    </row>
    <row r="56" spans="2:17" hidden="1" outlineLevel="1" x14ac:dyDescent="0.2">
      <c r="B56" s="425" t="s">
        <v>680</v>
      </c>
      <c r="C56" s="426"/>
      <c r="D56" s="426" t="s">
        <v>286</v>
      </c>
      <c r="E56" s="426"/>
      <c r="F56" s="426"/>
      <c r="G56" s="426"/>
      <c r="H56" s="408"/>
      <c r="I56" s="608">
        <f>820*$R$1</f>
        <v>619.91999999999996</v>
      </c>
      <c r="J56" s="608">
        <f>1110*$R$1</f>
        <v>839.16</v>
      </c>
      <c r="K56" s="629">
        <v>0.81</v>
      </c>
      <c r="L56" s="629">
        <f>(37.6+32+4.8)/100*19.1/100</f>
        <v>0.14210399999999998</v>
      </c>
      <c r="M56" s="629">
        <f>(21.7+3.3)/100*19.1/100</f>
        <v>4.7750000000000001E-2</v>
      </c>
      <c r="N56" s="629">
        <v>0</v>
      </c>
      <c r="O56" s="630">
        <f t="shared" ref="O56" si="40">SUM(K56:N56)</f>
        <v>0.99985400000000002</v>
      </c>
      <c r="P56" s="1028"/>
      <c r="Q56" s="408"/>
    </row>
    <row r="57" spans="2:17" hidden="1" outlineLevel="1" x14ac:dyDescent="0.2">
      <c r="B57" s="425" t="s">
        <v>678</v>
      </c>
      <c r="C57" s="426"/>
      <c r="D57" s="426"/>
      <c r="E57" s="426" t="s">
        <v>286</v>
      </c>
      <c r="F57" s="426"/>
      <c r="G57" s="426"/>
      <c r="H57" s="408"/>
      <c r="I57" s="608">
        <f>1130*$R$1</f>
        <v>854.28</v>
      </c>
      <c r="J57" s="608">
        <f>1580*$R$1</f>
        <v>1194.48</v>
      </c>
      <c r="K57" s="629">
        <v>0.79700000000000004</v>
      </c>
      <c r="L57" s="629">
        <f>(33+24.5+5)/100*20.3/100</f>
        <v>0.12687499999999999</v>
      </c>
      <c r="M57" s="629">
        <f>(15.8+4.5)/100*20.3/100</f>
        <v>4.120900000000001E-2</v>
      </c>
      <c r="N57" s="629">
        <f>(17.2)/100*20.3/100</f>
        <v>3.4916000000000003E-2</v>
      </c>
      <c r="O57" s="630">
        <f t="shared" ref="O57" si="41">SUM(K57:N57)</f>
        <v>1</v>
      </c>
      <c r="P57" s="1028"/>
      <c r="Q57" s="408"/>
    </row>
    <row r="58" spans="2:17" hidden="1" outlineLevel="1" x14ac:dyDescent="0.2">
      <c r="B58" s="425" t="s">
        <v>679</v>
      </c>
      <c r="C58" s="426"/>
      <c r="D58" s="426"/>
      <c r="E58" s="426"/>
      <c r="F58" s="426" t="s">
        <v>286</v>
      </c>
      <c r="G58" s="426"/>
      <c r="H58" s="408"/>
      <c r="I58" s="608">
        <f>1620*$R$1</f>
        <v>1224.72</v>
      </c>
      <c r="J58" s="608">
        <f>2300*$R$1</f>
        <v>1738.8</v>
      </c>
      <c r="K58" s="629">
        <v>0.70399999999999996</v>
      </c>
      <c r="L58" s="629">
        <f>(14.8+8.4+17)/100*29.6/100</f>
        <v>0.118992</v>
      </c>
      <c r="M58" s="629">
        <f>(33.1+12.5)/100*29.62/100</f>
        <v>0.13506720000000003</v>
      </c>
      <c r="N58" s="629">
        <f>(7.1+2.5+4.2+0.3)/100*29.6/100</f>
        <v>4.1736000000000002E-2</v>
      </c>
      <c r="O58" s="630">
        <f t="shared" ref="O58" si="42">SUM(K58:N58)</f>
        <v>0.9997952</v>
      </c>
      <c r="P58" s="1028"/>
      <c r="Q58" s="408"/>
    </row>
    <row r="59" spans="2:17" ht="15.75" collapsed="1" x14ac:dyDescent="0.2">
      <c r="B59" s="427" t="s">
        <v>693</v>
      </c>
      <c r="C59" s="426"/>
      <c r="D59" s="426"/>
      <c r="E59" s="426"/>
      <c r="F59" s="426"/>
      <c r="G59" s="426"/>
      <c r="H59" s="408"/>
      <c r="I59" s="633">
        <f>AVERAGE(I60:I65)</f>
        <v>958.86</v>
      </c>
      <c r="J59" s="633">
        <f>AVERAGE(J60:J65)</f>
        <v>1437.6599999999999</v>
      </c>
      <c r="K59" s="634">
        <f>AVERAGE(K60:K65)</f>
        <v>0.81166666666666654</v>
      </c>
      <c r="L59" s="634">
        <f t="shared" ref="L59:N59" si="43">AVERAGE(L60:L65)</f>
        <v>0.10618283333333334</v>
      </c>
      <c r="M59" s="634">
        <f t="shared" si="43"/>
        <v>6.1093166666666671E-2</v>
      </c>
      <c r="N59" s="634">
        <f t="shared" si="43"/>
        <v>2.1093833333333329E-2</v>
      </c>
      <c r="O59" s="630"/>
      <c r="P59" s="408"/>
      <c r="Q59" s="408"/>
    </row>
    <row r="60" spans="2:17" hidden="1" outlineLevel="1" x14ac:dyDescent="0.2">
      <c r="B60" s="425" t="s">
        <v>350</v>
      </c>
      <c r="C60" s="426"/>
      <c r="D60" s="426" t="s">
        <v>286</v>
      </c>
      <c r="E60" s="426"/>
      <c r="F60" s="426"/>
      <c r="G60" s="426"/>
      <c r="H60" s="408"/>
      <c r="I60" s="608">
        <f>410*$R$1</f>
        <v>309.95999999999998</v>
      </c>
      <c r="J60" s="608">
        <f>710*$R$1</f>
        <v>536.76</v>
      </c>
      <c r="K60" s="629">
        <v>0.95499999999999996</v>
      </c>
      <c r="L60" s="629">
        <f>(38.7+4.1+0.2)/100*5.1/100</f>
        <v>2.1930000000000002E-2</v>
      </c>
      <c r="M60" s="629">
        <f>(44.8+0.3)/100*5.1/100</f>
        <v>2.3000999999999997E-2</v>
      </c>
      <c r="N60" s="629">
        <v>0</v>
      </c>
      <c r="O60" s="630">
        <f t="shared" ref="O60" si="44">SUM(K60:N60)</f>
        <v>0.99993100000000001</v>
      </c>
      <c r="P60" s="1028"/>
      <c r="Q60" s="408"/>
    </row>
    <row r="61" spans="2:17" hidden="1" outlineLevel="1" x14ac:dyDescent="0.2">
      <c r="B61" s="425" t="s">
        <v>351</v>
      </c>
      <c r="C61" s="426"/>
      <c r="D61" s="426" t="s">
        <v>286</v>
      </c>
      <c r="E61" s="426"/>
      <c r="F61" s="426"/>
      <c r="G61" s="426"/>
      <c r="I61" s="608">
        <f>410*$R$1</f>
        <v>309.95999999999998</v>
      </c>
      <c r="J61" s="608">
        <f>710*$R$1</f>
        <v>536.76</v>
      </c>
      <c r="K61" s="629">
        <v>0.95499999999999996</v>
      </c>
      <c r="L61" s="629">
        <f>(38.7+4.1+0.2)/100*5.1/100</f>
        <v>2.1930000000000002E-2</v>
      </c>
      <c r="M61" s="629">
        <f>(44.8+0.3)/100*5.1/100</f>
        <v>2.3000999999999997E-2</v>
      </c>
      <c r="N61" s="629">
        <v>0</v>
      </c>
      <c r="O61" s="630">
        <f t="shared" ref="O61" si="45">SUM(K61:N61)</f>
        <v>0.99993100000000001</v>
      </c>
      <c r="P61" s="1028"/>
    </row>
    <row r="62" spans="2:17" hidden="1" outlineLevel="1" x14ac:dyDescent="0.2">
      <c r="B62" s="425" t="s">
        <v>352</v>
      </c>
      <c r="C62" s="426"/>
      <c r="D62" s="426"/>
      <c r="E62" s="426" t="s">
        <v>286</v>
      </c>
      <c r="F62" s="426" t="s">
        <v>286</v>
      </c>
      <c r="G62" s="426"/>
      <c r="I62" s="608">
        <f>1650*$R$1</f>
        <v>1247.4000000000001</v>
      </c>
      <c r="J62" s="608">
        <f>2370*$R$1</f>
        <v>1791.72</v>
      </c>
      <c r="K62" s="629">
        <v>0.78</v>
      </c>
      <c r="L62" s="629">
        <f>(22.3+25.8+6.1)/100*22/100</f>
        <v>0.11924000000000001</v>
      </c>
      <c r="M62" s="629">
        <f>(40.2+5.5)/100*22/100</f>
        <v>0.10054</v>
      </c>
      <c r="N62" s="629">
        <f>(0.1)/100*22/100</f>
        <v>2.1999999999999998E-4</v>
      </c>
      <c r="O62" s="630">
        <f t="shared" ref="O62" si="46">SUM(K62:N62)</f>
        <v>1</v>
      </c>
    </row>
    <row r="63" spans="2:17" hidden="1" outlineLevel="1" x14ac:dyDescent="0.2">
      <c r="B63" s="425" t="s">
        <v>652</v>
      </c>
      <c r="C63" s="426"/>
      <c r="D63" s="426"/>
      <c r="E63" s="426"/>
      <c r="F63" s="426" t="s">
        <v>286</v>
      </c>
      <c r="G63" s="426" t="s">
        <v>286</v>
      </c>
      <c r="I63" s="608">
        <f>1500*$R$1</f>
        <v>1134</v>
      </c>
      <c r="J63" s="608">
        <f>2050*$R$1</f>
        <v>1549.8</v>
      </c>
      <c r="K63" s="629">
        <v>0.76600000000000001</v>
      </c>
      <c r="L63" s="629">
        <f>(26.6+18.5+13.4)/100*23.4/100</f>
        <v>0.13688999999999998</v>
      </c>
      <c r="M63" s="629">
        <f>(36.7+3.2)/100*23.4/100</f>
        <v>9.3366000000000005E-2</v>
      </c>
      <c r="N63" s="629">
        <f>(0.1+1.6)/100*23.4/100</f>
        <v>3.9779999999999998E-3</v>
      </c>
      <c r="O63" s="630">
        <f t="shared" ref="O63" si="47">SUM(K63:N63)</f>
        <v>1.0002340000000001</v>
      </c>
    </row>
    <row r="64" spans="2:17" hidden="1" outlineLevel="1" x14ac:dyDescent="0.2">
      <c r="B64" s="425" t="s">
        <v>653</v>
      </c>
      <c r="C64" s="426"/>
      <c r="D64" s="426"/>
      <c r="E64" s="426"/>
      <c r="F64" s="426" t="s">
        <v>286</v>
      </c>
      <c r="G64" s="426" t="s">
        <v>286</v>
      </c>
      <c r="I64" s="608">
        <f>1320*$R$1</f>
        <v>997.92</v>
      </c>
      <c r="J64" s="608">
        <f>2180*$R$1</f>
        <v>1648.08</v>
      </c>
      <c r="K64" s="629">
        <v>0.78200000000000003</v>
      </c>
      <c r="L64" s="629">
        <f>(23.4+29.5+17.4)/100*21.9/100</f>
        <v>0.15395699999999998</v>
      </c>
      <c r="M64" s="629">
        <f>(22.2+3.7)/100*21.9/100</f>
        <v>5.6720999999999994E-2</v>
      </c>
      <c r="N64" s="629">
        <f>(1.8+0.4+0.8+0.5)/100*21.9/100</f>
        <v>7.6650000000000008E-3</v>
      </c>
      <c r="O64" s="630">
        <f t="shared" ref="O64" si="48">SUM(K64:N64)</f>
        <v>1.000343</v>
      </c>
    </row>
    <row r="65" spans="2:16" hidden="1" outlineLevel="1" x14ac:dyDescent="0.2">
      <c r="B65" s="425" t="s">
        <v>654</v>
      </c>
      <c r="C65" s="426"/>
      <c r="D65" s="426"/>
      <c r="E65" s="426"/>
      <c r="F65" s="426" t="s">
        <v>286</v>
      </c>
      <c r="G65" s="426" t="s">
        <v>286</v>
      </c>
      <c r="I65" s="608">
        <f>2320*$R$1</f>
        <v>1753.92</v>
      </c>
      <c r="J65" s="608">
        <f>3390*$R$1</f>
        <v>2562.84</v>
      </c>
      <c r="K65" s="629">
        <v>0.63200000000000001</v>
      </c>
      <c r="L65" s="629">
        <f>(14.8+17.1+17.6)/100*37/100</f>
        <v>0.18315000000000001</v>
      </c>
      <c r="M65" s="629">
        <f>(17.2+1.7)/100*37/100</f>
        <v>6.9929999999999992E-2</v>
      </c>
      <c r="N65" s="629">
        <f>(0.4+27.7+2.9)/100*37/100</f>
        <v>0.11469999999999997</v>
      </c>
      <c r="O65" s="630">
        <f t="shared" ref="O65" si="49">SUM(K65:N65)</f>
        <v>0.99978000000000011</v>
      </c>
    </row>
    <row r="66" spans="2:16" ht="15.75" collapsed="1" x14ac:dyDescent="0.2">
      <c r="B66" s="427" t="s">
        <v>692</v>
      </c>
      <c r="C66" s="428"/>
      <c r="D66" s="428"/>
      <c r="E66" s="428"/>
      <c r="F66" s="428"/>
      <c r="G66" s="428"/>
      <c r="I66" s="633">
        <f>AVERAGE(I67:I75)</f>
        <v>640.92000000000007</v>
      </c>
      <c r="J66" s="633">
        <f>AVERAGE(J67:J75)</f>
        <v>1103.76</v>
      </c>
      <c r="K66" s="634">
        <f>AVERAGE(K67:K75)</f>
        <v>0.7949222222222222</v>
      </c>
      <c r="L66" s="634">
        <f t="shared" ref="L66:N66" si="50">AVERAGE(L67:L75)</f>
        <v>9.3176444444444451E-2</v>
      </c>
      <c r="M66" s="634">
        <f t="shared" si="50"/>
        <v>6.8431888888888889E-2</v>
      </c>
      <c r="N66" s="634">
        <f t="shared" si="50"/>
        <v>4.3552444444444449E-2</v>
      </c>
      <c r="O66" s="630"/>
    </row>
    <row r="67" spans="2:16" hidden="1" outlineLevel="1" x14ac:dyDescent="0.2">
      <c r="B67" s="425" t="s">
        <v>826</v>
      </c>
      <c r="C67" s="426" t="s">
        <v>286</v>
      </c>
      <c r="D67" s="426"/>
      <c r="E67" s="426"/>
      <c r="F67" s="426"/>
      <c r="G67" s="426"/>
      <c r="I67" s="608">
        <f>410*$R$1</f>
        <v>309.95999999999998</v>
      </c>
      <c r="J67" s="608">
        <f>710*$R$1</f>
        <v>536.76</v>
      </c>
      <c r="K67" s="629">
        <v>0.95499999999999996</v>
      </c>
      <c r="L67" s="629">
        <f>(38.7+4.1+0.2)/100*5.1/100</f>
        <v>2.1930000000000002E-2</v>
      </c>
      <c r="M67" s="629">
        <f>(44.8+0.3)/100*5.1/100</f>
        <v>2.3000999999999997E-2</v>
      </c>
      <c r="N67" s="629">
        <v>0</v>
      </c>
      <c r="O67" s="630">
        <f t="shared" ref="O67" si="51">SUM(K67:N67)</f>
        <v>0.99993100000000001</v>
      </c>
      <c r="P67" s="1028"/>
    </row>
    <row r="68" spans="2:16" hidden="1" outlineLevel="1" x14ac:dyDescent="0.2">
      <c r="B68" s="425" t="s">
        <v>827</v>
      </c>
      <c r="C68" s="426"/>
      <c r="D68" s="426" t="s">
        <v>286</v>
      </c>
      <c r="E68" s="426" t="s">
        <v>286</v>
      </c>
      <c r="F68" s="426" t="s">
        <v>286</v>
      </c>
      <c r="G68" s="426"/>
      <c r="I68" s="608">
        <f>800*$R$1</f>
        <v>604.79999999999995</v>
      </c>
      <c r="J68" s="608">
        <f>1230*$R$1</f>
        <v>929.88</v>
      </c>
      <c r="K68" s="629">
        <v>0.78500000000000003</v>
      </c>
      <c r="L68" s="629">
        <f>(16.8+14.7+18.2)/100*21.6/100</f>
        <v>0.10735200000000003</v>
      </c>
      <c r="M68" s="629">
        <f>(21.9+3.3)/100*21.6/100</f>
        <v>5.4432000000000001E-2</v>
      </c>
      <c r="N68" s="629">
        <f>(17.9+4.1+2.7+0.1)/100*21.6/100</f>
        <v>5.3568000000000005E-2</v>
      </c>
      <c r="O68" s="630">
        <f t="shared" ref="O68" si="52">SUM(K68:N68)</f>
        <v>1.0003520000000001</v>
      </c>
      <c r="P68" s="1028"/>
    </row>
    <row r="69" spans="2:16" hidden="1" outlineLevel="1" x14ac:dyDescent="0.2">
      <c r="B69" s="425" t="s">
        <v>353</v>
      </c>
      <c r="C69" s="426"/>
      <c r="D69" s="426" t="s">
        <v>286</v>
      </c>
      <c r="E69" s="426"/>
      <c r="F69" s="426"/>
      <c r="G69" s="426"/>
      <c r="I69" s="608">
        <f>800*$R$1</f>
        <v>604.79999999999995</v>
      </c>
      <c r="J69" s="608">
        <f>1230*$R$1</f>
        <v>929.88</v>
      </c>
      <c r="K69" s="629">
        <v>0.78500000000000003</v>
      </c>
      <c r="L69" s="629">
        <f>(16.8+14.7+18.2)/100*21.6/100</f>
        <v>0.10735200000000003</v>
      </c>
      <c r="M69" s="629">
        <f>(21.9+3.3)/100*21.6/100</f>
        <v>5.4432000000000001E-2</v>
      </c>
      <c r="N69" s="629">
        <f>(17.9+4.1+2.7+0.1)/100*21.6/100</f>
        <v>5.3568000000000005E-2</v>
      </c>
      <c r="O69" s="630">
        <f t="shared" ref="O69" si="53">SUM(K69:N69)</f>
        <v>1.0003520000000001</v>
      </c>
      <c r="P69" s="1028"/>
    </row>
    <row r="70" spans="2:16" hidden="1" outlineLevel="1" x14ac:dyDescent="0.2">
      <c r="B70" s="445" t="s">
        <v>767</v>
      </c>
      <c r="C70" s="426"/>
      <c r="D70" s="426"/>
      <c r="E70" s="426" t="s">
        <v>286</v>
      </c>
      <c r="F70" s="426" t="s">
        <v>286</v>
      </c>
      <c r="G70" s="426"/>
      <c r="H70" s="408"/>
      <c r="I70" s="608">
        <f>1060*$R$1</f>
        <v>801.36</v>
      </c>
      <c r="J70" s="608">
        <f>2050*$R$1</f>
        <v>1549.8</v>
      </c>
      <c r="K70" s="629">
        <v>0.78300000000000003</v>
      </c>
      <c r="L70" s="629">
        <f>(11.9+18.7+16.4)/100*21.7/100</f>
        <v>0.10199</v>
      </c>
      <c r="M70" s="629">
        <f>(28.1+4.1)/100*21.7/100</f>
        <v>6.9874000000000006E-2</v>
      </c>
      <c r="N70" s="629">
        <f>(16.3+3.3+1.2)/100*21.7/100</f>
        <v>4.5136000000000003E-2</v>
      </c>
      <c r="O70" s="630">
        <f t="shared" ref="O70" si="54">SUM(K70:N70)</f>
        <v>1</v>
      </c>
      <c r="P70" s="1028"/>
    </row>
    <row r="71" spans="2:16" hidden="1" outlineLevel="1" x14ac:dyDescent="0.2">
      <c r="B71" s="425" t="s">
        <v>354</v>
      </c>
      <c r="C71" s="426"/>
      <c r="D71" s="426" t="s">
        <v>286</v>
      </c>
      <c r="E71" s="426"/>
      <c r="F71" s="426"/>
      <c r="G71" s="426"/>
      <c r="I71" s="608">
        <f>800*$R$1</f>
        <v>604.79999999999995</v>
      </c>
      <c r="J71" s="608">
        <f>1230*$R$1</f>
        <v>929.88</v>
      </c>
      <c r="K71" s="629">
        <v>0.78500000000000003</v>
      </c>
      <c r="L71" s="629">
        <f>(16.8+14.7+18.2)/100*21.6/100</f>
        <v>0.10735200000000003</v>
      </c>
      <c r="M71" s="629">
        <f>(21.9+3.3)/100*21.6/100</f>
        <v>5.4432000000000001E-2</v>
      </c>
      <c r="N71" s="629">
        <f>(17.9+4.1+2.7+0.1)/100*21.6/100</f>
        <v>5.3568000000000005E-2</v>
      </c>
      <c r="O71" s="630">
        <f t="shared" ref="O71" si="55">SUM(K71:N71)</f>
        <v>1.0003520000000001</v>
      </c>
    </row>
    <row r="72" spans="2:16" hidden="1" outlineLevel="1" x14ac:dyDescent="0.2">
      <c r="B72" s="425" t="s">
        <v>828</v>
      </c>
      <c r="C72" s="426"/>
      <c r="D72" s="426"/>
      <c r="E72" s="426" t="s">
        <v>286</v>
      </c>
      <c r="F72" s="426"/>
      <c r="G72" s="426"/>
      <c r="I72" s="608">
        <f>460*$R$1</f>
        <v>347.76</v>
      </c>
      <c r="J72" s="608">
        <f>1180*$R$1</f>
        <v>892.08</v>
      </c>
      <c r="K72" s="629">
        <v>0.85799999999999998</v>
      </c>
      <c r="L72" s="629">
        <f>(21.8+17.8+2.5)/100*14.2/100</f>
        <v>5.9782000000000002E-2</v>
      </c>
      <c r="M72" s="629">
        <f>(49.4+4.8)/100*14.2/100</f>
        <v>7.6963999999999991E-2</v>
      </c>
      <c r="N72" s="629">
        <f>(0.1+2.5+0.8)/100*14.2/100</f>
        <v>4.8279999999999998E-3</v>
      </c>
      <c r="O72" s="630">
        <f t="shared" ref="O72" si="56">SUM(K72:N72)</f>
        <v>0.99957400000000007</v>
      </c>
    </row>
    <row r="73" spans="2:16" hidden="1" outlineLevel="1" x14ac:dyDescent="0.2">
      <c r="B73" s="425" t="s">
        <v>829</v>
      </c>
      <c r="C73" s="426"/>
      <c r="D73" s="426" t="s">
        <v>286</v>
      </c>
      <c r="E73" s="426" t="s">
        <v>286</v>
      </c>
      <c r="F73" s="426" t="s">
        <v>286</v>
      </c>
      <c r="G73" s="426"/>
      <c r="I73" s="608">
        <f>1060*$R$1</f>
        <v>801.36</v>
      </c>
      <c r="J73" s="608">
        <f>2050*$R$1</f>
        <v>1549.8</v>
      </c>
      <c r="K73" s="629">
        <v>0.78300000000000003</v>
      </c>
      <c r="L73" s="629">
        <f>(11.9+18.7+16.4)/100*21.7/100</f>
        <v>0.10199</v>
      </c>
      <c r="M73" s="629">
        <f>(28.1+4.1)/100*21.7/100</f>
        <v>6.9874000000000006E-2</v>
      </c>
      <c r="N73" s="629">
        <f>(16.3+3.3+1.2)/100*21.7/100</f>
        <v>4.5136000000000003E-2</v>
      </c>
      <c r="O73" s="630">
        <f t="shared" ref="O73" si="57">SUM(K73:N73)</f>
        <v>1</v>
      </c>
    </row>
    <row r="74" spans="2:16" hidden="1" outlineLevel="1" x14ac:dyDescent="0.2">
      <c r="B74" s="425" t="s">
        <v>655</v>
      </c>
      <c r="C74" s="426"/>
      <c r="D74" s="426"/>
      <c r="E74" s="426" t="s">
        <v>286</v>
      </c>
      <c r="F74" s="426" t="s">
        <v>286</v>
      </c>
      <c r="G74" s="426" t="s">
        <v>286</v>
      </c>
      <c r="I74" s="608">
        <f>1220*$R$1</f>
        <v>922.32</v>
      </c>
      <c r="J74" s="608">
        <f>1660*$R$1</f>
        <v>1254.96</v>
      </c>
      <c r="K74" s="629">
        <v>0.69230000000000003</v>
      </c>
      <c r="L74" s="629">
        <f>(17.8+22.2+5.6)/100*30.7/100</f>
        <v>0.13999200000000001</v>
      </c>
      <c r="M74" s="629">
        <f>(35.2+2.6)/100*30.7/100</f>
        <v>0.11604600000000001</v>
      </c>
      <c r="N74" s="629">
        <f>(1.9+14.9)/100*30.7/100</f>
        <v>5.1576000000000004E-2</v>
      </c>
      <c r="O74" s="630">
        <f t="shared" ref="O74" si="58">SUM(K74:N74)</f>
        <v>0.99991399999999997</v>
      </c>
    </row>
    <row r="75" spans="2:16" hidden="1" outlineLevel="1" x14ac:dyDescent="0.2">
      <c r="B75" s="425" t="s">
        <v>656</v>
      </c>
      <c r="C75" s="426"/>
      <c r="D75" s="426"/>
      <c r="E75" s="426" t="s">
        <v>286</v>
      </c>
      <c r="F75" s="426" t="s">
        <v>286</v>
      </c>
      <c r="G75" s="426" t="s">
        <v>286</v>
      </c>
      <c r="I75" s="608">
        <f>1020*$R$1</f>
        <v>771.12</v>
      </c>
      <c r="J75" s="608">
        <f>1800*$R$1</f>
        <v>1360.8</v>
      </c>
      <c r="K75" s="629">
        <v>0.72799999999999998</v>
      </c>
      <c r="L75" s="629">
        <f>(7.4+9.4+16.6)/100*27.2/100</f>
        <v>9.0848000000000012E-2</v>
      </c>
      <c r="M75" s="629">
        <f>(31.9+3.7)/100*27.2/100</f>
        <v>9.6832000000000015E-2</v>
      </c>
      <c r="N75" s="629">
        <f>(7.3+19.8+3.5+0.5)/100*27.2/100</f>
        <v>8.4591999999999987E-2</v>
      </c>
      <c r="O75" s="630">
        <f t="shared" ref="O75" si="59">SUM(K75:N75)</f>
        <v>1.000272</v>
      </c>
    </row>
    <row r="76" spans="2:16" ht="15.75" collapsed="1" x14ac:dyDescent="0.2">
      <c r="B76" s="427" t="s">
        <v>691</v>
      </c>
      <c r="C76" s="428"/>
      <c r="D76" s="428"/>
      <c r="E76" s="428"/>
      <c r="F76" s="428"/>
      <c r="G76" s="428"/>
      <c r="I76" s="633">
        <f>AVERAGE(I77:I82)</f>
        <v>610.84800000000007</v>
      </c>
      <c r="J76" s="633">
        <f>AVERAGE(J77:J82)</f>
        <v>1003.9680000000001</v>
      </c>
      <c r="K76" s="634">
        <f>AVERAGE(K77:K82)</f>
        <v>0.86799999999999999</v>
      </c>
      <c r="L76" s="634">
        <f t="shared" ref="L76" si="60">AVERAGE(L77:L82)</f>
        <v>7.9954799999999993E-2</v>
      </c>
      <c r="M76" s="634">
        <f t="shared" ref="M76" si="61">AVERAGE(M77:M82)</f>
        <v>3.6718799999999996E-2</v>
      </c>
      <c r="N76" s="634">
        <f t="shared" ref="N76" si="62">AVERAGE(N77:N82)</f>
        <v>1.5296399999999998E-2</v>
      </c>
      <c r="O76" s="630"/>
    </row>
    <row r="77" spans="2:16" hidden="1" outlineLevel="1" x14ac:dyDescent="0.2">
      <c r="B77" s="425" t="s">
        <v>355</v>
      </c>
      <c r="C77" s="426" t="s">
        <v>286</v>
      </c>
      <c r="D77" s="426"/>
      <c r="E77" s="426"/>
      <c r="F77" s="426"/>
      <c r="G77" s="426"/>
      <c r="I77" s="608">
        <f>410*$R$1</f>
        <v>309.95999999999998</v>
      </c>
      <c r="J77" s="608">
        <f>710*$R$1</f>
        <v>536.76</v>
      </c>
      <c r="K77" s="629">
        <v>0.95499999999999996</v>
      </c>
      <c r="L77" s="629">
        <f>(38.7+4.1+0.2)/100*5.1/100</f>
        <v>2.1930000000000002E-2</v>
      </c>
      <c r="M77" s="629">
        <f>(44.8+0.3)/100*5.1/100</f>
        <v>2.3000999999999997E-2</v>
      </c>
      <c r="N77" s="629">
        <v>0</v>
      </c>
      <c r="O77" s="630">
        <f t="shared" ref="O77" si="63">SUM(K77:N77)</f>
        <v>0.99993100000000001</v>
      </c>
      <c r="P77" s="1028"/>
    </row>
    <row r="78" spans="2:16" hidden="1" outlineLevel="1" x14ac:dyDescent="0.2">
      <c r="B78" s="425" t="s">
        <v>356</v>
      </c>
      <c r="C78" s="426"/>
      <c r="D78" s="426" t="s">
        <v>286</v>
      </c>
      <c r="E78" s="426"/>
      <c r="F78" s="426"/>
      <c r="G78" s="426"/>
      <c r="I78" s="608">
        <f>410*$R$1</f>
        <v>309.95999999999998</v>
      </c>
      <c r="J78" s="608">
        <f>710*$R$1</f>
        <v>536.76</v>
      </c>
      <c r="K78" s="629">
        <v>0.94899999999999995</v>
      </c>
      <c r="L78" s="629">
        <f>(38.7+4.1+0.2)/100*5.1/100</f>
        <v>2.1930000000000002E-2</v>
      </c>
      <c r="M78" s="629">
        <f>(44.8+0.3)/100*5.1/100</f>
        <v>2.3000999999999997E-2</v>
      </c>
      <c r="N78" s="629">
        <f>(11.7)/100*5.1/100</f>
        <v>5.9669999999999992E-3</v>
      </c>
      <c r="O78" s="630">
        <f t="shared" ref="O78" si="64">SUM(K78:N78)</f>
        <v>0.99989799999999995</v>
      </c>
    </row>
    <row r="79" spans="2:16" ht="25.5" hidden="1" outlineLevel="1" x14ac:dyDescent="0.2">
      <c r="B79" s="425" t="s">
        <v>357</v>
      </c>
      <c r="C79" s="426"/>
      <c r="D79" s="426" t="s">
        <v>286</v>
      </c>
      <c r="E79" s="426" t="s">
        <v>286</v>
      </c>
      <c r="F79" s="426"/>
      <c r="G79" s="426"/>
      <c r="I79" s="608">
        <f>580*$R$1</f>
        <v>438.48</v>
      </c>
      <c r="J79" s="608">
        <f>860*$R$1</f>
        <v>650.16</v>
      </c>
      <c r="K79" s="629">
        <v>0.92500000000000004</v>
      </c>
      <c r="L79" s="629">
        <f>(44.1+0+19.9)/100*7.5/100</f>
        <v>4.8000000000000001E-2</v>
      </c>
      <c r="M79" s="629">
        <f>(31.6+0.6)/100*7.5/100</f>
        <v>2.4150000000000001E-2</v>
      </c>
      <c r="N79" s="629">
        <f>(3.8)/100*7.5/100</f>
        <v>2.8499999999999997E-3</v>
      </c>
      <c r="O79" s="630">
        <f t="shared" ref="O79" si="65">SUM(K79:N79)</f>
        <v>1</v>
      </c>
    </row>
    <row r="80" spans="2:16" hidden="1" outlineLevel="1" x14ac:dyDescent="0.2">
      <c r="B80" s="425" t="s">
        <v>358</v>
      </c>
      <c r="C80" s="426"/>
      <c r="D80" s="426"/>
      <c r="E80" s="426"/>
      <c r="F80" s="426" t="s">
        <v>286</v>
      </c>
      <c r="G80" s="426"/>
      <c r="I80" s="608">
        <f>1320*$R$1</f>
        <v>997.92</v>
      </c>
      <c r="J80" s="608">
        <f>2180*$R$1</f>
        <v>1648.08</v>
      </c>
      <c r="K80" s="629">
        <v>0.78200000000000003</v>
      </c>
      <c r="L80" s="629">
        <f>(23.4+29.5+17.4)/100*21.9/100</f>
        <v>0.15395699999999998</v>
      </c>
      <c r="M80" s="629">
        <f>(22.2+3.7)/100*21.9/100</f>
        <v>5.6720999999999994E-2</v>
      </c>
      <c r="N80" s="629">
        <f>(1.8+0.4+0.8+0.5)/100*21.9/100</f>
        <v>7.6650000000000008E-3</v>
      </c>
      <c r="O80" s="630">
        <f t="shared" ref="O80" si="66">SUM(K80:N80)</f>
        <v>1.000343</v>
      </c>
      <c r="P80" s="1028"/>
    </row>
    <row r="81" spans="1:16" hidden="1" outlineLevel="1" x14ac:dyDescent="0.2">
      <c r="B81" s="425" t="s">
        <v>830</v>
      </c>
      <c r="C81" s="426"/>
      <c r="D81" s="426"/>
      <c r="E81" s="426"/>
      <c r="F81" s="426" t="s">
        <v>286</v>
      </c>
      <c r="G81" s="426" t="s">
        <v>286</v>
      </c>
      <c r="I81" s="608">
        <f>1320*$R$1</f>
        <v>997.92</v>
      </c>
      <c r="J81" s="608">
        <f>2180*$R$1</f>
        <v>1648.08</v>
      </c>
      <c r="K81" s="629">
        <v>0.72899999999999998</v>
      </c>
      <c r="L81" s="629">
        <f>(23.4+29.5+17.4)/100*21.9/100</f>
        <v>0.15395699999999998</v>
      </c>
      <c r="M81" s="629">
        <f>(22.2+3.7)/100*21.9/100</f>
        <v>5.6720999999999994E-2</v>
      </c>
      <c r="N81" s="629">
        <v>0.06</v>
      </c>
      <c r="O81" s="630">
        <f t="shared" ref="O81" si="67">SUM(K81:N81)</f>
        <v>0.99967800000000007</v>
      </c>
      <c r="P81" s="1028"/>
    </row>
    <row r="82" spans="1:16" hidden="1" outlineLevel="1" x14ac:dyDescent="0.2">
      <c r="B82" s="425" t="s">
        <v>831</v>
      </c>
      <c r="C82" s="426"/>
      <c r="D82" s="426"/>
      <c r="E82" s="426"/>
      <c r="F82" s="426" t="s">
        <v>286</v>
      </c>
      <c r="G82" s="426" t="s">
        <v>286</v>
      </c>
      <c r="I82" s="608"/>
      <c r="J82" s="608"/>
      <c r="K82" s="629"/>
      <c r="L82" s="629"/>
      <c r="M82" s="629"/>
      <c r="N82" s="629"/>
      <c r="O82" s="630"/>
    </row>
    <row r="83" spans="1:16" ht="15.75" collapsed="1" x14ac:dyDescent="0.2">
      <c r="B83" s="427" t="s">
        <v>694</v>
      </c>
      <c r="C83" s="428"/>
      <c r="D83" s="428"/>
      <c r="E83" s="428"/>
      <c r="F83" s="428"/>
      <c r="G83" s="428"/>
      <c r="I83" s="633">
        <f>AVERAGE(I84:I92)</f>
        <v>1455.7200000000003</v>
      </c>
      <c r="J83" s="633">
        <f>AVERAGE(J84:J92)</f>
        <v>2563.6800000000003</v>
      </c>
      <c r="K83" s="634">
        <f>AVERAGE(K84:K92)</f>
        <v>0.77600000000000002</v>
      </c>
      <c r="L83" s="634">
        <f t="shared" ref="L83:N83" si="68">AVERAGE(L84:L92)</f>
        <v>0.11199066666666664</v>
      </c>
      <c r="M83" s="634">
        <f t="shared" si="68"/>
        <v>8.7076888888888898E-2</v>
      </c>
      <c r="N83" s="634">
        <f t="shared" si="68"/>
        <v>2.5061555555555556E-2</v>
      </c>
      <c r="O83" s="630"/>
    </row>
    <row r="84" spans="1:16" hidden="1" outlineLevel="1" x14ac:dyDescent="0.2">
      <c r="B84" s="425" t="s">
        <v>359</v>
      </c>
      <c r="C84" s="426"/>
      <c r="D84" s="426" t="s">
        <v>286</v>
      </c>
      <c r="E84" s="426" t="s">
        <v>286</v>
      </c>
      <c r="F84" s="426"/>
      <c r="G84" s="426"/>
      <c r="I84" s="608">
        <f>1820*$R$1</f>
        <v>1375.92</v>
      </c>
      <c r="J84" s="608">
        <f>3570*$R$1</f>
        <v>2698.92</v>
      </c>
      <c r="K84" s="629">
        <v>0.745</v>
      </c>
      <c r="L84" s="629">
        <f>(13.5+19.7+10.9)/100*25.5/100</f>
        <v>0.112455</v>
      </c>
      <c r="M84" s="629">
        <f>(37.2+7.8)/100*25.5/100</f>
        <v>0.11474999999999999</v>
      </c>
      <c r="N84" s="629">
        <f>(1.6+5.2+2.8+1.3)/100*25.5/100</f>
        <v>2.7795000000000004E-2</v>
      </c>
      <c r="O84" s="630">
        <f t="shared" ref="O84" si="69">SUM(K84:N84)</f>
        <v>1</v>
      </c>
      <c r="P84" s="1028"/>
    </row>
    <row r="85" spans="1:16" hidden="1" outlineLevel="1" x14ac:dyDescent="0.2">
      <c r="B85" s="425" t="s">
        <v>1081</v>
      </c>
      <c r="C85" s="426"/>
      <c r="D85" s="426"/>
      <c r="E85" s="426"/>
      <c r="F85" s="426" t="s">
        <v>286</v>
      </c>
      <c r="G85" s="426"/>
      <c r="I85" s="608">
        <f>1620*$R$1</f>
        <v>1224.72</v>
      </c>
      <c r="J85" s="608">
        <f>2630*$R$1</f>
        <v>1988.28</v>
      </c>
      <c r="K85" s="629">
        <v>0.79</v>
      </c>
      <c r="L85" s="629">
        <f>(20.1+25.9+2.2)/100*21/100</f>
        <v>0.10122000000000002</v>
      </c>
      <c r="M85" s="629">
        <f>(39.1+3.4)/100*21/100</f>
        <v>8.9249999999999996E-2</v>
      </c>
      <c r="N85" s="629">
        <f>(7+1.9+0.5+0.1)/100*21/100</f>
        <v>1.9950000000000002E-2</v>
      </c>
      <c r="O85" s="630">
        <f t="shared" ref="O85" si="70">SUM(K85:N85)</f>
        <v>1.0004199999999999</v>
      </c>
    </row>
    <row r="86" spans="1:16" hidden="1" outlineLevel="1" x14ac:dyDescent="0.2">
      <c r="B86" s="425" t="s">
        <v>737</v>
      </c>
      <c r="C86" s="426"/>
      <c r="D86" s="426"/>
      <c r="E86" s="426"/>
      <c r="F86" s="426" t="s">
        <v>286</v>
      </c>
      <c r="G86" s="426"/>
      <c r="I86" s="608">
        <f>2240*$R$1</f>
        <v>1693.44</v>
      </c>
      <c r="J86" s="608">
        <f>3010*$R$1</f>
        <v>2275.56</v>
      </c>
      <c r="K86" s="629">
        <v>0.85899999999999999</v>
      </c>
      <c r="L86" s="629">
        <f>(16.8+33.6+8.3)/100*14.2/100</f>
        <v>8.3353999999999998E-2</v>
      </c>
      <c r="M86" s="629">
        <f>(33.1+2.7)/100*14.2/100</f>
        <v>5.0836000000000006E-2</v>
      </c>
      <c r="N86" s="629">
        <f>(3.9+0.1+0.7)/100*14.2/100</f>
        <v>6.6740000000000002E-3</v>
      </c>
      <c r="O86" s="630">
        <f t="shared" ref="O86" si="71">SUM(K86:N86)</f>
        <v>0.99986399999999998</v>
      </c>
    </row>
    <row r="87" spans="1:16" hidden="1" outlineLevel="1" x14ac:dyDescent="0.2">
      <c r="B87" s="425" t="s">
        <v>736</v>
      </c>
      <c r="C87" s="426"/>
      <c r="D87" s="426"/>
      <c r="E87" s="426"/>
      <c r="F87" s="426" t="s">
        <v>286</v>
      </c>
      <c r="G87" s="426"/>
      <c r="I87" s="608">
        <f>1710*$R$1</f>
        <v>1292.76</v>
      </c>
      <c r="J87" s="608">
        <f>2540*$R$1</f>
        <v>1920.24</v>
      </c>
      <c r="K87" s="629">
        <v>0.88300000000000001</v>
      </c>
      <c r="L87" s="629">
        <f>(24.2+19.9+30.8)/100*11.8/100</f>
        <v>8.8381999999999988E-2</v>
      </c>
      <c r="M87" s="629">
        <f>(19.3+2.4)/100*11.8/100</f>
        <v>2.5606E-2</v>
      </c>
      <c r="N87" s="629">
        <f>(2.5)/100*11.8/100</f>
        <v>2.9500000000000004E-3</v>
      </c>
      <c r="O87" s="630">
        <f t="shared" ref="O87" si="72">SUM(K87:N87)</f>
        <v>0.99993799999999999</v>
      </c>
    </row>
    <row r="88" spans="1:16" hidden="1" outlineLevel="1" x14ac:dyDescent="0.2">
      <c r="B88" s="425" t="s">
        <v>360</v>
      </c>
      <c r="C88" s="426"/>
      <c r="D88" s="426"/>
      <c r="E88" s="426"/>
      <c r="F88" s="426" t="s">
        <v>286</v>
      </c>
      <c r="G88" s="426"/>
      <c r="I88" s="608">
        <f>1820*$R$1</f>
        <v>1375.92</v>
      </c>
      <c r="J88" s="608">
        <f>3570*$R$1</f>
        <v>2698.92</v>
      </c>
      <c r="K88" s="629">
        <v>0.745</v>
      </c>
      <c r="L88" s="629">
        <f>(13.5+19.7+10.9)/100*25.5/100</f>
        <v>0.112455</v>
      </c>
      <c r="M88" s="629">
        <f>(37.2+7.8)/100*25.5/100</f>
        <v>0.11474999999999999</v>
      </c>
      <c r="N88" s="629">
        <f>(1.6+5.2+2.8+1.3)/100*25.5/100</f>
        <v>2.7795000000000004E-2</v>
      </c>
      <c r="O88" s="630">
        <f t="shared" ref="O88" si="73">SUM(K88:N88)</f>
        <v>1</v>
      </c>
      <c r="P88" s="1028"/>
    </row>
    <row r="89" spans="1:16" hidden="1" outlineLevel="1" x14ac:dyDescent="0.2">
      <c r="B89" s="425" t="s">
        <v>738</v>
      </c>
      <c r="C89" s="426"/>
      <c r="D89" s="426"/>
      <c r="E89" s="426" t="s">
        <v>286</v>
      </c>
      <c r="F89" s="426" t="s">
        <v>286</v>
      </c>
      <c r="G89" s="426"/>
      <c r="I89" s="608">
        <f>1820*$R$1</f>
        <v>1375.92</v>
      </c>
      <c r="J89" s="608">
        <f>3570*$R$1</f>
        <v>2698.92</v>
      </c>
      <c r="K89" s="629">
        <v>0.745</v>
      </c>
      <c r="L89" s="629">
        <f>(13.5+19.7+10.9)/100*25.5/100</f>
        <v>0.112455</v>
      </c>
      <c r="M89" s="629">
        <f>(37.2+7.8)/100*25.5/100</f>
        <v>0.11474999999999999</v>
      </c>
      <c r="N89" s="629">
        <f>(1.6+5.2+2.8+1.3)/100*25.5/100</f>
        <v>2.7795000000000004E-2</v>
      </c>
      <c r="O89" s="630">
        <f t="shared" ref="O89" si="74">SUM(K89:N89)</f>
        <v>1</v>
      </c>
    </row>
    <row r="90" spans="1:16" hidden="1" outlineLevel="1" x14ac:dyDescent="0.2">
      <c r="B90" s="425" t="s">
        <v>361</v>
      </c>
      <c r="C90" s="426"/>
      <c r="D90" s="426"/>
      <c r="E90" s="426"/>
      <c r="F90" s="426" t="s">
        <v>286</v>
      </c>
      <c r="G90" s="426" t="s">
        <v>286</v>
      </c>
      <c r="I90" s="608">
        <f>1820*$R$1</f>
        <v>1375.92</v>
      </c>
      <c r="J90" s="608">
        <f>3570*$R$1</f>
        <v>2698.92</v>
      </c>
      <c r="K90" s="629">
        <v>0.745</v>
      </c>
      <c r="L90" s="629">
        <f>(13.5+19.7+10.9)/100*25.5/100</f>
        <v>0.112455</v>
      </c>
      <c r="M90" s="629">
        <f>(37.2+7.8)/100*25.5/100</f>
        <v>0.11474999999999999</v>
      </c>
      <c r="N90" s="629">
        <f>(1.6+5.2+2.8+1.3)/100*25.5/100</f>
        <v>2.7795000000000004E-2</v>
      </c>
      <c r="O90" s="630">
        <f t="shared" ref="O90" si="75">SUM(K90:N90)</f>
        <v>1</v>
      </c>
    </row>
    <row r="91" spans="1:16" hidden="1" outlineLevel="1" x14ac:dyDescent="0.2">
      <c r="B91" s="425" t="s">
        <v>739</v>
      </c>
      <c r="C91" s="426"/>
      <c r="D91" s="426"/>
      <c r="E91" s="426"/>
      <c r="F91" s="426" t="s">
        <v>286</v>
      </c>
      <c r="G91" s="426" t="s">
        <v>286</v>
      </c>
      <c r="I91" s="608">
        <f>2240*$R$1</f>
        <v>1693.44</v>
      </c>
      <c r="J91" s="608">
        <f>4030*$R$1</f>
        <v>3046.68</v>
      </c>
      <c r="K91" s="629">
        <v>0.73599999999999999</v>
      </c>
      <c r="L91" s="629">
        <f>(19.4+10.5+23.9)/100*26.5/100</f>
        <v>0.14256999999999997</v>
      </c>
      <c r="M91" s="629">
        <f>(24.1+5.9)/100*26.5/100</f>
        <v>7.9499999999999987E-2</v>
      </c>
      <c r="N91" s="629">
        <f>(3.3+12.7)/100*26.5/100</f>
        <v>4.24E-2</v>
      </c>
      <c r="O91" s="630">
        <f t="shared" ref="O91" si="76">SUM(K91:N91)</f>
        <v>1.00047</v>
      </c>
    </row>
    <row r="92" spans="1:16" hidden="1" outlineLevel="1" x14ac:dyDescent="0.2">
      <c r="B92" s="609" t="s">
        <v>362</v>
      </c>
      <c r="C92" s="610"/>
      <c r="D92" s="610"/>
      <c r="E92" s="610"/>
      <c r="F92" s="610" t="s">
        <v>286</v>
      </c>
      <c r="G92" s="610" t="s">
        <v>286</v>
      </c>
      <c r="I92" s="608">
        <f>2240*$R$1</f>
        <v>1693.44</v>
      </c>
      <c r="J92" s="608">
        <f>4030*$R$1</f>
        <v>3046.68</v>
      </c>
      <c r="K92" s="629">
        <v>0.73599999999999999</v>
      </c>
      <c r="L92" s="629">
        <f>(19.4+10.5+23.9)/100*26.5/100</f>
        <v>0.14256999999999997</v>
      </c>
      <c r="M92" s="629">
        <f>(24.1+5.9)/100*26.5/100</f>
        <v>7.9499999999999987E-2</v>
      </c>
      <c r="N92" s="629">
        <f>(3.3+12.7)/100*26.5/100</f>
        <v>4.24E-2</v>
      </c>
      <c r="O92" s="630">
        <f t="shared" ref="O92" si="77">SUM(K92:N92)</f>
        <v>1.00047</v>
      </c>
      <c r="P92" s="1028"/>
    </row>
    <row r="94" spans="1:16" ht="15.75" x14ac:dyDescent="0.25">
      <c r="A94" s="623"/>
      <c r="B94" s="624" t="s">
        <v>562</v>
      </c>
      <c r="C94" s="624"/>
      <c r="D94" s="624"/>
      <c r="E94" s="624"/>
      <c r="F94" s="624"/>
      <c r="G94" s="624"/>
      <c r="H94" s="625"/>
      <c r="I94" s="623"/>
      <c r="J94" s="623"/>
      <c r="K94" s="625"/>
      <c r="L94" s="625"/>
      <c r="M94" s="625"/>
      <c r="N94" s="625"/>
      <c r="O94" s="625"/>
      <c r="P94" s="625"/>
    </row>
    <row r="95" spans="1:16" ht="15.75" x14ac:dyDescent="0.25">
      <c r="A95" s="333" t="s">
        <v>6</v>
      </c>
      <c r="B95" s="334" t="s">
        <v>140</v>
      </c>
      <c r="C95" s="335"/>
      <c r="D95" s="335"/>
      <c r="E95" s="335"/>
      <c r="F95" s="417" t="s">
        <v>102</v>
      </c>
      <c r="G95" s="336">
        <v>6</v>
      </c>
      <c r="I95" s="624" t="s">
        <v>555</v>
      </c>
      <c r="J95" s="626"/>
      <c r="K95" s="626"/>
      <c r="L95" s="626"/>
    </row>
    <row r="96" spans="1:16" ht="15.75" x14ac:dyDescent="0.25">
      <c r="A96" s="337" t="s">
        <v>7</v>
      </c>
      <c r="B96" s="338" t="s">
        <v>134</v>
      </c>
      <c r="C96" s="339"/>
      <c r="D96" s="339"/>
      <c r="E96" s="339"/>
      <c r="F96" s="418" t="s">
        <v>103</v>
      </c>
      <c r="G96" s="340">
        <v>4</v>
      </c>
      <c r="I96" s="350" t="s">
        <v>104</v>
      </c>
      <c r="J96" s="350"/>
      <c r="K96" s="350" t="s">
        <v>242</v>
      </c>
      <c r="L96" s="350"/>
      <c r="M96" s="350"/>
      <c r="N96" s="350"/>
      <c r="O96" s="350"/>
    </row>
    <row r="97" spans="1:15" ht="15.75" x14ac:dyDescent="0.25">
      <c r="A97" s="337" t="s">
        <v>8</v>
      </c>
      <c r="B97" s="338" t="s">
        <v>335</v>
      </c>
      <c r="C97" s="339"/>
      <c r="D97" s="339"/>
      <c r="E97" s="339"/>
      <c r="F97" s="418" t="s">
        <v>103</v>
      </c>
      <c r="G97" s="340">
        <v>6</v>
      </c>
      <c r="I97" s="351" t="s">
        <v>105</v>
      </c>
      <c r="J97" s="351"/>
      <c r="K97" s="351" t="s">
        <v>243</v>
      </c>
      <c r="L97" s="351"/>
      <c r="M97" s="351"/>
      <c r="N97" s="351"/>
      <c r="O97" s="351"/>
    </row>
    <row r="98" spans="1:15" ht="15.75" x14ac:dyDescent="0.25">
      <c r="A98" s="337" t="s">
        <v>142</v>
      </c>
      <c r="B98" s="338" t="s">
        <v>336</v>
      </c>
      <c r="C98" s="339"/>
      <c r="D98" s="339"/>
      <c r="E98" s="339"/>
      <c r="F98" s="418" t="s">
        <v>102</v>
      </c>
      <c r="G98" s="340">
        <v>3</v>
      </c>
      <c r="I98" s="351" t="s">
        <v>106</v>
      </c>
      <c r="J98" s="351"/>
      <c r="K98" s="351" t="s">
        <v>244</v>
      </c>
      <c r="L98" s="351"/>
      <c r="M98" s="351"/>
      <c r="N98" s="351"/>
      <c r="O98" s="351"/>
    </row>
    <row r="99" spans="1:15" ht="15.75" x14ac:dyDescent="0.25">
      <c r="A99" s="337" t="s">
        <v>143</v>
      </c>
      <c r="B99" s="338" t="s">
        <v>141</v>
      </c>
      <c r="C99" s="339"/>
      <c r="D99" s="339"/>
      <c r="E99" s="339"/>
      <c r="F99" s="418" t="s">
        <v>102</v>
      </c>
      <c r="G99" s="340">
        <v>4</v>
      </c>
      <c r="I99" s="351" t="s">
        <v>107</v>
      </c>
      <c r="J99" s="351"/>
      <c r="K99" s="351" t="s">
        <v>245</v>
      </c>
      <c r="L99" s="351"/>
      <c r="M99" s="351"/>
      <c r="N99" s="351"/>
      <c r="O99" s="351"/>
    </row>
    <row r="100" spans="1:15" ht="15.75" x14ac:dyDescent="0.25">
      <c r="A100" s="341" t="s">
        <v>9</v>
      </c>
      <c r="B100" s="342" t="s">
        <v>337</v>
      </c>
      <c r="C100" s="343"/>
      <c r="D100" s="343"/>
      <c r="E100" s="343"/>
      <c r="F100" s="419" t="s">
        <v>102</v>
      </c>
      <c r="G100" s="344">
        <v>4</v>
      </c>
      <c r="I100" s="352" t="s">
        <v>108</v>
      </c>
      <c r="J100" s="352"/>
      <c r="K100" s="352" t="s">
        <v>246</v>
      </c>
      <c r="L100" s="352"/>
      <c r="M100" s="352"/>
      <c r="N100" s="352"/>
      <c r="O100" s="352"/>
    </row>
    <row r="101" spans="1:15" ht="15.75" x14ac:dyDescent="0.25">
      <c r="A101" s="106"/>
      <c r="B101" s="106"/>
      <c r="C101" s="106"/>
      <c r="D101" s="106"/>
      <c r="E101" s="106"/>
      <c r="F101" s="415" t="s">
        <v>144</v>
      </c>
      <c r="G101" s="328">
        <f>SUM(G95:G100)</f>
        <v>27</v>
      </c>
    </row>
    <row r="102" spans="1:15" ht="15.75" x14ac:dyDescent="0.2">
      <c r="B102" s="67" t="s">
        <v>271</v>
      </c>
      <c r="C102" s="65"/>
      <c r="D102" s="65"/>
      <c r="E102" s="65"/>
      <c r="F102" s="380" t="str">
        <f>IF(G101&lt;11,$I$96,IF(G101&lt;19,$I$97,IF(G101&lt;27,$I$98,IF(G101&lt;35,$I$99,IF(G101&lt;43,$I$100,"NAPAKA")))))</f>
        <v>Cenovni razred IV</v>
      </c>
      <c r="G102" s="65"/>
    </row>
    <row r="108" spans="1:15" ht="51" collapsed="1" x14ac:dyDescent="0.2">
      <c r="B108" s="389" t="s">
        <v>3</v>
      </c>
      <c r="C108" s="500" t="s">
        <v>281</v>
      </c>
      <c r="D108" s="500" t="s">
        <v>282</v>
      </c>
      <c r="E108" s="500" t="s">
        <v>283</v>
      </c>
      <c r="F108" s="500" t="s">
        <v>284</v>
      </c>
      <c r="G108" s="500" t="s">
        <v>285</v>
      </c>
      <c r="I108" s="621" t="s">
        <v>772</v>
      </c>
      <c r="J108" s="621" t="s">
        <v>773</v>
      </c>
    </row>
    <row r="109" spans="1:15" ht="25.5" hidden="1" outlineLevel="1" x14ac:dyDescent="0.2">
      <c r="B109" s="433" t="s">
        <v>364</v>
      </c>
      <c r="C109" s="435" t="s">
        <v>286</v>
      </c>
      <c r="D109" s="435"/>
      <c r="E109" s="435"/>
      <c r="F109" s="435"/>
      <c r="G109" s="435"/>
    </row>
    <row r="110" spans="1:15" ht="25.5" hidden="1" outlineLevel="1" x14ac:dyDescent="0.2">
      <c r="B110" s="425" t="s">
        <v>365</v>
      </c>
      <c r="C110" s="426"/>
      <c r="D110" s="426" t="s">
        <v>286</v>
      </c>
      <c r="E110" s="426"/>
      <c r="F110" s="426"/>
      <c r="G110" s="426"/>
    </row>
    <row r="111" spans="1:15" ht="38.25" hidden="1" outlineLevel="1" x14ac:dyDescent="0.2">
      <c r="B111" s="425" t="s">
        <v>366</v>
      </c>
      <c r="C111" s="426"/>
      <c r="D111" s="426"/>
      <c r="E111" s="426" t="s">
        <v>286</v>
      </c>
      <c r="F111" s="426"/>
      <c r="G111" s="426"/>
    </row>
    <row r="112" spans="1:15" ht="38.25" hidden="1" outlineLevel="1" x14ac:dyDescent="0.2">
      <c r="B112" s="425" t="s">
        <v>367</v>
      </c>
      <c r="C112" s="426"/>
      <c r="D112" s="426"/>
      <c r="E112" s="426"/>
      <c r="F112" s="426" t="s">
        <v>286</v>
      </c>
      <c r="G112" s="426"/>
    </row>
    <row r="113" spans="2:9" ht="25.5" hidden="1" outlineLevel="1" x14ac:dyDescent="0.2">
      <c r="B113" s="425" t="s">
        <v>368</v>
      </c>
      <c r="C113" s="426"/>
      <c r="D113" s="426"/>
      <c r="E113" s="426"/>
      <c r="F113" s="426"/>
      <c r="G113" s="426" t="s">
        <v>286</v>
      </c>
    </row>
    <row r="114" spans="2:9" ht="15.75" x14ac:dyDescent="0.2">
      <c r="B114" s="434" t="s">
        <v>695</v>
      </c>
      <c r="C114" s="428"/>
      <c r="D114" s="428"/>
      <c r="E114" s="428"/>
      <c r="F114" s="428"/>
      <c r="G114" s="428"/>
    </row>
    <row r="115" spans="2:9" outlineLevel="1" x14ac:dyDescent="0.2">
      <c r="B115" s="425" t="s">
        <v>369</v>
      </c>
      <c r="C115" s="426" t="s">
        <v>286</v>
      </c>
      <c r="D115" s="426"/>
      <c r="E115" s="426"/>
      <c r="F115" s="426"/>
      <c r="G115" s="426"/>
    </row>
    <row r="116" spans="2:9" outlineLevel="1" x14ac:dyDescent="0.2">
      <c r="B116" s="425" t="s">
        <v>370</v>
      </c>
      <c r="C116" s="426"/>
      <c r="D116" s="426" t="s">
        <v>286</v>
      </c>
      <c r="E116" s="426"/>
      <c r="F116" s="426"/>
      <c r="G116" s="426"/>
    </row>
    <row r="117" spans="2:9" ht="25.5" outlineLevel="1" x14ac:dyDescent="0.2">
      <c r="B117" s="425" t="s">
        <v>371</v>
      </c>
      <c r="C117" s="426"/>
      <c r="D117" s="426"/>
      <c r="E117" s="426" t="s">
        <v>286</v>
      </c>
      <c r="F117" s="426"/>
      <c r="G117" s="426"/>
    </row>
    <row r="118" spans="2:9" outlineLevel="1" x14ac:dyDescent="0.2">
      <c r="B118" s="425" t="s">
        <v>372</v>
      </c>
      <c r="C118" s="426"/>
      <c r="D118" s="426"/>
      <c r="E118" s="426" t="s">
        <v>286</v>
      </c>
      <c r="F118" s="426"/>
      <c r="G118" s="426"/>
    </row>
    <row r="119" spans="2:9" outlineLevel="1" x14ac:dyDescent="0.2">
      <c r="B119" s="425" t="s">
        <v>373</v>
      </c>
      <c r="C119" s="426"/>
      <c r="D119" s="426"/>
      <c r="E119" s="426"/>
      <c r="F119" s="426" t="s">
        <v>286</v>
      </c>
      <c r="G119" s="426"/>
    </row>
    <row r="120" spans="2:9" outlineLevel="1" x14ac:dyDescent="0.2">
      <c r="B120" s="425" t="s">
        <v>374</v>
      </c>
      <c r="C120" s="426"/>
      <c r="D120" s="426"/>
      <c r="E120" s="426"/>
      <c r="F120" s="426" t="s">
        <v>286</v>
      </c>
      <c r="G120" s="426"/>
    </row>
    <row r="121" spans="2:9" outlineLevel="1" x14ac:dyDescent="0.2">
      <c r="B121" s="425" t="s">
        <v>375</v>
      </c>
      <c r="C121" s="426"/>
      <c r="D121" s="426"/>
      <c r="E121" s="426"/>
      <c r="F121" s="426"/>
      <c r="G121" s="426" t="s">
        <v>286</v>
      </c>
    </row>
    <row r="122" spans="2:9" ht="15.75" collapsed="1" x14ac:dyDescent="0.2">
      <c r="B122" s="434" t="s">
        <v>683</v>
      </c>
      <c r="C122" s="428"/>
      <c r="D122" s="428"/>
      <c r="E122" s="428"/>
      <c r="F122" s="428"/>
      <c r="G122" s="428"/>
    </row>
    <row r="123" spans="2:9" hidden="1" outlineLevel="1" x14ac:dyDescent="0.2">
      <c r="B123" s="425" t="s">
        <v>832</v>
      </c>
      <c r="C123" s="426" t="s">
        <v>286</v>
      </c>
      <c r="D123" s="426"/>
      <c r="E123" s="426"/>
      <c r="F123" s="426"/>
      <c r="G123" s="426"/>
    </row>
    <row r="124" spans="2:9" hidden="1" outlineLevel="1" x14ac:dyDescent="0.2">
      <c r="B124" s="425" t="s">
        <v>833</v>
      </c>
      <c r="C124" s="426"/>
      <c r="D124" s="426" t="s">
        <v>286</v>
      </c>
      <c r="E124" s="426"/>
      <c r="F124" s="426"/>
      <c r="G124" s="426"/>
    </row>
    <row r="125" spans="2:9" ht="25.5" hidden="1" outlineLevel="1" x14ac:dyDescent="0.2">
      <c r="B125" s="425" t="s">
        <v>376</v>
      </c>
      <c r="C125" s="426"/>
      <c r="D125" s="426"/>
      <c r="E125" s="426" t="s">
        <v>286</v>
      </c>
      <c r="F125" s="426" t="s">
        <v>286</v>
      </c>
      <c r="G125" s="426"/>
    </row>
    <row r="126" spans="2:9" hidden="1" outlineLevel="1" x14ac:dyDescent="0.2">
      <c r="B126" s="425" t="s">
        <v>834</v>
      </c>
      <c r="C126" s="426"/>
      <c r="D126" s="426"/>
      <c r="E126" s="426" t="s">
        <v>286</v>
      </c>
      <c r="F126" s="426" t="s">
        <v>286</v>
      </c>
      <c r="G126" s="426"/>
      <c r="I126">
        <v>185</v>
      </c>
    </row>
    <row r="127" spans="2:9" ht="25.5" hidden="1" outlineLevel="1" x14ac:dyDescent="0.2">
      <c r="B127" s="425" t="s">
        <v>377</v>
      </c>
      <c r="C127" s="426"/>
      <c r="D127" s="426"/>
      <c r="E127" s="426"/>
      <c r="F127" s="426" t="s">
        <v>286</v>
      </c>
      <c r="G127" s="426"/>
    </row>
    <row r="128" spans="2:9" ht="25.5" hidden="1" outlineLevel="1" x14ac:dyDescent="0.2">
      <c r="B128" s="425" t="s">
        <v>835</v>
      </c>
      <c r="C128" s="426"/>
      <c r="D128" s="426"/>
      <c r="E128" s="426"/>
      <c r="F128" s="426" t="s">
        <v>286</v>
      </c>
      <c r="G128" s="426"/>
    </row>
    <row r="129" spans="2:7" hidden="1" outlineLevel="1" x14ac:dyDescent="0.2">
      <c r="B129" s="425" t="s">
        <v>378</v>
      </c>
      <c r="C129" s="426"/>
      <c r="D129" s="426"/>
      <c r="E129" s="426"/>
      <c r="F129" s="426"/>
      <c r="G129" s="426" t="s">
        <v>286</v>
      </c>
    </row>
    <row r="130" spans="2:7" ht="15.75" collapsed="1" x14ac:dyDescent="0.2">
      <c r="B130" s="427" t="s">
        <v>684</v>
      </c>
      <c r="C130" s="428"/>
      <c r="D130" s="428"/>
      <c r="E130" s="428"/>
      <c r="F130" s="428"/>
      <c r="G130" s="428"/>
    </row>
    <row r="131" spans="2:7" hidden="1" outlineLevel="1" x14ac:dyDescent="0.2">
      <c r="B131" s="425" t="s">
        <v>836</v>
      </c>
      <c r="C131" s="426" t="s">
        <v>286</v>
      </c>
      <c r="D131" s="426"/>
      <c r="E131" s="426"/>
      <c r="F131" s="426"/>
      <c r="G131" s="426"/>
    </row>
    <row r="132" spans="2:7" ht="25.5" hidden="1" outlineLevel="1" x14ac:dyDescent="0.2">
      <c r="B132" s="425" t="s">
        <v>379</v>
      </c>
      <c r="C132" s="426"/>
      <c r="D132" s="426" t="s">
        <v>286</v>
      </c>
      <c r="E132" s="426"/>
      <c r="F132" s="426"/>
      <c r="G132" s="426"/>
    </row>
    <row r="133" spans="2:7" ht="25.5" hidden="1" outlineLevel="1" x14ac:dyDescent="0.2">
      <c r="B133" s="425" t="s">
        <v>837</v>
      </c>
      <c r="C133" s="426"/>
      <c r="D133" s="426"/>
      <c r="E133" s="426" t="s">
        <v>286</v>
      </c>
      <c r="F133" s="426"/>
      <c r="G133" s="426"/>
    </row>
    <row r="134" spans="2:7" hidden="1" outlineLevel="1" x14ac:dyDescent="0.2">
      <c r="B134" s="425" t="s">
        <v>380</v>
      </c>
      <c r="C134" s="426"/>
      <c r="D134" s="426"/>
      <c r="E134" s="426" t="s">
        <v>286</v>
      </c>
      <c r="F134" s="426"/>
      <c r="G134" s="426"/>
    </row>
    <row r="135" spans="2:7" hidden="1" outlineLevel="1" x14ac:dyDescent="0.2">
      <c r="B135" s="425" t="s">
        <v>381</v>
      </c>
      <c r="C135" s="426"/>
      <c r="D135" s="426"/>
      <c r="E135" s="426" t="s">
        <v>286</v>
      </c>
      <c r="F135" s="426" t="s">
        <v>286</v>
      </c>
      <c r="G135" s="426"/>
    </row>
    <row r="136" spans="2:7" hidden="1" outlineLevel="1" x14ac:dyDescent="0.2">
      <c r="B136" s="425" t="s">
        <v>838</v>
      </c>
      <c r="C136" s="426"/>
      <c r="D136" s="426"/>
      <c r="E136" s="426" t="s">
        <v>286</v>
      </c>
      <c r="F136" s="426" t="s">
        <v>286</v>
      </c>
      <c r="G136" s="426"/>
    </row>
    <row r="137" spans="2:7" ht="25.5" hidden="1" outlineLevel="1" x14ac:dyDescent="0.2">
      <c r="B137" s="425" t="s">
        <v>382</v>
      </c>
      <c r="C137" s="426"/>
      <c r="D137" s="426"/>
      <c r="E137" s="426"/>
      <c r="F137" s="426" t="s">
        <v>286</v>
      </c>
      <c r="G137" s="426"/>
    </row>
    <row r="138" spans="2:7" ht="25.5" hidden="1" outlineLevel="1" x14ac:dyDescent="0.2">
      <c r="B138" s="425" t="s">
        <v>383</v>
      </c>
      <c r="C138" s="426"/>
      <c r="D138" s="426"/>
      <c r="E138" s="426"/>
      <c r="F138" s="426"/>
      <c r="G138" s="426" t="s">
        <v>286</v>
      </c>
    </row>
    <row r="139" spans="2:7" ht="15.75" collapsed="1" x14ac:dyDescent="0.2">
      <c r="B139" s="427" t="s">
        <v>685</v>
      </c>
      <c r="C139" s="428"/>
      <c r="D139" s="428"/>
      <c r="E139" s="428"/>
      <c r="F139" s="428"/>
      <c r="G139" s="428"/>
    </row>
    <row r="140" spans="2:7" hidden="1" outlineLevel="1" x14ac:dyDescent="0.2">
      <c r="B140" s="425" t="s">
        <v>384</v>
      </c>
      <c r="C140" s="426" t="s">
        <v>286</v>
      </c>
      <c r="D140" s="426"/>
      <c r="E140" s="426"/>
      <c r="F140" s="426"/>
      <c r="G140" s="426"/>
    </row>
    <row r="141" spans="2:7" hidden="1" outlineLevel="1" x14ac:dyDescent="0.2">
      <c r="B141" s="425" t="s">
        <v>385</v>
      </c>
      <c r="C141" s="426"/>
      <c r="D141" s="426" t="s">
        <v>286</v>
      </c>
      <c r="E141" s="426"/>
      <c r="F141" s="426"/>
      <c r="G141" s="426"/>
    </row>
    <row r="142" spans="2:7" ht="25.5" hidden="1" outlineLevel="1" x14ac:dyDescent="0.2">
      <c r="B142" s="425" t="s">
        <v>839</v>
      </c>
      <c r="C142" s="426"/>
      <c r="D142" s="426"/>
      <c r="E142" s="426" t="s">
        <v>286</v>
      </c>
      <c r="F142" s="426"/>
      <c r="G142" s="426"/>
    </row>
    <row r="143" spans="2:7" ht="38.25" hidden="1" outlineLevel="1" x14ac:dyDescent="0.2">
      <c r="B143" s="425" t="s">
        <v>840</v>
      </c>
      <c r="C143" s="426"/>
      <c r="D143" s="426"/>
      <c r="E143" s="426"/>
      <c r="F143" s="426" t="s">
        <v>286</v>
      </c>
      <c r="G143" s="426"/>
    </row>
    <row r="144" spans="2:7" hidden="1" outlineLevel="1" x14ac:dyDescent="0.2">
      <c r="B144" s="425" t="s">
        <v>386</v>
      </c>
      <c r="C144" s="426"/>
      <c r="D144" s="426"/>
      <c r="E144" s="426"/>
      <c r="F144" s="426" t="s">
        <v>286</v>
      </c>
      <c r="G144" s="426" t="s">
        <v>286</v>
      </c>
    </row>
    <row r="145" spans="2:7" ht="15.75" collapsed="1" x14ac:dyDescent="0.2">
      <c r="B145" s="427" t="s">
        <v>686</v>
      </c>
      <c r="C145" s="428"/>
      <c r="D145" s="428"/>
      <c r="E145" s="428"/>
      <c r="F145" s="428"/>
      <c r="G145" s="428"/>
    </row>
    <row r="146" spans="2:7" hidden="1" outlineLevel="1" x14ac:dyDescent="0.2">
      <c r="B146" s="425" t="s">
        <v>387</v>
      </c>
      <c r="C146" s="426" t="s">
        <v>286</v>
      </c>
      <c r="D146" s="426"/>
      <c r="E146" s="426"/>
      <c r="F146" s="426"/>
      <c r="G146" s="426"/>
    </row>
    <row r="147" spans="2:7" hidden="1" outlineLevel="1" x14ac:dyDescent="0.2">
      <c r="B147" s="425" t="s">
        <v>388</v>
      </c>
      <c r="C147" s="426"/>
      <c r="D147" s="426" t="s">
        <v>286</v>
      </c>
      <c r="E147" s="426"/>
      <c r="F147" s="426"/>
      <c r="G147" s="426"/>
    </row>
    <row r="148" spans="2:7" ht="25.5" hidden="1" outlineLevel="1" x14ac:dyDescent="0.2">
      <c r="B148" s="425" t="s">
        <v>389</v>
      </c>
      <c r="C148" s="426"/>
      <c r="D148" s="426"/>
      <c r="E148" s="426" t="s">
        <v>286</v>
      </c>
      <c r="F148" s="426"/>
      <c r="G148" s="426"/>
    </row>
    <row r="149" spans="2:7" hidden="1" outlineLevel="1" x14ac:dyDescent="0.2">
      <c r="B149" s="425" t="s">
        <v>390</v>
      </c>
      <c r="C149" s="426"/>
      <c r="D149" s="426"/>
      <c r="E149" s="426"/>
      <c r="F149" s="426" t="s">
        <v>286</v>
      </c>
      <c r="G149" s="426"/>
    </row>
    <row r="150" spans="2:7" hidden="1" outlineLevel="1" x14ac:dyDescent="0.2">
      <c r="B150" s="425" t="s">
        <v>391</v>
      </c>
      <c r="C150" s="426"/>
      <c r="D150" s="426"/>
      <c r="E150" s="426" t="s">
        <v>286</v>
      </c>
      <c r="F150" s="426"/>
      <c r="G150" s="426"/>
    </row>
    <row r="151" spans="2:7" hidden="1" outlineLevel="1" x14ac:dyDescent="0.2">
      <c r="B151" s="425" t="s">
        <v>392</v>
      </c>
      <c r="C151" s="426"/>
      <c r="D151" s="426"/>
      <c r="E151" s="426"/>
      <c r="F151" s="426" t="s">
        <v>286</v>
      </c>
      <c r="G151" s="426"/>
    </row>
    <row r="152" spans="2:7" ht="25.5" hidden="1" outlineLevel="1" x14ac:dyDescent="0.2">
      <c r="B152" s="425" t="s">
        <v>841</v>
      </c>
      <c r="C152" s="426"/>
      <c r="D152" s="426"/>
      <c r="E152" s="426"/>
      <c r="F152" s="426" t="s">
        <v>286</v>
      </c>
      <c r="G152" s="426"/>
    </row>
    <row r="153" spans="2:7" ht="25.5" hidden="1" outlineLevel="1" x14ac:dyDescent="0.2">
      <c r="B153" s="425" t="s">
        <v>842</v>
      </c>
      <c r="C153" s="426"/>
      <c r="D153" s="426"/>
      <c r="E153" s="426" t="s">
        <v>286</v>
      </c>
      <c r="F153" s="426"/>
      <c r="G153" s="426"/>
    </row>
    <row r="154" spans="2:7" ht="25.5" hidden="1" outlineLevel="1" x14ac:dyDescent="0.2">
      <c r="B154" s="425" t="s">
        <v>393</v>
      </c>
      <c r="C154" s="426"/>
      <c r="D154" s="426"/>
      <c r="E154" s="426"/>
      <c r="F154" s="426" t="s">
        <v>286</v>
      </c>
      <c r="G154" s="426"/>
    </row>
    <row r="155" spans="2:7" ht="15.75" collapsed="1" x14ac:dyDescent="0.2">
      <c r="B155" s="427" t="s">
        <v>687</v>
      </c>
      <c r="C155" s="428"/>
      <c r="D155" s="428"/>
      <c r="E155" s="428"/>
      <c r="F155" s="428"/>
      <c r="G155" s="428"/>
    </row>
    <row r="156" spans="2:7" hidden="1" outlineLevel="1" x14ac:dyDescent="0.2">
      <c r="B156" s="425" t="s">
        <v>394</v>
      </c>
      <c r="C156" s="426"/>
      <c r="D156" s="426" t="s">
        <v>286</v>
      </c>
      <c r="E156" s="426"/>
      <c r="F156" s="426"/>
      <c r="G156" s="426"/>
    </row>
    <row r="157" spans="2:7" hidden="1" outlineLevel="1" x14ac:dyDescent="0.2">
      <c r="B157" s="425" t="s">
        <v>395</v>
      </c>
      <c r="C157" s="426"/>
      <c r="D157" s="426"/>
      <c r="E157" s="426" t="s">
        <v>286</v>
      </c>
      <c r="F157" s="426" t="s">
        <v>286</v>
      </c>
      <c r="G157" s="426"/>
    </row>
    <row r="158" spans="2:7" hidden="1" outlineLevel="1" x14ac:dyDescent="0.2">
      <c r="B158" s="425" t="s">
        <v>396</v>
      </c>
      <c r="C158" s="426"/>
      <c r="D158" s="426"/>
      <c r="E158" s="426" t="s">
        <v>286</v>
      </c>
      <c r="F158" s="426" t="s">
        <v>286</v>
      </c>
      <c r="G158" s="426"/>
    </row>
    <row r="159" spans="2:7" ht="15.75" collapsed="1" x14ac:dyDescent="0.2">
      <c r="B159" s="427" t="s">
        <v>726</v>
      </c>
      <c r="C159" s="428"/>
      <c r="D159" s="428"/>
      <c r="E159" s="428"/>
      <c r="F159" s="428"/>
      <c r="G159" s="428"/>
    </row>
    <row r="160" spans="2:7" hidden="1" outlineLevel="1" x14ac:dyDescent="0.2">
      <c r="B160" s="425" t="s">
        <v>397</v>
      </c>
      <c r="C160" s="426"/>
      <c r="D160" s="426" t="s">
        <v>286</v>
      </c>
      <c r="E160" s="426"/>
      <c r="F160" s="426"/>
      <c r="G160" s="426"/>
    </row>
    <row r="161" spans="1:18" hidden="1" outlineLevel="1" x14ac:dyDescent="0.2">
      <c r="B161" s="425" t="s">
        <v>398</v>
      </c>
      <c r="C161" s="426"/>
      <c r="D161" s="426" t="s">
        <v>286</v>
      </c>
      <c r="E161" s="426" t="s">
        <v>286</v>
      </c>
      <c r="F161" s="426"/>
      <c r="G161" s="426"/>
    </row>
    <row r="162" spans="1:18" hidden="1" outlineLevel="1" x14ac:dyDescent="0.2">
      <c r="B162" s="425" t="s">
        <v>399</v>
      </c>
      <c r="C162" s="426"/>
      <c r="D162" s="426"/>
      <c r="E162" s="426" t="s">
        <v>286</v>
      </c>
      <c r="F162" s="426" t="s">
        <v>286</v>
      </c>
      <c r="G162" s="426"/>
    </row>
    <row r="163" spans="1:18" hidden="1" outlineLevel="1" x14ac:dyDescent="0.2">
      <c r="B163" s="425" t="s">
        <v>400</v>
      </c>
      <c r="C163" s="426"/>
      <c r="D163" s="426"/>
      <c r="E163" s="426"/>
      <c r="F163" s="426" t="s">
        <v>286</v>
      </c>
      <c r="G163" s="426"/>
    </row>
    <row r="164" spans="1:18" hidden="1" outlineLevel="1" x14ac:dyDescent="0.2">
      <c r="B164" s="425" t="s">
        <v>402</v>
      </c>
      <c r="C164" s="426"/>
      <c r="D164" s="426"/>
      <c r="E164" s="426"/>
      <c r="F164" s="426" t="s">
        <v>286</v>
      </c>
      <c r="G164" s="426" t="s">
        <v>286</v>
      </c>
    </row>
    <row r="165" spans="1:18" ht="15.75" collapsed="1" x14ac:dyDescent="0.2">
      <c r="B165" s="427" t="s">
        <v>681</v>
      </c>
      <c r="C165" s="887"/>
      <c r="D165" s="887"/>
      <c r="E165" s="887"/>
      <c r="F165" s="887"/>
      <c r="G165" s="887"/>
    </row>
    <row r="166" spans="1:18" hidden="1" outlineLevel="1" x14ac:dyDescent="0.2">
      <c r="B166" s="425" t="s">
        <v>401</v>
      </c>
      <c r="C166" s="426"/>
      <c r="D166" s="426" t="s">
        <v>286</v>
      </c>
      <c r="E166" s="426"/>
      <c r="F166" s="426"/>
      <c r="G166" s="426"/>
    </row>
    <row r="167" spans="1:18" ht="15.75" collapsed="1" x14ac:dyDescent="0.2">
      <c r="B167" s="427" t="s">
        <v>696</v>
      </c>
      <c r="C167" s="428"/>
      <c r="D167" s="428"/>
      <c r="E167" s="428"/>
      <c r="F167" s="428"/>
      <c r="G167" s="428"/>
    </row>
    <row r="168" spans="1:18" hidden="1" outlineLevel="1" x14ac:dyDescent="0.2">
      <c r="B168" s="433" t="s">
        <v>403</v>
      </c>
      <c r="C168" s="426"/>
      <c r="D168" s="426"/>
      <c r="E168" s="426"/>
      <c r="F168" s="426" t="s">
        <v>286</v>
      </c>
      <c r="G168" s="426" t="s">
        <v>286</v>
      </c>
    </row>
    <row r="169" spans="1:18" hidden="1" outlineLevel="1" x14ac:dyDescent="0.2">
      <c r="B169" s="425" t="s">
        <v>404</v>
      </c>
      <c r="C169" s="426"/>
      <c r="D169" s="426"/>
      <c r="E169" s="426"/>
      <c r="F169" s="426" t="s">
        <v>286</v>
      </c>
      <c r="G169" s="426" t="s">
        <v>286</v>
      </c>
    </row>
    <row r="170" spans="1:18" ht="25.5" hidden="1" outlineLevel="1" x14ac:dyDescent="0.2">
      <c r="B170" s="425" t="s">
        <v>405</v>
      </c>
      <c r="C170" s="426"/>
      <c r="D170" s="426"/>
      <c r="E170" s="426"/>
      <c r="F170" s="426"/>
      <c r="G170" s="426" t="s">
        <v>286</v>
      </c>
    </row>
    <row r="171" spans="1:18" x14ac:dyDescent="0.2">
      <c r="I171" s="612"/>
      <c r="J171" s="612"/>
    </row>
    <row r="172" spans="1:18" ht="15.75" x14ac:dyDescent="0.25">
      <c r="A172" s="624"/>
      <c r="B172" s="624" t="s">
        <v>563</v>
      </c>
      <c r="C172" s="624"/>
      <c r="D172" s="624"/>
      <c r="E172" s="624"/>
      <c r="F172" s="624"/>
      <c r="G172" s="624"/>
      <c r="H172" s="623"/>
      <c r="I172" s="624" t="s">
        <v>556</v>
      </c>
      <c r="J172" s="623"/>
      <c r="P172" s="623"/>
      <c r="R172" s="626"/>
    </row>
    <row r="173" spans="1:18" ht="15.75" x14ac:dyDescent="0.25">
      <c r="A173" s="333" t="s">
        <v>6</v>
      </c>
      <c r="B173" s="335" t="s">
        <v>134</v>
      </c>
      <c r="C173" s="335"/>
      <c r="D173" s="335"/>
      <c r="E173" s="335"/>
      <c r="F173" s="417" t="s">
        <v>102</v>
      </c>
      <c r="G173" s="336">
        <v>2</v>
      </c>
      <c r="I173" s="350" t="s">
        <v>104</v>
      </c>
      <c r="J173" s="350"/>
      <c r="K173" s="350" t="s">
        <v>242</v>
      </c>
      <c r="L173" s="350"/>
      <c r="M173" s="350"/>
      <c r="N173" s="350"/>
      <c r="O173" s="350"/>
    </row>
    <row r="174" spans="1:18" ht="15.75" x14ac:dyDescent="0.25">
      <c r="A174" s="337" t="s">
        <v>7</v>
      </c>
      <c r="B174" s="339" t="s">
        <v>135</v>
      </c>
      <c r="C174" s="339"/>
      <c r="D174" s="339"/>
      <c r="E174" s="339"/>
      <c r="F174" s="418" t="s">
        <v>102</v>
      </c>
      <c r="G174" s="340">
        <v>2</v>
      </c>
      <c r="I174" s="351" t="s">
        <v>105</v>
      </c>
      <c r="J174" s="351"/>
      <c r="K174" s="351" t="s">
        <v>243</v>
      </c>
      <c r="L174" s="351"/>
      <c r="M174" s="351"/>
      <c r="N174" s="351"/>
      <c r="O174" s="351"/>
    </row>
    <row r="175" spans="1:18" ht="15.75" x14ac:dyDescent="0.25">
      <c r="A175" s="337" t="s">
        <v>8</v>
      </c>
      <c r="B175" s="339" t="s">
        <v>136</v>
      </c>
      <c r="C175" s="339"/>
      <c r="D175" s="339"/>
      <c r="E175" s="339"/>
      <c r="F175" s="418" t="s">
        <v>102</v>
      </c>
      <c r="G175" s="340">
        <v>2</v>
      </c>
      <c r="I175" s="351" t="s">
        <v>106</v>
      </c>
      <c r="J175" s="351"/>
      <c r="K175" s="351" t="s">
        <v>244</v>
      </c>
      <c r="L175" s="351"/>
      <c r="M175" s="351"/>
      <c r="N175" s="351"/>
      <c r="O175" s="351"/>
    </row>
    <row r="176" spans="1:18" ht="15.75" x14ac:dyDescent="0.25">
      <c r="A176" s="337" t="s">
        <v>142</v>
      </c>
      <c r="B176" s="339" t="s">
        <v>137</v>
      </c>
      <c r="C176" s="339"/>
      <c r="D176" s="339"/>
      <c r="E176" s="339"/>
      <c r="F176" s="418" t="s">
        <v>102</v>
      </c>
      <c r="G176" s="340">
        <v>2</v>
      </c>
      <c r="I176" s="351" t="s">
        <v>107</v>
      </c>
      <c r="J176" s="351"/>
      <c r="K176" s="351" t="s">
        <v>245</v>
      </c>
      <c r="L176" s="351"/>
      <c r="M176" s="351"/>
      <c r="N176" s="351"/>
      <c r="O176" s="351"/>
    </row>
    <row r="177" spans="1:25" ht="15.75" x14ac:dyDescent="0.25">
      <c r="A177" s="337" t="s">
        <v>143</v>
      </c>
      <c r="B177" s="339" t="s">
        <v>138</v>
      </c>
      <c r="C177" s="339"/>
      <c r="D177" s="339"/>
      <c r="E177" s="339"/>
      <c r="F177" s="418" t="s">
        <v>103</v>
      </c>
      <c r="G177" s="340">
        <v>3</v>
      </c>
      <c r="I177" s="352" t="s">
        <v>108</v>
      </c>
      <c r="J177" s="352"/>
      <c r="K177" s="352" t="s">
        <v>246</v>
      </c>
      <c r="L177" s="352"/>
      <c r="M177" s="352"/>
      <c r="N177" s="352"/>
      <c r="O177" s="352"/>
    </row>
    <row r="178" spans="1:25" ht="15.75" x14ac:dyDescent="0.25">
      <c r="A178" s="341" t="s">
        <v>9</v>
      </c>
      <c r="B178" s="343" t="s">
        <v>139</v>
      </c>
      <c r="C178" s="343"/>
      <c r="D178" s="343"/>
      <c r="E178" s="343"/>
      <c r="F178" s="419" t="s">
        <v>103</v>
      </c>
      <c r="G178" s="344">
        <v>3</v>
      </c>
    </row>
    <row r="179" spans="1:25" ht="15.75" x14ac:dyDescent="0.25">
      <c r="A179" s="106"/>
      <c r="B179" s="106"/>
      <c r="C179" s="106"/>
      <c r="D179" s="106"/>
      <c r="E179" s="106"/>
      <c r="F179" s="415" t="s">
        <v>144</v>
      </c>
      <c r="G179" s="328">
        <f>SUM(G173:G178)</f>
        <v>14</v>
      </c>
    </row>
    <row r="180" spans="1:25" ht="15.75" x14ac:dyDescent="0.2">
      <c r="B180" s="67" t="s">
        <v>271</v>
      </c>
      <c r="C180" s="65"/>
      <c r="D180" s="65"/>
      <c r="E180" s="65"/>
      <c r="F180" s="380" t="str">
        <f>IF(G179&lt;11,$I$173,IF(G179&lt;19,$I$174,IF(G179&lt;27,$I$175,IF(G179&lt;35,$I$176,IF(G179&lt;43,$I$177,"NAPAKA")))))</f>
        <v>Cenovni razred II</v>
      </c>
      <c r="G180" s="65"/>
    </row>
    <row r="183" spans="1:25" ht="51" x14ac:dyDescent="0.2">
      <c r="B183" s="389" t="s">
        <v>276</v>
      </c>
      <c r="C183" s="500" t="s">
        <v>281</v>
      </c>
      <c r="D183" s="500" t="s">
        <v>282</v>
      </c>
      <c r="E183" s="500" t="s">
        <v>283</v>
      </c>
      <c r="F183" s="500" t="s">
        <v>284</v>
      </c>
      <c r="G183" s="500" t="s">
        <v>285</v>
      </c>
      <c r="I183" s="621" t="s">
        <v>774</v>
      </c>
      <c r="J183" s="621" t="s">
        <v>775</v>
      </c>
    </row>
    <row r="184" spans="1:25" ht="15.75" x14ac:dyDescent="0.2">
      <c r="B184" s="440" t="s">
        <v>697</v>
      </c>
      <c r="C184" s="449"/>
      <c r="D184" s="449"/>
      <c r="E184" s="449"/>
      <c r="F184" s="449"/>
      <c r="G184" s="449"/>
    </row>
    <row r="185" spans="1:25" outlineLevel="1" x14ac:dyDescent="0.2">
      <c r="B185" s="436" t="s">
        <v>406</v>
      </c>
      <c r="C185" s="437" t="s">
        <v>286</v>
      </c>
      <c r="D185" s="438"/>
      <c r="E185" s="438"/>
      <c r="F185" s="438"/>
      <c r="G185" s="438"/>
      <c r="I185" s="886">
        <v>40</v>
      </c>
      <c r="J185" s="886">
        <v>80</v>
      </c>
    </row>
    <row r="186" spans="1:25" outlineLevel="1" x14ac:dyDescent="0.2">
      <c r="B186" s="436" t="s">
        <v>713</v>
      </c>
      <c r="C186" s="437" t="s">
        <v>286</v>
      </c>
      <c r="D186" s="438"/>
      <c r="E186" s="438"/>
      <c r="F186" s="438"/>
      <c r="G186" s="438"/>
      <c r="I186" s="886">
        <v>40</v>
      </c>
      <c r="J186" s="886">
        <v>60</v>
      </c>
    </row>
    <row r="187" spans="1:25" ht="25.5" outlineLevel="1" x14ac:dyDescent="0.2">
      <c r="B187" s="436" t="s">
        <v>660</v>
      </c>
      <c r="C187" s="437" t="s">
        <v>286</v>
      </c>
      <c r="D187" s="437" t="s">
        <v>286</v>
      </c>
      <c r="E187" s="438"/>
      <c r="F187" s="438"/>
      <c r="G187" s="438"/>
      <c r="I187" s="886"/>
      <c r="J187" s="886"/>
    </row>
    <row r="188" spans="1:25" ht="25.5" outlineLevel="1" x14ac:dyDescent="0.2">
      <c r="B188" s="436" t="s">
        <v>661</v>
      </c>
      <c r="C188" s="438"/>
      <c r="D188" s="438"/>
      <c r="E188" s="437" t="s">
        <v>286</v>
      </c>
      <c r="F188" s="438"/>
      <c r="G188" s="438"/>
      <c r="I188" s="886">
        <v>60</v>
      </c>
      <c r="J188" s="886">
        <v>120</v>
      </c>
    </row>
    <row r="189" spans="1:25" ht="25.5" outlineLevel="1" x14ac:dyDescent="0.2">
      <c r="B189" s="436" t="s">
        <v>714</v>
      </c>
      <c r="C189" s="438"/>
      <c r="D189" s="438"/>
      <c r="E189" s="438"/>
      <c r="F189" s="437" t="s">
        <v>286</v>
      </c>
      <c r="G189" s="438"/>
      <c r="I189" s="886">
        <v>60</v>
      </c>
      <c r="J189" s="886">
        <v>120</v>
      </c>
    </row>
    <row r="190" spans="1:25" ht="15.75" outlineLevel="1" x14ac:dyDescent="0.25">
      <c r="B190" s="436" t="s">
        <v>662</v>
      </c>
      <c r="C190" s="438"/>
      <c r="D190" s="437" t="s">
        <v>286</v>
      </c>
      <c r="E190" s="437" t="s">
        <v>286</v>
      </c>
      <c r="F190" s="438"/>
      <c r="G190" s="438"/>
      <c r="I190" s="886">
        <v>60</v>
      </c>
      <c r="J190" s="886">
        <v>120</v>
      </c>
      <c r="Q190" s="80"/>
      <c r="R190" s="80"/>
      <c r="S190" s="20"/>
      <c r="T190" s="20"/>
      <c r="U190" s="47"/>
      <c r="V190" s="20"/>
      <c r="W190" s="20"/>
      <c r="X190" s="20"/>
      <c r="Y190" s="20"/>
    </row>
    <row r="191" spans="1:25" outlineLevel="1" x14ac:dyDescent="0.2">
      <c r="B191" s="436" t="s">
        <v>536</v>
      </c>
      <c r="C191" s="438"/>
      <c r="D191" s="438"/>
      <c r="E191" s="437" t="s">
        <v>286</v>
      </c>
      <c r="F191" s="438"/>
      <c r="G191" s="438"/>
      <c r="I191" s="886">
        <v>60</v>
      </c>
      <c r="J191" s="886">
        <v>120</v>
      </c>
    </row>
    <row r="192" spans="1:25" ht="38.25" outlineLevel="1" x14ac:dyDescent="0.2">
      <c r="B192" s="439" t="s">
        <v>537</v>
      </c>
      <c r="C192" s="438" t="s">
        <v>286</v>
      </c>
      <c r="D192" s="438" t="s">
        <v>286</v>
      </c>
      <c r="E192" s="438"/>
      <c r="F192" s="438"/>
      <c r="G192" s="438"/>
      <c r="I192" s="886">
        <v>60</v>
      </c>
      <c r="J192" s="886">
        <v>120</v>
      </c>
      <c r="T192" s="101"/>
      <c r="U192" s="101"/>
      <c r="V192" s="101"/>
      <c r="W192" s="101"/>
      <c r="X192" s="101"/>
      <c r="Y192" s="101"/>
    </row>
    <row r="193" spans="2:25" outlineLevel="1" x14ac:dyDescent="0.2">
      <c r="B193" s="436" t="s">
        <v>670</v>
      </c>
      <c r="C193" s="438"/>
      <c r="D193" s="437"/>
      <c r="E193" s="437"/>
      <c r="F193" s="438" t="s">
        <v>286</v>
      </c>
      <c r="G193" s="438"/>
      <c r="I193" s="886">
        <v>60</v>
      </c>
      <c r="J193" s="886">
        <v>120</v>
      </c>
    </row>
    <row r="194" spans="2:25" ht="16.5" collapsed="1" x14ac:dyDescent="0.2">
      <c r="B194" s="441" t="s">
        <v>698</v>
      </c>
      <c r="C194" s="450"/>
      <c r="D194" s="450"/>
      <c r="E194" s="450"/>
      <c r="F194" s="450"/>
      <c r="G194" s="450"/>
      <c r="I194" s="886"/>
      <c r="J194" s="886"/>
      <c r="T194" s="101"/>
      <c r="U194" s="107"/>
      <c r="V194" s="101"/>
      <c r="W194" s="101"/>
      <c r="X194" s="101"/>
      <c r="Y194" s="101"/>
    </row>
    <row r="195" spans="2:25" ht="16.5" hidden="1" outlineLevel="1" x14ac:dyDescent="0.2">
      <c r="B195" s="436" t="s">
        <v>666</v>
      </c>
      <c r="C195" s="438"/>
      <c r="D195" s="438" t="s">
        <v>286</v>
      </c>
      <c r="E195" s="438" t="s">
        <v>286</v>
      </c>
      <c r="F195" s="437"/>
      <c r="G195" s="438"/>
      <c r="I195" s="886">
        <v>60</v>
      </c>
      <c r="J195" s="886">
        <v>120</v>
      </c>
      <c r="T195" s="101"/>
      <c r="U195" s="107"/>
      <c r="V195" s="101"/>
      <c r="W195" s="101"/>
      <c r="X195" s="101"/>
      <c r="Y195" s="101"/>
    </row>
    <row r="196" spans="2:25" ht="16.5" hidden="1" outlineLevel="1" x14ac:dyDescent="0.2">
      <c r="B196" s="436" t="s">
        <v>664</v>
      </c>
      <c r="C196" s="438"/>
      <c r="D196" s="438"/>
      <c r="E196" s="438" t="s">
        <v>286</v>
      </c>
      <c r="F196" s="438" t="s">
        <v>286</v>
      </c>
      <c r="G196" s="438"/>
      <c r="I196" s="886">
        <v>120</v>
      </c>
      <c r="J196" s="886">
        <v>250</v>
      </c>
      <c r="T196" s="101"/>
      <c r="U196" s="107"/>
      <c r="V196" s="101"/>
      <c r="W196" s="101"/>
      <c r="X196" s="101"/>
      <c r="Y196" s="101"/>
    </row>
    <row r="197" spans="2:25" ht="16.5" hidden="1" outlineLevel="1" x14ac:dyDescent="0.2">
      <c r="B197" s="436" t="s">
        <v>665</v>
      </c>
      <c r="C197" s="438"/>
      <c r="D197" s="438"/>
      <c r="E197" s="437" t="s">
        <v>286</v>
      </c>
      <c r="F197" s="437" t="s">
        <v>286</v>
      </c>
      <c r="G197" s="438"/>
      <c r="I197" s="886">
        <v>120</v>
      </c>
      <c r="J197" s="886">
        <v>250</v>
      </c>
      <c r="T197" s="101"/>
      <c r="U197" s="107"/>
      <c r="V197" s="101"/>
      <c r="W197" s="101"/>
      <c r="X197" s="101"/>
      <c r="Y197" s="101"/>
    </row>
    <row r="198" spans="2:25" ht="25.5" hidden="1" outlineLevel="1" x14ac:dyDescent="0.2">
      <c r="B198" s="436" t="s">
        <v>667</v>
      </c>
      <c r="C198" s="438"/>
      <c r="D198" s="438"/>
      <c r="E198" s="438"/>
      <c r="F198" s="437" t="s">
        <v>286</v>
      </c>
      <c r="G198" s="438"/>
      <c r="I198" s="886"/>
      <c r="J198" s="886"/>
      <c r="T198" s="101"/>
      <c r="U198" s="107"/>
      <c r="V198" s="101"/>
      <c r="W198" s="101"/>
      <c r="X198" s="101"/>
      <c r="Y198" s="101"/>
    </row>
    <row r="199" spans="2:25" ht="25.5" hidden="1" outlineLevel="1" x14ac:dyDescent="0.2">
      <c r="B199" s="436" t="s">
        <v>675</v>
      </c>
      <c r="C199" s="438"/>
      <c r="D199" s="438"/>
      <c r="E199" s="438"/>
      <c r="F199" s="437" t="s">
        <v>286</v>
      </c>
      <c r="G199" s="438" t="s">
        <v>286</v>
      </c>
      <c r="I199" s="886">
        <v>120</v>
      </c>
      <c r="J199" s="886">
        <v>250</v>
      </c>
      <c r="T199" s="101"/>
      <c r="U199" s="107"/>
      <c r="V199" s="101"/>
      <c r="W199" s="101"/>
      <c r="X199" s="101"/>
      <c r="Y199" s="101"/>
    </row>
    <row r="200" spans="2:25" ht="25.5" hidden="1" outlineLevel="1" x14ac:dyDescent="0.2">
      <c r="B200" s="436" t="s">
        <v>668</v>
      </c>
      <c r="C200" s="438"/>
      <c r="D200" s="438"/>
      <c r="E200" s="438"/>
      <c r="F200" s="437" t="s">
        <v>286</v>
      </c>
      <c r="G200" s="438" t="s">
        <v>286</v>
      </c>
      <c r="I200" s="886">
        <v>120</v>
      </c>
      <c r="J200" s="886">
        <v>250</v>
      </c>
      <c r="T200" s="101"/>
      <c r="U200" s="107"/>
      <c r="V200" s="101"/>
      <c r="W200" s="101"/>
      <c r="X200" s="101"/>
      <c r="Y200" s="101"/>
    </row>
    <row r="201" spans="2:25" ht="16.5" hidden="1" outlineLevel="1" x14ac:dyDescent="0.2">
      <c r="B201" s="436" t="s">
        <v>674</v>
      </c>
      <c r="C201" s="438"/>
      <c r="D201" s="438"/>
      <c r="E201" s="438" t="s">
        <v>286</v>
      </c>
      <c r="F201" s="437" t="s">
        <v>286</v>
      </c>
      <c r="G201" s="438"/>
      <c r="I201" s="886">
        <v>120</v>
      </c>
      <c r="J201" s="886"/>
      <c r="T201" s="101"/>
      <c r="U201" s="107"/>
      <c r="V201" s="101"/>
      <c r="W201" s="101"/>
      <c r="X201" s="101"/>
      <c r="Y201" s="101"/>
    </row>
    <row r="202" spans="2:25" ht="16.5" hidden="1" outlineLevel="1" x14ac:dyDescent="0.2">
      <c r="B202" s="436" t="s">
        <v>669</v>
      </c>
      <c r="C202" s="438"/>
      <c r="D202" s="438"/>
      <c r="E202" s="438"/>
      <c r="F202" s="437" t="s">
        <v>286</v>
      </c>
      <c r="G202" s="438" t="s">
        <v>286</v>
      </c>
      <c r="I202" s="886">
        <v>120</v>
      </c>
      <c r="J202" s="886">
        <v>250</v>
      </c>
      <c r="T202" s="101"/>
      <c r="U202" s="107"/>
      <c r="V202" s="101"/>
      <c r="W202" s="101"/>
      <c r="X202" s="101"/>
      <c r="Y202" s="101"/>
    </row>
    <row r="203" spans="2:25" ht="25.5" hidden="1" outlineLevel="1" x14ac:dyDescent="0.2">
      <c r="B203" s="436" t="s">
        <v>663</v>
      </c>
      <c r="C203" s="438"/>
      <c r="D203" s="437" t="s">
        <v>286</v>
      </c>
      <c r="E203" s="438"/>
      <c r="F203" s="438"/>
      <c r="G203" s="438"/>
      <c r="I203" s="886">
        <v>60</v>
      </c>
      <c r="J203" s="886">
        <v>120</v>
      </c>
      <c r="Q203" s="98"/>
      <c r="R203" s="98"/>
      <c r="S203" s="98"/>
      <c r="T203" s="98"/>
      <c r="U203" s="98"/>
      <c r="V203" s="98"/>
      <c r="W203" s="98"/>
      <c r="X203" s="98"/>
      <c r="Y203" s="98"/>
    </row>
    <row r="204" spans="2:25" ht="25.5" hidden="1" outlineLevel="1" x14ac:dyDescent="0.2">
      <c r="B204" s="436" t="s">
        <v>715</v>
      </c>
      <c r="C204" s="438"/>
      <c r="D204" s="438" t="s">
        <v>286</v>
      </c>
      <c r="E204" s="438" t="s">
        <v>286</v>
      </c>
      <c r="F204" s="438"/>
      <c r="G204" s="438"/>
      <c r="I204" s="886">
        <v>60</v>
      </c>
      <c r="J204" s="886">
        <v>120</v>
      </c>
      <c r="Q204" s="98"/>
      <c r="R204" s="98"/>
      <c r="S204" s="98"/>
      <c r="T204" s="98"/>
      <c r="U204" s="98"/>
      <c r="V204" s="98"/>
      <c r="W204" s="98"/>
      <c r="X204" s="98"/>
      <c r="Y204" s="98"/>
    </row>
    <row r="205" spans="2:25" ht="25.5" hidden="1" outlineLevel="1" x14ac:dyDescent="0.2">
      <c r="B205" s="436" t="s">
        <v>549</v>
      </c>
      <c r="C205" s="438"/>
      <c r="D205" s="438"/>
      <c r="E205" s="437" t="s">
        <v>286</v>
      </c>
      <c r="F205" s="438"/>
      <c r="G205" s="438"/>
      <c r="I205" s="886">
        <v>60</v>
      </c>
      <c r="J205" s="886">
        <v>120</v>
      </c>
    </row>
    <row r="206" spans="2:25" ht="51" hidden="1" outlineLevel="1" x14ac:dyDescent="0.2">
      <c r="B206" s="436" t="s">
        <v>550</v>
      </c>
      <c r="C206" s="438"/>
      <c r="D206" s="438"/>
      <c r="E206" s="437"/>
      <c r="F206" s="438" t="s">
        <v>286</v>
      </c>
      <c r="G206" s="438" t="s">
        <v>286</v>
      </c>
      <c r="I206" s="886">
        <v>120</v>
      </c>
      <c r="J206" s="886">
        <v>250</v>
      </c>
    </row>
    <row r="207" spans="2:25" hidden="1" outlineLevel="1" x14ac:dyDescent="0.2">
      <c r="B207" s="436" t="s">
        <v>671</v>
      </c>
      <c r="C207" s="438"/>
      <c r="D207" s="438"/>
      <c r="E207" s="438"/>
      <c r="F207" s="437" t="s">
        <v>286</v>
      </c>
      <c r="G207" s="438" t="s">
        <v>286</v>
      </c>
      <c r="I207" s="886">
        <v>120</v>
      </c>
      <c r="J207" s="886">
        <v>250</v>
      </c>
    </row>
    <row r="208" spans="2:25" ht="25.5" hidden="1" outlineLevel="1" x14ac:dyDescent="0.2">
      <c r="B208" s="436" t="s">
        <v>548</v>
      </c>
      <c r="C208" s="438"/>
      <c r="D208" s="438"/>
      <c r="E208" s="438"/>
      <c r="F208" s="438"/>
      <c r="G208" s="437" t="s">
        <v>286</v>
      </c>
      <c r="I208" s="886">
        <v>120</v>
      </c>
      <c r="J208" s="886">
        <v>250</v>
      </c>
    </row>
    <row r="209" spans="2:10" hidden="1" outlineLevel="1" x14ac:dyDescent="0.2">
      <c r="B209" s="436" t="s">
        <v>538</v>
      </c>
      <c r="C209" s="438"/>
      <c r="D209" s="438"/>
      <c r="E209" s="438" t="s">
        <v>286</v>
      </c>
      <c r="F209" s="437" t="s">
        <v>286</v>
      </c>
      <c r="G209" s="437"/>
      <c r="I209" s="886">
        <v>60</v>
      </c>
      <c r="J209" s="886">
        <v>120</v>
      </c>
    </row>
    <row r="210" spans="2:10" ht="15.75" collapsed="1" x14ac:dyDescent="0.2">
      <c r="B210" s="441" t="s">
        <v>699</v>
      </c>
      <c r="C210" s="450"/>
      <c r="D210" s="450"/>
      <c r="E210" s="450"/>
      <c r="F210" s="450"/>
      <c r="G210" s="450"/>
      <c r="I210" s="886"/>
      <c r="J210" s="886"/>
    </row>
    <row r="211" spans="2:10" hidden="1" outlineLevel="1" x14ac:dyDescent="0.2">
      <c r="B211" s="436" t="s">
        <v>407</v>
      </c>
      <c r="C211" s="438"/>
      <c r="D211" s="438"/>
      <c r="E211" s="438"/>
      <c r="F211" s="438"/>
      <c r="G211" s="437" t="s">
        <v>286</v>
      </c>
      <c r="I211" s="886"/>
      <c r="J211" s="886"/>
    </row>
    <row r="212" spans="2:10" ht="25.5" hidden="1" outlineLevel="1" x14ac:dyDescent="0.2">
      <c r="B212" s="436" t="s">
        <v>716</v>
      </c>
      <c r="C212" s="438"/>
      <c r="D212" s="438"/>
      <c r="E212" s="438"/>
      <c r="F212" s="437" t="s">
        <v>286</v>
      </c>
      <c r="G212" s="437" t="s">
        <v>286</v>
      </c>
      <c r="I212" s="886"/>
      <c r="J212" s="886"/>
    </row>
    <row r="213" spans="2:10" hidden="1" outlineLevel="1" x14ac:dyDescent="0.2">
      <c r="B213" s="436" t="s">
        <v>717</v>
      </c>
      <c r="C213" s="438"/>
      <c r="D213" s="438"/>
      <c r="E213" s="438"/>
      <c r="F213" s="437" t="s">
        <v>286</v>
      </c>
      <c r="G213" s="437" t="s">
        <v>286</v>
      </c>
      <c r="I213" s="886"/>
      <c r="J213" s="886"/>
    </row>
    <row r="214" spans="2:10" hidden="1" outlineLevel="1" x14ac:dyDescent="0.2">
      <c r="B214" s="436" t="s">
        <v>718</v>
      </c>
      <c r="C214" s="438"/>
      <c r="D214" s="438"/>
      <c r="E214" s="438"/>
      <c r="F214" s="437" t="s">
        <v>286</v>
      </c>
      <c r="G214" s="437" t="s">
        <v>286</v>
      </c>
      <c r="I214" s="886"/>
      <c r="J214" s="886"/>
    </row>
    <row r="215" spans="2:10" ht="15.75" collapsed="1" x14ac:dyDescent="0.2">
      <c r="B215" s="441" t="s">
        <v>700</v>
      </c>
      <c r="C215" s="450"/>
      <c r="D215" s="450"/>
      <c r="E215" s="450"/>
      <c r="F215" s="450"/>
      <c r="G215" s="450"/>
      <c r="I215" s="886"/>
      <c r="J215" s="886"/>
    </row>
    <row r="216" spans="2:10" hidden="1" outlineLevel="1" x14ac:dyDescent="0.2">
      <c r="B216" s="436" t="s">
        <v>672</v>
      </c>
      <c r="C216" s="437" t="s">
        <v>286</v>
      </c>
      <c r="D216" s="437" t="s">
        <v>286</v>
      </c>
      <c r="E216" s="438"/>
      <c r="F216" s="438"/>
      <c r="G216" s="438"/>
      <c r="I216" s="886">
        <v>40</v>
      </c>
      <c r="J216" s="886">
        <v>60</v>
      </c>
    </row>
    <row r="217" spans="2:10" hidden="1" outlineLevel="1" x14ac:dyDescent="0.2">
      <c r="B217" s="436" t="s">
        <v>539</v>
      </c>
      <c r="C217" s="438"/>
      <c r="D217" s="437"/>
      <c r="E217" s="438"/>
      <c r="F217" s="438" t="s">
        <v>286</v>
      </c>
      <c r="G217" s="438" t="s">
        <v>286</v>
      </c>
      <c r="I217" s="886"/>
      <c r="J217" s="886"/>
    </row>
    <row r="218" spans="2:10" hidden="1" outlineLevel="1" x14ac:dyDescent="0.2">
      <c r="B218" s="436" t="s">
        <v>540</v>
      </c>
      <c r="C218" s="438"/>
      <c r="D218" s="437" t="s">
        <v>286</v>
      </c>
      <c r="E218" s="437"/>
      <c r="F218" s="438"/>
      <c r="G218" s="438"/>
      <c r="I218" s="886">
        <v>60</v>
      </c>
      <c r="J218" s="886">
        <v>120</v>
      </c>
    </row>
    <row r="219" spans="2:10" ht="25.5" hidden="1" outlineLevel="1" x14ac:dyDescent="0.2">
      <c r="B219" s="436" t="s">
        <v>719</v>
      </c>
      <c r="C219" s="438"/>
      <c r="D219" s="438" t="s">
        <v>286</v>
      </c>
      <c r="E219" s="437" t="s">
        <v>286</v>
      </c>
      <c r="F219" s="438"/>
      <c r="G219" s="438"/>
      <c r="I219" s="886">
        <v>40</v>
      </c>
      <c r="J219" s="886">
        <v>80</v>
      </c>
    </row>
    <row r="220" spans="2:10" ht="38.25" hidden="1" outlineLevel="1" x14ac:dyDescent="0.2">
      <c r="B220" s="436" t="s">
        <v>541</v>
      </c>
      <c r="C220" s="438"/>
      <c r="D220" s="438"/>
      <c r="E220" s="437" t="s">
        <v>286</v>
      </c>
      <c r="F220" s="437" t="s">
        <v>286</v>
      </c>
      <c r="G220" s="438"/>
      <c r="I220" s="886">
        <v>60</v>
      </c>
      <c r="J220" s="886">
        <v>120</v>
      </c>
    </row>
    <row r="221" spans="2:10" ht="25.5" hidden="1" outlineLevel="1" x14ac:dyDescent="0.2">
      <c r="B221" s="436" t="s">
        <v>673</v>
      </c>
      <c r="C221" s="438"/>
      <c r="D221" s="438"/>
      <c r="E221" s="438" t="s">
        <v>286</v>
      </c>
      <c r="F221" s="437" t="s">
        <v>286</v>
      </c>
      <c r="G221" s="438"/>
      <c r="I221" s="886">
        <v>60</v>
      </c>
      <c r="J221" s="886">
        <v>120</v>
      </c>
    </row>
    <row r="222" spans="2:10" hidden="1" outlineLevel="1" x14ac:dyDescent="0.2">
      <c r="B222" s="436" t="s">
        <v>408</v>
      </c>
      <c r="C222" s="438"/>
      <c r="D222" s="438"/>
      <c r="E222" s="438"/>
      <c r="F222" s="437" t="s">
        <v>286</v>
      </c>
      <c r="G222" s="438"/>
      <c r="I222" s="886">
        <v>120</v>
      </c>
      <c r="J222" s="886">
        <v>250</v>
      </c>
    </row>
    <row r="223" spans="2:10" ht="25.5" hidden="1" outlineLevel="1" x14ac:dyDescent="0.2">
      <c r="B223" s="436" t="s">
        <v>720</v>
      </c>
      <c r="C223" s="438"/>
      <c r="D223" s="438"/>
      <c r="E223" s="438"/>
      <c r="F223" s="437" t="s">
        <v>286</v>
      </c>
      <c r="G223" s="437" t="s">
        <v>286</v>
      </c>
      <c r="I223" s="886">
        <v>120</v>
      </c>
      <c r="J223" s="886">
        <v>250</v>
      </c>
    </row>
    <row r="224" spans="2:10" hidden="1" outlineLevel="1" x14ac:dyDescent="0.2">
      <c r="B224" s="436" t="s">
        <v>721</v>
      </c>
      <c r="C224" s="438"/>
      <c r="D224" s="438"/>
      <c r="E224" s="438"/>
      <c r="F224" s="437" t="s">
        <v>286</v>
      </c>
      <c r="G224" s="437" t="s">
        <v>286</v>
      </c>
      <c r="I224" s="886">
        <v>120</v>
      </c>
      <c r="J224" s="886">
        <v>250</v>
      </c>
    </row>
    <row r="225" spans="2:10" hidden="1" outlineLevel="1" x14ac:dyDescent="0.2">
      <c r="B225" s="436" t="s">
        <v>724</v>
      </c>
      <c r="C225" s="438"/>
      <c r="D225" s="438"/>
      <c r="E225" s="438"/>
      <c r="F225" s="437" t="s">
        <v>286</v>
      </c>
      <c r="G225" s="437" t="s">
        <v>286</v>
      </c>
      <c r="I225" s="886">
        <v>120</v>
      </c>
      <c r="J225" s="886">
        <v>250</v>
      </c>
    </row>
    <row r="226" spans="2:10" hidden="1" outlineLevel="1" x14ac:dyDescent="0.2">
      <c r="B226" s="436" t="s">
        <v>722</v>
      </c>
      <c r="C226" s="438"/>
      <c r="D226" s="438"/>
      <c r="E226" s="438"/>
      <c r="F226" s="437" t="s">
        <v>286</v>
      </c>
      <c r="G226" s="438"/>
      <c r="I226" s="886"/>
      <c r="J226" s="886"/>
    </row>
    <row r="227" spans="2:10" ht="15.75" collapsed="1" x14ac:dyDescent="0.2">
      <c r="B227" s="441" t="s">
        <v>701</v>
      </c>
      <c r="C227" s="450"/>
      <c r="D227" s="450"/>
      <c r="E227" s="450"/>
      <c r="F227" s="450"/>
      <c r="G227" s="450"/>
      <c r="I227" s="886"/>
      <c r="J227" s="886"/>
    </row>
    <row r="228" spans="2:10" hidden="1" outlineLevel="1" x14ac:dyDescent="0.2">
      <c r="B228" s="436" t="s">
        <v>409</v>
      </c>
      <c r="C228" s="438"/>
      <c r="D228" s="438"/>
      <c r="E228" s="438"/>
      <c r="F228" s="437" t="s">
        <v>286</v>
      </c>
      <c r="G228" s="438"/>
      <c r="I228" s="886"/>
      <c r="J228" s="886"/>
    </row>
    <row r="229" spans="2:10" hidden="1" outlineLevel="1" x14ac:dyDescent="0.2">
      <c r="B229" s="436" t="s">
        <v>542</v>
      </c>
      <c r="C229" s="438"/>
      <c r="D229" s="438"/>
      <c r="E229" s="437" t="s">
        <v>286</v>
      </c>
      <c r="F229" s="437" t="s">
        <v>286</v>
      </c>
      <c r="G229" s="438"/>
      <c r="I229" s="886"/>
      <c r="J229" s="886"/>
    </row>
    <row r="230" spans="2:10" ht="25.5" hidden="1" outlineLevel="1" x14ac:dyDescent="0.2">
      <c r="B230" s="436" t="s">
        <v>723</v>
      </c>
      <c r="C230" s="438"/>
      <c r="D230" s="438"/>
      <c r="E230" s="438" t="s">
        <v>286</v>
      </c>
      <c r="F230" s="437" t="s">
        <v>286</v>
      </c>
      <c r="G230" s="437"/>
      <c r="I230" s="886">
        <v>60</v>
      </c>
      <c r="J230" s="886">
        <v>120</v>
      </c>
    </row>
    <row r="231" spans="2:10" ht="25.5" hidden="1" outlineLevel="1" x14ac:dyDescent="0.2">
      <c r="B231" s="436" t="s">
        <v>410</v>
      </c>
      <c r="C231" s="438"/>
      <c r="D231" s="438"/>
      <c r="E231" s="438"/>
      <c r="F231" s="437" t="s">
        <v>286</v>
      </c>
      <c r="G231" s="437" t="s">
        <v>286</v>
      </c>
      <c r="I231" s="886">
        <v>120</v>
      </c>
      <c r="J231" s="886">
        <v>250</v>
      </c>
    </row>
    <row r="232" spans="2:10" hidden="1" outlineLevel="1" x14ac:dyDescent="0.2">
      <c r="B232" s="436" t="s">
        <v>543</v>
      </c>
      <c r="C232" s="438"/>
      <c r="D232" s="438"/>
      <c r="E232" s="438"/>
      <c r="F232" s="437"/>
      <c r="G232" s="437" t="s">
        <v>286</v>
      </c>
      <c r="I232" s="886">
        <v>120</v>
      </c>
      <c r="J232" s="886">
        <v>250</v>
      </c>
    </row>
    <row r="233" spans="2:10" ht="25.5" hidden="1" outlineLevel="1" x14ac:dyDescent="0.2">
      <c r="B233" s="436" t="s">
        <v>544</v>
      </c>
      <c r="C233" s="438"/>
      <c r="D233" s="438"/>
      <c r="E233" s="438"/>
      <c r="F233" s="437" t="s">
        <v>286</v>
      </c>
      <c r="G233" s="437"/>
      <c r="I233" s="886"/>
      <c r="J233" s="886"/>
    </row>
    <row r="234" spans="2:10" ht="25.5" hidden="1" outlineLevel="1" x14ac:dyDescent="0.2">
      <c r="B234" s="436" t="s">
        <v>545</v>
      </c>
      <c r="C234" s="438"/>
      <c r="D234" s="438"/>
      <c r="E234" s="438" t="s">
        <v>286</v>
      </c>
      <c r="F234" s="438" t="s">
        <v>286</v>
      </c>
      <c r="G234" s="437"/>
      <c r="I234" s="886"/>
      <c r="J234" s="886"/>
    </row>
    <row r="235" spans="2:10" hidden="1" outlineLevel="1" x14ac:dyDescent="0.2">
      <c r="B235" s="436" t="s">
        <v>546</v>
      </c>
      <c r="C235" s="438"/>
      <c r="D235" s="438"/>
      <c r="E235" s="438"/>
      <c r="F235" s="437"/>
      <c r="G235" s="438" t="s">
        <v>286</v>
      </c>
      <c r="I235" s="886"/>
      <c r="J235" s="886"/>
    </row>
    <row r="236" spans="2:10" hidden="1" outlineLevel="1" x14ac:dyDescent="0.2">
      <c r="B236" s="436" t="s">
        <v>547</v>
      </c>
      <c r="C236" s="438"/>
      <c r="D236" s="438" t="s">
        <v>286</v>
      </c>
      <c r="E236" s="438" t="s">
        <v>286</v>
      </c>
      <c r="F236" s="438"/>
      <c r="G236" s="437"/>
      <c r="I236" s="886"/>
      <c r="J236" s="886"/>
    </row>
    <row r="237" spans="2:10" ht="15.75" collapsed="1" x14ac:dyDescent="0.25">
      <c r="B237" s="442" t="s">
        <v>702</v>
      </c>
      <c r="C237" s="451"/>
      <c r="D237" s="451"/>
      <c r="E237" s="451"/>
      <c r="F237" s="451"/>
      <c r="G237" s="451"/>
      <c r="I237" s="886"/>
      <c r="J237" s="886"/>
    </row>
    <row r="238" spans="2:10" ht="25.5" hidden="1" outlineLevel="1" x14ac:dyDescent="0.2">
      <c r="B238" s="436" t="s">
        <v>551</v>
      </c>
      <c r="C238" s="438"/>
      <c r="D238" s="438"/>
      <c r="E238" s="437"/>
      <c r="F238" s="438" t="s">
        <v>286</v>
      </c>
      <c r="G238" s="438" t="s">
        <v>286</v>
      </c>
      <c r="I238" s="886"/>
      <c r="J238" s="886"/>
    </row>
    <row r="239" spans="2:10" ht="25.5" hidden="1" outlineLevel="1" x14ac:dyDescent="0.2">
      <c r="B239" s="436" t="s">
        <v>552</v>
      </c>
      <c r="C239" s="438"/>
      <c r="D239" s="438"/>
      <c r="E239" s="437"/>
      <c r="F239" s="438" t="s">
        <v>286</v>
      </c>
      <c r="G239" s="438" t="s">
        <v>286</v>
      </c>
      <c r="I239" s="886"/>
      <c r="J239" s="886"/>
    </row>
    <row r="240" spans="2:10" ht="25.5" hidden="1" outlineLevel="1" x14ac:dyDescent="0.2">
      <c r="B240" s="436" t="s">
        <v>553</v>
      </c>
      <c r="C240" s="438"/>
      <c r="D240" s="438"/>
      <c r="E240" s="437" t="s">
        <v>286</v>
      </c>
      <c r="F240" s="438" t="s">
        <v>286</v>
      </c>
      <c r="G240" s="438"/>
      <c r="I240" s="886"/>
      <c r="J240" s="886"/>
    </row>
    <row r="241" spans="1:16" hidden="1" outlineLevel="1" x14ac:dyDescent="0.2">
      <c r="B241" s="436" t="s">
        <v>554</v>
      </c>
      <c r="C241" s="438"/>
      <c r="D241" s="438"/>
      <c r="E241" s="438" t="s">
        <v>286</v>
      </c>
      <c r="F241" s="437"/>
      <c r="G241" s="437"/>
      <c r="I241" s="886"/>
      <c r="J241" s="886"/>
    </row>
    <row r="242" spans="1:16" ht="25.5" hidden="1" outlineLevel="1" x14ac:dyDescent="0.2">
      <c r="B242" s="891" t="s">
        <v>676</v>
      </c>
      <c r="C242" s="892"/>
      <c r="D242" s="892"/>
      <c r="E242" s="892" t="s">
        <v>286</v>
      </c>
      <c r="F242" s="893"/>
      <c r="G242" s="893"/>
      <c r="I242" s="890"/>
      <c r="J242" s="890"/>
    </row>
    <row r="244" spans="1:16" ht="15.75" x14ac:dyDescent="0.25">
      <c r="A244" s="624"/>
      <c r="B244" s="624" t="s">
        <v>564</v>
      </c>
      <c r="C244" s="624"/>
      <c r="D244" s="624"/>
      <c r="E244" s="624"/>
      <c r="F244" s="624"/>
      <c r="G244" s="624"/>
      <c r="H244" s="623"/>
      <c r="I244" s="624" t="s">
        <v>557</v>
      </c>
      <c r="J244" s="626"/>
      <c r="K244" s="626"/>
      <c r="L244" s="626"/>
      <c r="M244" s="626"/>
      <c r="N244" s="626"/>
      <c r="P244" s="623"/>
    </row>
    <row r="245" spans="1:16" ht="15.75" x14ac:dyDescent="0.25">
      <c r="A245" s="333" t="s">
        <v>6</v>
      </c>
      <c r="B245" s="335" t="s">
        <v>140</v>
      </c>
      <c r="C245" s="335"/>
      <c r="D245" s="335"/>
      <c r="E245" s="335"/>
      <c r="F245" s="417" t="s">
        <v>148</v>
      </c>
      <c r="G245" s="336">
        <v>5</v>
      </c>
      <c r="I245" s="350" t="s">
        <v>104</v>
      </c>
      <c r="J245" s="350"/>
      <c r="K245" s="350" t="s">
        <v>249</v>
      </c>
      <c r="L245" s="350"/>
      <c r="M245" s="350"/>
      <c r="N245" s="350"/>
      <c r="O245" s="350"/>
    </row>
    <row r="246" spans="1:16" ht="15.75" x14ac:dyDescent="0.25">
      <c r="A246" s="337" t="s">
        <v>7</v>
      </c>
      <c r="B246" s="339" t="s">
        <v>237</v>
      </c>
      <c r="C246" s="339"/>
      <c r="D246" s="339"/>
      <c r="E246" s="339"/>
      <c r="F246" s="418" t="s">
        <v>148</v>
      </c>
      <c r="G246" s="340">
        <v>5</v>
      </c>
      <c r="I246" s="351" t="s">
        <v>105</v>
      </c>
      <c r="J246" s="351"/>
      <c r="K246" s="351" t="s">
        <v>250</v>
      </c>
      <c r="L246" s="351"/>
      <c r="M246" s="351"/>
      <c r="N246" s="351"/>
      <c r="O246" s="351"/>
    </row>
    <row r="247" spans="1:16" ht="15.75" x14ac:dyDescent="0.25">
      <c r="A247" s="337" t="s">
        <v>8</v>
      </c>
      <c r="B247" s="339" t="s">
        <v>134</v>
      </c>
      <c r="C247" s="339"/>
      <c r="D247" s="339"/>
      <c r="E247" s="339"/>
      <c r="F247" s="418" t="s">
        <v>102</v>
      </c>
      <c r="G247" s="340">
        <v>2</v>
      </c>
      <c r="I247" s="351" t="s">
        <v>106</v>
      </c>
      <c r="J247" s="351"/>
      <c r="K247" s="351" t="s">
        <v>251</v>
      </c>
      <c r="L247" s="351"/>
      <c r="M247" s="351"/>
      <c r="N247" s="351"/>
      <c r="O247" s="351"/>
    </row>
    <row r="248" spans="1:16" ht="15.75" x14ac:dyDescent="0.25">
      <c r="A248" s="337" t="s">
        <v>142</v>
      </c>
      <c r="B248" s="339" t="s">
        <v>146</v>
      </c>
      <c r="C248" s="339"/>
      <c r="D248" s="339"/>
      <c r="E248" s="339"/>
      <c r="F248" s="418" t="s">
        <v>148</v>
      </c>
      <c r="G248" s="340">
        <v>2</v>
      </c>
      <c r="I248" s="351" t="s">
        <v>107</v>
      </c>
      <c r="J248" s="351"/>
      <c r="K248" s="351" t="s">
        <v>252</v>
      </c>
      <c r="L248" s="351"/>
      <c r="M248" s="351"/>
      <c r="N248" s="351"/>
      <c r="O248" s="351"/>
    </row>
    <row r="249" spans="1:16" ht="15.75" x14ac:dyDescent="0.25">
      <c r="A249" s="341" t="s">
        <v>143</v>
      </c>
      <c r="B249" s="343" t="s">
        <v>147</v>
      </c>
      <c r="C249" s="343"/>
      <c r="D249" s="343"/>
      <c r="E249" s="343"/>
      <c r="F249" s="419" t="s">
        <v>102</v>
      </c>
      <c r="G249" s="344">
        <v>4</v>
      </c>
      <c r="I249" s="352" t="s">
        <v>108</v>
      </c>
      <c r="J249" s="352"/>
      <c r="K249" s="352" t="s">
        <v>253</v>
      </c>
      <c r="L249" s="352"/>
      <c r="M249" s="352"/>
      <c r="N249" s="352"/>
      <c r="O249" s="352"/>
    </row>
    <row r="250" spans="1:16" ht="15.75" x14ac:dyDescent="0.25">
      <c r="A250" s="106"/>
      <c r="B250" s="106"/>
      <c r="C250" s="106"/>
      <c r="D250" s="106"/>
      <c r="E250" s="106"/>
      <c r="F250" s="415" t="s">
        <v>149</v>
      </c>
      <c r="G250" s="328">
        <f>SUM(G245:G249)</f>
        <v>18</v>
      </c>
    </row>
    <row r="251" spans="1:16" ht="15.75" x14ac:dyDescent="0.2">
      <c r="B251" s="67" t="s">
        <v>271</v>
      </c>
      <c r="C251" s="65"/>
      <c r="D251" s="65"/>
      <c r="E251" s="65"/>
      <c r="F251" s="416" t="str">
        <f>IF(G250&lt;9,I245,IF(G250&lt;16,I246,IF(G250&lt;23,I247,IF(G250&lt;30,I248,IF(G250&lt;37,I249,"NAPAKA")))))</f>
        <v>Cenovni razred III</v>
      </c>
      <c r="G251" s="65"/>
    </row>
    <row r="258" spans="2:7" ht="15.75" x14ac:dyDescent="0.25">
      <c r="B258" s="432" t="s">
        <v>411</v>
      </c>
      <c r="C258" s="500" t="s">
        <v>281</v>
      </c>
      <c r="D258" s="500" t="s">
        <v>282</v>
      </c>
      <c r="E258" s="500" t="s">
        <v>283</v>
      </c>
      <c r="F258" s="500" t="s">
        <v>284</v>
      </c>
      <c r="G258" s="500" t="s">
        <v>285</v>
      </c>
    </row>
    <row r="259" spans="2:7" ht="15.75" collapsed="1" x14ac:dyDescent="0.2">
      <c r="B259" s="1121" t="s">
        <v>703</v>
      </c>
      <c r="C259" s="1121"/>
      <c r="D259" s="1121"/>
      <c r="E259" s="1121"/>
      <c r="F259" s="1121"/>
      <c r="G259" s="1121"/>
    </row>
    <row r="260" spans="2:7" ht="15" hidden="1" outlineLevel="1" x14ac:dyDescent="0.2">
      <c r="B260" s="443" t="s">
        <v>843</v>
      </c>
      <c r="C260" s="444" t="s">
        <v>286</v>
      </c>
      <c r="D260" s="452"/>
      <c r="E260" s="444"/>
      <c r="F260" s="452"/>
      <c r="G260" s="452"/>
    </row>
    <row r="261" spans="2:7" ht="33" customHeight="1" collapsed="1" x14ac:dyDescent="0.2">
      <c r="B261" s="1119" t="s">
        <v>704</v>
      </c>
      <c r="C261" s="1119"/>
      <c r="D261" s="1119"/>
      <c r="E261" s="1119"/>
      <c r="F261" s="1119"/>
      <c r="G261" s="1119"/>
    </row>
    <row r="262" spans="2:7" ht="15" hidden="1" outlineLevel="1" x14ac:dyDescent="0.2">
      <c r="B262" s="443" t="s">
        <v>844</v>
      </c>
      <c r="C262" s="452"/>
      <c r="D262" s="444" t="s">
        <v>286</v>
      </c>
      <c r="E262" s="452"/>
      <c r="F262" s="452"/>
      <c r="G262" s="452"/>
    </row>
    <row r="263" spans="2:7" ht="15" hidden="1" outlineLevel="1" x14ac:dyDescent="0.2">
      <c r="B263" s="443" t="s">
        <v>845</v>
      </c>
      <c r="C263" s="452"/>
      <c r="D263" s="444" t="s">
        <v>286</v>
      </c>
      <c r="E263" s="452"/>
      <c r="F263" s="452"/>
      <c r="G263" s="452"/>
    </row>
    <row r="264" spans="2:7" ht="15" hidden="1" outlineLevel="1" x14ac:dyDescent="0.2">
      <c r="B264" s="443" t="s">
        <v>846</v>
      </c>
      <c r="C264" s="452"/>
      <c r="D264" s="452"/>
      <c r="E264" s="444" t="s">
        <v>286</v>
      </c>
      <c r="F264" s="452"/>
      <c r="G264" s="452"/>
    </row>
    <row r="265" spans="2:7" ht="15" hidden="1" outlineLevel="1" x14ac:dyDescent="0.2">
      <c r="B265" s="443" t="s">
        <v>847</v>
      </c>
      <c r="C265" s="452"/>
      <c r="D265" s="452"/>
      <c r="E265" s="452"/>
      <c r="F265" s="444" t="s">
        <v>286</v>
      </c>
      <c r="G265" s="452"/>
    </row>
    <row r="266" spans="2:7" ht="15" hidden="1" outlineLevel="1" x14ac:dyDescent="0.2">
      <c r="B266" s="443" t="s">
        <v>848</v>
      </c>
      <c r="C266" s="452"/>
      <c r="D266" s="452"/>
      <c r="E266" s="452"/>
      <c r="F266" s="453"/>
      <c r="G266" s="444" t="s">
        <v>286</v>
      </c>
    </row>
    <row r="267" spans="2:7" ht="33.75" customHeight="1" collapsed="1" x14ac:dyDescent="0.2">
      <c r="B267" s="1119" t="s">
        <v>705</v>
      </c>
      <c r="C267" s="1119"/>
      <c r="D267" s="1119"/>
      <c r="E267" s="1119"/>
      <c r="F267" s="1119"/>
      <c r="G267" s="1119"/>
    </row>
    <row r="268" spans="2:7" ht="25.5" hidden="1" outlineLevel="1" x14ac:dyDescent="0.2">
      <c r="B268" s="443" t="s">
        <v>849</v>
      </c>
      <c r="C268" s="452"/>
      <c r="D268" s="444" t="s">
        <v>286</v>
      </c>
      <c r="E268" s="452"/>
      <c r="F268" s="452"/>
      <c r="G268" s="452"/>
    </row>
    <row r="269" spans="2:7" ht="38.25" hidden="1" outlineLevel="1" x14ac:dyDescent="0.2">
      <c r="B269" s="443" t="s">
        <v>850</v>
      </c>
      <c r="C269" s="444" t="s">
        <v>286</v>
      </c>
      <c r="D269" s="452"/>
      <c r="E269" s="452"/>
      <c r="F269" s="452"/>
      <c r="G269" s="452"/>
    </row>
    <row r="270" spans="2:7" ht="25.5" hidden="1" outlineLevel="1" x14ac:dyDescent="0.2">
      <c r="B270" s="443" t="s">
        <v>851</v>
      </c>
      <c r="C270" s="452"/>
      <c r="D270" s="444" t="s">
        <v>286</v>
      </c>
      <c r="E270" s="452"/>
      <c r="F270" s="452"/>
      <c r="G270" s="452"/>
    </row>
    <row r="271" spans="2:7" ht="25.5" hidden="1" outlineLevel="1" x14ac:dyDescent="0.2">
      <c r="B271" s="443" t="s">
        <v>852</v>
      </c>
      <c r="C271" s="453"/>
      <c r="D271" s="452"/>
      <c r="E271" s="444" t="s">
        <v>286</v>
      </c>
      <c r="F271" s="452"/>
      <c r="G271" s="452"/>
    </row>
    <row r="272" spans="2:7" ht="51" hidden="1" outlineLevel="1" x14ac:dyDescent="0.2">
      <c r="B272" s="443" t="s">
        <v>853</v>
      </c>
      <c r="C272" s="452"/>
      <c r="D272" s="452"/>
      <c r="E272" s="452"/>
      <c r="F272" s="444" t="s">
        <v>286</v>
      </c>
      <c r="G272" s="452"/>
    </row>
    <row r="273" spans="2:7" ht="25.5" hidden="1" outlineLevel="1" x14ac:dyDescent="0.2">
      <c r="B273" s="443" t="s">
        <v>854</v>
      </c>
      <c r="C273" s="444" t="s">
        <v>286</v>
      </c>
      <c r="D273" s="452"/>
      <c r="E273" s="452"/>
      <c r="F273" s="452"/>
      <c r="G273" s="452"/>
    </row>
    <row r="274" spans="2:7" ht="38.25" hidden="1" outlineLevel="1" x14ac:dyDescent="0.2">
      <c r="B274" s="443" t="s">
        <v>855</v>
      </c>
      <c r="C274" s="453"/>
      <c r="D274" s="444" t="s">
        <v>286</v>
      </c>
      <c r="E274" s="452"/>
      <c r="F274" s="452"/>
      <c r="G274" s="452"/>
    </row>
    <row r="275" spans="2:7" ht="25.5" hidden="1" outlineLevel="1" x14ac:dyDescent="0.2">
      <c r="B275" s="443" t="s">
        <v>856</v>
      </c>
      <c r="C275" s="452"/>
      <c r="D275" s="452"/>
      <c r="E275" s="444" t="s">
        <v>286</v>
      </c>
      <c r="F275" s="452"/>
      <c r="G275" s="452"/>
    </row>
    <row r="276" spans="2:7" ht="15" hidden="1" outlineLevel="1" x14ac:dyDescent="0.2">
      <c r="B276" s="443" t="s">
        <v>857</v>
      </c>
      <c r="C276" s="452"/>
      <c r="D276" s="452"/>
      <c r="E276" s="452"/>
      <c r="F276" s="444" t="s">
        <v>286</v>
      </c>
      <c r="G276" s="452"/>
    </row>
    <row r="277" spans="2:7" ht="15" hidden="1" outlineLevel="1" x14ac:dyDescent="0.2">
      <c r="B277" s="443" t="s">
        <v>858</v>
      </c>
      <c r="C277" s="452"/>
      <c r="D277" s="452"/>
      <c r="E277" s="452"/>
      <c r="F277" s="452"/>
      <c r="G277" s="444" t="s">
        <v>286</v>
      </c>
    </row>
    <row r="278" spans="2:7" ht="15" hidden="1" outlineLevel="1" x14ac:dyDescent="0.2">
      <c r="B278" s="443" t="s">
        <v>287</v>
      </c>
      <c r="C278" s="452"/>
      <c r="D278" s="444" t="s">
        <v>286</v>
      </c>
      <c r="E278" s="452"/>
      <c r="F278" s="452"/>
      <c r="G278" s="452"/>
    </row>
    <row r="279" spans="2:7" ht="15" hidden="1" outlineLevel="1" x14ac:dyDescent="0.2">
      <c r="B279" s="443" t="s">
        <v>859</v>
      </c>
      <c r="C279" s="452"/>
      <c r="D279" s="452"/>
      <c r="E279" s="444" t="s">
        <v>286</v>
      </c>
      <c r="F279" s="452"/>
      <c r="G279" s="452"/>
    </row>
    <row r="280" spans="2:7" ht="15" hidden="1" outlineLevel="1" x14ac:dyDescent="0.2">
      <c r="B280" s="443" t="s">
        <v>860</v>
      </c>
      <c r="C280" s="452"/>
      <c r="D280" s="452"/>
      <c r="E280" s="452"/>
      <c r="F280" s="444" t="s">
        <v>286</v>
      </c>
      <c r="G280" s="452"/>
    </row>
    <row r="281" spans="2:7" ht="15" hidden="1" outlineLevel="1" x14ac:dyDescent="0.2">
      <c r="B281" s="443" t="s">
        <v>861</v>
      </c>
      <c r="C281" s="444" t="s">
        <v>286</v>
      </c>
      <c r="D281" s="452"/>
      <c r="E281" s="452"/>
      <c r="F281" s="452"/>
      <c r="G281" s="452"/>
    </row>
    <row r="282" spans="2:7" ht="15" hidden="1" outlineLevel="1" x14ac:dyDescent="0.2">
      <c r="B282" s="443" t="s">
        <v>862</v>
      </c>
      <c r="C282" s="452"/>
      <c r="D282" s="444" t="s">
        <v>286</v>
      </c>
      <c r="E282" s="452"/>
      <c r="F282" s="452"/>
      <c r="G282" s="452"/>
    </row>
    <row r="283" spans="2:7" ht="15" hidden="1" outlineLevel="1" x14ac:dyDescent="0.2">
      <c r="B283" s="443" t="s">
        <v>863</v>
      </c>
      <c r="C283" s="452"/>
      <c r="D283" s="452"/>
      <c r="E283" s="444" t="s">
        <v>286</v>
      </c>
      <c r="F283" s="452"/>
      <c r="G283" s="452"/>
    </row>
    <row r="284" spans="2:7" ht="15" hidden="1" outlineLevel="1" x14ac:dyDescent="0.2">
      <c r="B284" s="443" t="s">
        <v>864</v>
      </c>
      <c r="C284" s="452"/>
      <c r="D284" s="452"/>
      <c r="E284" s="452"/>
      <c r="F284" s="444" t="s">
        <v>286</v>
      </c>
      <c r="G284" s="452"/>
    </row>
    <row r="285" spans="2:7" ht="15" hidden="1" outlineLevel="1" x14ac:dyDescent="0.2">
      <c r="B285" s="443" t="s">
        <v>865</v>
      </c>
      <c r="C285" s="452"/>
      <c r="D285" s="444" t="s">
        <v>286</v>
      </c>
      <c r="E285" s="452"/>
      <c r="F285" s="452"/>
      <c r="G285" s="452"/>
    </row>
    <row r="286" spans="2:7" ht="15" hidden="1" outlineLevel="1" x14ac:dyDescent="0.2">
      <c r="B286" s="443" t="s">
        <v>866</v>
      </c>
      <c r="C286" s="452"/>
      <c r="D286" s="452"/>
      <c r="E286" s="444" t="s">
        <v>286</v>
      </c>
      <c r="F286" s="452"/>
      <c r="G286" s="452"/>
    </row>
    <row r="287" spans="2:7" ht="15" hidden="1" outlineLevel="1" x14ac:dyDescent="0.2">
      <c r="B287" s="443" t="s">
        <v>867</v>
      </c>
      <c r="C287" s="452"/>
      <c r="D287" s="452"/>
      <c r="E287" s="444" t="s">
        <v>286</v>
      </c>
      <c r="F287" s="452"/>
      <c r="G287" s="452"/>
    </row>
    <row r="288" spans="2:7" ht="15" hidden="1" outlineLevel="1" x14ac:dyDescent="0.2">
      <c r="B288" s="443" t="s">
        <v>868</v>
      </c>
      <c r="C288" s="452"/>
      <c r="D288" s="452"/>
      <c r="E288" s="452"/>
      <c r="F288" s="444" t="s">
        <v>286</v>
      </c>
      <c r="G288" s="452"/>
    </row>
    <row r="289" spans="2:7" ht="15" hidden="1" outlineLevel="1" x14ac:dyDescent="0.2">
      <c r="B289" s="443" t="s">
        <v>869</v>
      </c>
      <c r="C289" s="452"/>
      <c r="D289" s="452"/>
      <c r="E289" s="444" t="s">
        <v>286</v>
      </c>
      <c r="F289" s="452"/>
      <c r="G289" s="452"/>
    </row>
    <row r="290" spans="2:7" ht="15" hidden="1" outlineLevel="1" x14ac:dyDescent="0.2">
      <c r="B290" s="443" t="s">
        <v>870</v>
      </c>
      <c r="C290" s="452"/>
      <c r="D290" s="452"/>
      <c r="E290" s="452"/>
      <c r="F290" s="444" t="s">
        <v>286</v>
      </c>
      <c r="G290" s="452"/>
    </row>
    <row r="291" spans="2:7" ht="15" hidden="1" outlineLevel="1" x14ac:dyDescent="0.2">
      <c r="B291" s="443" t="s">
        <v>871</v>
      </c>
      <c r="C291" s="452"/>
      <c r="D291" s="452"/>
      <c r="E291" s="444" t="s">
        <v>286</v>
      </c>
      <c r="F291" s="452"/>
      <c r="G291" s="452"/>
    </row>
    <row r="292" spans="2:7" ht="15" hidden="1" outlineLevel="1" x14ac:dyDescent="0.2">
      <c r="B292" s="443" t="s">
        <v>872</v>
      </c>
      <c r="C292" s="452"/>
      <c r="D292" s="452"/>
      <c r="E292" s="452"/>
      <c r="F292" s="444" t="s">
        <v>286</v>
      </c>
      <c r="G292" s="452"/>
    </row>
    <row r="293" spans="2:7" ht="15" hidden="1" outlineLevel="1" x14ac:dyDescent="0.2">
      <c r="B293" s="443" t="s">
        <v>873</v>
      </c>
      <c r="C293" s="452"/>
      <c r="D293" s="452"/>
      <c r="E293" s="452"/>
      <c r="F293" s="452"/>
      <c r="G293" s="444" t="s">
        <v>286</v>
      </c>
    </row>
    <row r="294" spans="2:7" ht="15" hidden="1" outlineLevel="1" x14ac:dyDescent="0.2">
      <c r="B294" s="443" t="s">
        <v>874</v>
      </c>
      <c r="C294" s="452"/>
      <c r="D294" s="452"/>
      <c r="E294" s="444" t="s">
        <v>286</v>
      </c>
      <c r="F294" s="452"/>
      <c r="G294" s="452"/>
    </row>
    <row r="295" spans="2:7" ht="15" hidden="1" outlineLevel="1" x14ac:dyDescent="0.2">
      <c r="B295" s="443" t="s">
        <v>875</v>
      </c>
      <c r="C295" s="452"/>
      <c r="D295" s="452"/>
      <c r="E295" s="452"/>
      <c r="F295" s="444" t="s">
        <v>286</v>
      </c>
      <c r="G295" s="452"/>
    </row>
    <row r="296" spans="2:7" ht="15" hidden="1" outlineLevel="1" x14ac:dyDescent="0.2">
      <c r="B296" s="443" t="s">
        <v>876</v>
      </c>
      <c r="C296" s="452"/>
      <c r="D296" s="452"/>
      <c r="E296" s="452"/>
      <c r="F296" s="453"/>
      <c r="G296" s="444" t="s">
        <v>286</v>
      </c>
    </row>
    <row r="297" spans="2:7" ht="15" hidden="1" outlineLevel="1" x14ac:dyDescent="0.2">
      <c r="B297" s="445" t="s">
        <v>877</v>
      </c>
      <c r="C297" s="444" t="s">
        <v>286</v>
      </c>
      <c r="D297" s="452"/>
      <c r="E297" s="452"/>
      <c r="F297" s="452"/>
      <c r="G297" s="452"/>
    </row>
    <row r="298" spans="2:7" ht="25.5" hidden="1" outlineLevel="1" x14ac:dyDescent="0.2">
      <c r="B298" s="445" t="s">
        <v>878</v>
      </c>
      <c r="C298" s="453"/>
      <c r="D298" s="444" t="s">
        <v>286</v>
      </c>
      <c r="E298" s="452"/>
      <c r="F298" s="452"/>
      <c r="G298" s="452"/>
    </row>
    <row r="299" spans="2:7" ht="25.5" hidden="1" outlineLevel="1" x14ac:dyDescent="0.2">
      <c r="B299" s="445" t="s">
        <v>879</v>
      </c>
      <c r="C299" s="452"/>
      <c r="D299" s="452"/>
      <c r="E299" s="444" t="s">
        <v>286</v>
      </c>
      <c r="F299" s="452"/>
      <c r="G299" s="452"/>
    </row>
    <row r="300" spans="2:7" ht="25.5" hidden="1" outlineLevel="1" x14ac:dyDescent="0.2">
      <c r="B300" s="443" t="s">
        <v>880</v>
      </c>
      <c r="C300" s="452"/>
      <c r="D300" s="453"/>
      <c r="E300" s="452"/>
      <c r="F300" s="444" t="s">
        <v>286</v>
      </c>
      <c r="G300" s="452"/>
    </row>
    <row r="301" spans="2:7" ht="15" hidden="1" outlineLevel="1" x14ac:dyDescent="0.2">
      <c r="B301" s="443" t="s">
        <v>881</v>
      </c>
      <c r="C301" s="452"/>
      <c r="D301" s="452"/>
      <c r="E301" s="452"/>
      <c r="F301" s="452"/>
      <c r="G301" s="444" t="s">
        <v>286</v>
      </c>
    </row>
    <row r="302" spans="2:7" ht="15" hidden="1" outlineLevel="1" x14ac:dyDescent="0.2">
      <c r="B302" s="443" t="s">
        <v>882</v>
      </c>
      <c r="C302" s="444" t="s">
        <v>286</v>
      </c>
      <c r="D302" s="452"/>
      <c r="E302" s="452"/>
      <c r="F302" s="452"/>
      <c r="G302" s="452"/>
    </row>
    <row r="303" spans="2:7" ht="15" hidden="1" outlineLevel="1" x14ac:dyDescent="0.2">
      <c r="B303" s="443" t="s">
        <v>883</v>
      </c>
      <c r="C303" s="452"/>
      <c r="D303" s="444" t="s">
        <v>286</v>
      </c>
      <c r="E303" s="452"/>
      <c r="F303" s="452"/>
      <c r="G303" s="452"/>
    </row>
    <row r="304" spans="2:7" ht="15" hidden="1" outlineLevel="1" x14ac:dyDescent="0.2">
      <c r="B304" s="443" t="s">
        <v>884</v>
      </c>
      <c r="C304" s="452"/>
      <c r="D304" s="453"/>
      <c r="E304" s="444" t="s">
        <v>286</v>
      </c>
      <c r="F304" s="452"/>
      <c r="G304" s="452"/>
    </row>
    <row r="305" spans="2:7" ht="15" hidden="1" outlineLevel="1" x14ac:dyDescent="0.2">
      <c r="B305" s="443" t="s">
        <v>885</v>
      </c>
      <c r="C305" s="452"/>
      <c r="D305" s="452"/>
      <c r="E305" s="444" t="s">
        <v>286</v>
      </c>
      <c r="F305" s="452"/>
      <c r="G305" s="452"/>
    </row>
    <row r="306" spans="2:7" ht="15" hidden="1" outlineLevel="1" x14ac:dyDescent="0.2">
      <c r="B306" s="443" t="s">
        <v>886</v>
      </c>
      <c r="C306" s="452"/>
      <c r="D306" s="452"/>
      <c r="E306" s="452"/>
      <c r="F306" s="444" t="s">
        <v>286</v>
      </c>
      <c r="G306" s="452"/>
    </row>
    <row r="307" spans="2:7" ht="15" hidden="1" outlineLevel="1" x14ac:dyDescent="0.2">
      <c r="B307" s="443" t="s">
        <v>887</v>
      </c>
      <c r="C307" s="452"/>
      <c r="D307" s="452"/>
      <c r="E307" s="453"/>
      <c r="F307" s="452"/>
      <c r="G307" s="444" t="s">
        <v>286</v>
      </c>
    </row>
    <row r="308" spans="2:7" ht="15" hidden="1" outlineLevel="1" x14ac:dyDescent="0.2">
      <c r="B308" s="443" t="s">
        <v>888</v>
      </c>
      <c r="C308" s="452"/>
      <c r="D308" s="444" t="s">
        <v>286</v>
      </c>
      <c r="E308" s="452"/>
      <c r="F308" s="452"/>
      <c r="G308" s="452"/>
    </row>
    <row r="309" spans="2:7" ht="15" hidden="1" outlineLevel="1" x14ac:dyDescent="0.2">
      <c r="B309" s="443" t="s">
        <v>889</v>
      </c>
      <c r="C309" s="452"/>
      <c r="D309" s="452"/>
      <c r="E309" s="444" t="s">
        <v>286</v>
      </c>
      <c r="F309" s="452"/>
      <c r="G309" s="452"/>
    </row>
    <row r="310" spans="2:7" ht="15" hidden="1" outlineLevel="1" x14ac:dyDescent="0.2">
      <c r="B310" s="443" t="s">
        <v>890</v>
      </c>
      <c r="C310" s="452"/>
      <c r="D310" s="452"/>
      <c r="E310" s="452"/>
      <c r="F310" s="444" t="s">
        <v>286</v>
      </c>
      <c r="G310" s="452"/>
    </row>
    <row r="311" spans="2:7" ht="15" hidden="1" outlineLevel="1" x14ac:dyDescent="0.2">
      <c r="B311" s="443" t="s">
        <v>891</v>
      </c>
      <c r="C311" s="452"/>
      <c r="D311" s="452"/>
      <c r="E311" s="452"/>
      <c r="F311" s="452"/>
      <c r="G311" s="444" t="s">
        <v>286</v>
      </c>
    </row>
    <row r="312" spans="2:7" ht="15" hidden="1" outlineLevel="1" x14ac:dyDescent="0.2">
      <c r="B312" s="443" t="s">
        <v>892</v>
      </c>
      <c r="C312" s="452"/>
      <c r="D312" s="452"/>
      <c r="E312" s="444" t="s">
        <v>286</v>
      </c>
      <c r="F312" s="452"/>
      <c r="G312" s="452"/>
    </row>
    <row r="313" spans="2:7" ht="15" hidden="1" outlineLevel="1" x14ac:dyDescent="0.2">
      <c r="B313" s="443" t="s">
        <v>893</v>
      </c>
      <c r="C313" s="452"/>
      <c r="D313" s="452"/>
      <c r="E313" s="452"/>
      <c r="F313" s="444" t="s">
        <v>286</v>
      </c>
      <c r="G313" s="452"/>
    </row>
    <row r="314" spans="2:7" ht="15" hidden="1" outlineLevel="1" x14ac:dyDescent="0.2">
      <c r="B314" s="443" t="s">
        <v>894</v>
      </c>
      <c r="C314" s="452"/>
      <c r="D314" s="452"/>
      <c r="E314" s="452"/>
      <c r="F314" s="452"/>
      <c r="G314" s="444" t="s">
        <v>286</v>
      </c>
    </row>
    <row r="315" spans="2:7" ht="15.75" collapsed="1" x14ac:dyDescent="0.2">
      <c r="B315" s="1119" t="s">
        <v>706</v>
      </c>
      <c r="C315" s="1119"/>
      <c r="D315" s="1119"/>
      <c r="E315" s="1119"/>
      <c r="F315" s="1119"/>
      <c r="G315" s="1119"/>
    </row>
    <row r="316" spans="2:7" ht="15.75" hidden="1" outlineLevel="1" x14ac:dyDescent="0.2">
      <c r="B316" s="885"/>
      <c r="C316" s="885"/>
      <c r="D316" s="885"/>
      <c r="E316" s="885"/>
      <c r="F316" s="885"/>
      <c r="G316" s="885"/>
    </row>
    <row r="317" spans="2:7" ht="15.75" collapsed="1" x14ac:dyDescent="0.2">
      <c r="B317" s="1119" t="s">
        <v>707</v>
      </c>
      <c r="C317" s="1119"/>
      <c r="D317" s="1119"/>
      <c r="E317" s="1119"/>
      <c r="F317" s="1119"/>
      <c r="G317" s="1119"/>
    </row>
    <row r="318" spans="2:7" ht="25.5" hidden="1" outlineLevel="1" x14ac:dyDescent="0.2">
      <c r="B318" s="443" t="s">
        <v>895</v>
      </c>
      <c r="C318" s="444" t="s">
        <v>286</v>
      </c>
      <c r="D318" s="452"/>
      <c r="E318" s="452"/>
      <c r="F318" s="452"/>
      <c r="G318" s="452"/>
    </row>
    <row r="319" spans="2:7" ht="25.5" hidden="1" outlineLevel="1" x14ac:dyDescent="0.2">
      <c r="B319" s="443" t="s">
        <v>896</v>
      </c>
      <c r="C319" s="453"/>
      <c r="D319" s="444" t="s">
        <v>286</v>
      </c>
      <c r="E319" s="452"/>
      <c r="F319" s="452"/>
      <c r="G319" s="452"/>
    </row>
    <row r="320" spans="2:7" ht="25.5" hidden="1" outlineLevel="1" x14ac:dyDescent="0.2">
      <c r="B320" s="443" t="s">
        <v>897</v>
      </c>
      <c r="C320" s="452"/>
      <c r="D320" s="452"/>
      <c r="E320" s="444" t="s">
        <v>286</v>
      </c>
      <c r="F320" s="452"/>
      <c r="G320" s="452"/>
    </row>
    <row r="321" spans="2:7" ht="15" hidden="1" outlineLevel="1" x14ac:dyDescent="0.2">
      <c r="B321" s="443" t="s">
        <v>898</v>
      </c>
      <c r="C321" s="452"/>
      <c r="D321" s="444" t="s">
        <v>286</v>
      </c>
      <c r="E321" s="452"/>
      <c r="F321" s="452"/>
      <c r="G321" s="452"/>
    </row>
    <row r="322" spans="2:7" ht="15" hidden="1" outlineLevel="1" x14ac:dyDescent="0.2">
      <c r="B322" s="443" t="s">
        <v>899</v>
      </c>
      <c r="C322" s="452"/>
      <c r="D322" s="452"/>
      <c r="E322" s="444" t="s">
        <v>286</v>
      </c>
      <c r="F322" s="452"/>
      <c r="G322" s="452"/>
    </row>
    <row r="323" spans="2:7" ht="15" hidden="1" outlineLevel="1" x14ac:dyDescent="0.2">
      <c r="B323" s="443" t="s">
        <v>900</v>
      </c>
      <c r="C323" s="452"/>
      <c r="D323" s="452"/>
      <c r="E323" s="452"/>
      <c r="F323" s="444" t="s">
        <v>286</v>
      </c>
      <c r="G323" s="452"/>
    </row>
    <row r="324" spans="2:7" ht="15" hidden="1" outlineLevel="1" x14ac:dyDescent="0.2">
      <c r="B324" s="443" t="s">
        <v>901</v>
      </c>
      <c r="C324" s="452"/>
      <c r="D324" s="444" t="s">
        <v>286</v>
      </c>
      <c r="E324" s="452"/>
      <c r="F324" s="452"/>
      <c r="G324" s="452"/>
    </row>
    <row r="325" spans="2:7" ht="15" hidden="1" outlineLevel="1" x14ac:dyDescent="0.2">
      <c r="B325" s="443" t="s">
        <v>902</v>
      </c>
      <c r="C325" s="452"/>
      <c r="D325" s="452"/>
      <c r="E325" s="444" t="s">
        <v>286</v>
      </c>
      <c r="F325" s="452"/>
      <c r="G325" s="452"/>
    </row>
    <row r="326" spans="2:7" ht="15" hidden="1" outlineLevel="1" x14ac:dyDescent="0.2">
      <c r="B326" s="443" t="s">
        <v>903</v>
      </c>
      <c r="C326" s="452"/>
      <c r="D326" s="444" t="s">
        <v>286</v>
      </c>
      <c r="E326" s="452"/>
      <c r="F326" s="452"/>
      <c r="G326" s="452"/>
    </row>
    <row r="327" spans="2:7" ht="15" hidden="1" outlineLevel="1" x14ac:dyDescent="0.2">
      <c r="B327" s="443" t="s">
        <v>904</v>
      </c>
      <c r="C327" s="452"/>
      <c r="D327" s="452"/>
      <c r="E327" s="444" t="s">
        <v>286</v>
      </c>
      <c r="F327" s="452"/>
      <c r="G327" s="452"/>
    </row>
    <row r="328" spans="2:7" ht="15" hidden="1" outlineLevel="1" x14ac:dyDescent="0.2">
      <c r="B328" s="443" t="s">
        <v>905</v>
      </c>
      <c r="C328" s="452"/>
      <c r="D328" s="444" t="s">
        <v>286</v>
      </c>
      <c r="E328" s="452"/>
      <c r="F328" s="452"/>
      <c r="G328" s="452"/>
    </row>
    <row r="329" spans="2:7" ht="15" hidden="1" outlineLevel="1" x14ac:dyDescent="0.2">
      <c r="B329" s="443" t="s">
        <v>906</v>
      </c>
      <c r="C329" s="452"/>
      <c r="D329" s="452"/>
      <c r="E329" s="444" t="s">
        <v>286</v>
      </c>
      <c r="F329" s="452"/>
      <c r="G329" s="452"/>
    </row>
    <row r="330" spans="2:7" ht="15" hidden="1" outlineLevel="1" x14ac:dyDescent="0.2">
      <c r="B330" s="443" t="s">
        <v>907</v>
      </c>
      <c r="C330" s="452"/>
      <c r="D330" s="452"/>
      <c r="E330" s="452"/>
      <c r="F330" s="444" t="s">
        <v>286</v>
      </c>
      <c r="G330" s="452"/>
    </row>
    <row r="331" spans="2:7" ht="15" hidden="1" outlineLevel="1" x14ac:dyDescent="0.2">
      <c r="B331" s="443" t="s">
        <v>908</v>
      </c>
      <c r="C331" s="452"/>
      <c r="D331" s="452"/>
      <c r="E331" s="444" t="s">
        <v>286</v>
      </c>
      <c r="F331" s="452"/>
      <c r="G331" s="452"/>
    </row>
    <row r="332" spans="2:7" ht="25.5" hidden="1" outlineLevel="1" x14ac:dyDescent="0.2">
      <c r="B332" s="443" t="s">
        <v>909</v>
      </c>
      <c r="C332" s="452"/>
      <c r="D332" s="452"/>
      <c r="E332" s="452"/>
      <c r="F332" s="444" t="s">
        <v>286</v>
      </c>
      <c r="G332" s="452"/>
    </row>
    <row r="333" spans="2:7" ht="15" hidden="1" outlineLevel="1" x14ac:dyDescent="0.2">
      <c r="B333" s="443" t="s">
        <v>910</v>
      </c>
      <c r="C333" s="452"/>
      <c r="D333" s="452"/>
      <c r="E333" s="452"/>
      <c r="F333" s="444" t="s">
        <v>286</v>
      </c>
      <c r="G333" s="452"/>
    </row>
    <row r="334" spans="2:7" ht="15" hidden="1" outlineLevel="1" x14ac:dyDescent="0.2">
      <c r="B334" s="443" t="s">
        <v>911</v>
      </c>
      <c r="C334" s="452"/>
      <c r="D334" s="452"/>
      <c r="E334" s="452"/>
      <c r="F334" s="452"/>
      <c r="G334" s="444" t="s">
        <v>286</v>
      </c>
    </row>
    <row r="335" spans="2:7" ht="15" hidden="1" outlineLevel="1" x14ac:dyDescent="0.2">
      <c r="B335" s="443" t="s">
        <v>912</v>
      </c>
      <c r="C335" s="452"/>
      <c r="D335" s="452"/>
      <c r="E335" s="452"/>
      <c r="F335" s="444" t="s">
        <v>286</v>
      </c>
      <c r="G335" s="452"/>
    </row>
    <row r="336" spans="2:7" ht="15" hidden="1" outlineLevel="1" x14ac:dyDescent="0.2">
      <c r="B336" s="443" t="s">
        <v>913</v>
      </c>
      <c r="C336" s="452"/>
      <c r="D336" s="452"/>
      <c r="E336" s="452"/>
      <c r="F336" s="444" t="s">
        <v>286</v>
      </c>
      <c r="G336" s="452"/>
    </row>
    <row r="337" spans="2:7" ht="15" hidden="1" outlineLevel="1" x14ac:dyDescent="0.2">
      <c r="B337" s="443" t="s">
        <v>914</v>
      </c>
      <c r="C337" s="452"/>
      <c r="D337" s="452"/>
      <c r="E337" s="452"/>
      <c r="F337" s="444" t="s">
        <v>286</v>
      </c>
      <c r="G337" s="452"/>
    </row>
    <row r="338" spans="2:7" ht="15" hidden="1" outlineLevel="1" x14ac:dyDescent="0.2">
      <c r="B338" s="443" t="s">
        <v>915</v>
      </c>
      <c r="C338" s="452"/>
      <c r="D338" s="452"/>
      <c r="E338" s="444" t="s">
        <v>286</v>
      </c>
      <c r="F338" s="452"/>
      <c r="G338" s="452"/>
    </row>
    <row r="339" spans="2:7" ht="25.5" hidden="1" outlineLevel="1" x14ac:dyDescent="0.2">
      <c r="B339" s="443" t="s">
        <v>916</v>
      </c>
      <c r="C339" s="452"/>
      <c r="D339" s="452"/>
      <c r="E339" s="453"/>
      <c r="F339" s="444" t="s">
        <v>286</v>
      </c>
      <c r="G339" s="452"/>
    </row>
    <row r="340" spans="2:7" ht="15" hidden="1" outlineLevel="1" x14ac:dyDescent="0.2">
      <c r="B340" s="443" t="s">
        <v>917</v>
      </c>
      <c r="C340" s="452"/>
      <c r="D340" s="452"/>
      <c r="E340" s="452"/>
      <c r="F340" s="444" t="s">
        <v>286</v>
      </c>
      <c r="G340" s="452"/>
    </row>
    <row r="341" spans="2:7" ht="15" hidden="1" outlineLevel="1" x14ac:dyDescent="0.2">
      <c r="B341" s="443" t="s">
        <v>918</v>
      </c>
      <c r="C341" s="452"/>
      <c r="D341" s="452"/>
      <c r="E341" s="452"/>
      <c r="F341" s="444" t="s">
        <v>286</v>
      </c>
      <c r="G341" s="452"/>
    </row>
    <row r="342" spans="2:7" ht="15" hidden="1" outlineLevel="1" x14ac:dyDescent="0.2">
      <c r="B342" s="443" t="s">
        <v>919</v>
      </c>
      <c r="C342" s="452"/>
      <c r="D342" s="452"/>
      <c r="E342" s="452"/>
      <c r="F342" s="452"/>
      <c r="G342" s="444" t="s">
        <v>286</v>
      </c>
    </row>
    <row r="343" spans="2:7" ht="15.75" collapsed="1" x14ac:dyDescent="0.2">
      <c r="B343" s="446" t="s">
        <v>708</v>
      </c>
      <c r="C343" s="454"/>
      <c r="D343" s="454"/>
      <c r="E343" s="454"/>
      <c r="F343" s="454"/>
      <c r="G343" s="454"/>
    </row>
    <row r="344" spans="2:7" ht="15" hidden="1" outlineLevel="1" x14ac:dyDescent="0.2">
      <c r="B344" s="443" t="s">
        <v>920</v>
      </c>
      <c r="C344" s="444" t="s">
        <v>286</v>
      </c>
      <c r="D344" s="452"/>
      <c r="E344" s="452"/>
      <c r="F344" s="452"/>
      <c r="G344" s="452"/>
    </row>
    <row r="345" spans="2:7" ht="15" hidden="1" outlineLevel="1" x14ac:dyDescent="0.2">
      <c r="B345" s="443" t="s">
        <v>921</v>
      </c>
      <c r="C345" s="452"/>
      <c r="D345" s="444" t="s">
        <v>286</v>
      </c>
      <c r="E345" s="452"/>
      <c r="F345" s="452"/>
      <c r="G345" s="452"/>
    </row>
    <row r="346" spans="2:7" ht="15" hidden="1" outlineLevel="1" x14ac:dyDescent="0.2">
      <c r="B346" s="443" t="s">
        <v>922</v>
      </c>
      <c r="C346" s="452"/>
      <c r="D346" s="452"/>
      <c r="E346" s="444" t="s">
        <v>286</v>
      </c>
      <c r="F346" s="452"/>
      <c r="G346" s="452"/>
    </row>
    <row r="347" spans="2:7" ht="15" hidden="1" outlineLevel="1" x14ac:dyDescent="0.2">
      <c r="B347" s="443" t="s">
        <v>923</v>
      </c>
      <c r="C347" s="452"/>
      <c r="D347" s="452"/>
      <c r="E347" s="452"/>
      <c r="F347" s="444" t="s">
        <v>286</v>
      </c>
      <c r="G347" s="452"/>
    </row>
    <row r="348" spans="2:7" ht="15" hidden="1" outlineLevel="1" x14ac:dyDescent="0.2">
      <c r="B348" s="443" t="s">
        <v>924</v>
      </c>
      <c r="C348" s="452"/>
      <c r="D348" s="444" t="s">
        <v>286</v>
      </c>
      <c r="E348" s="452"/>
      <c r="F348" s="452"/>
      <c r="G348" s="452"/>
    </row>
    <row r="349" spans="2:7" ht="15" hidden="1" outlineLevel="1" x14ac:dyDescent="0.2">
      <c r="B349" s="443" t="s">
        <v>925</v>
      </c>
      <c r="C349" s="452"/>
      <c r="D349" s="452"/>
      <c r="E349" s="444" t="s">
        <v>286</v>
      </c>
      <c r="F349" s="452"/>
      <c r="G349" s="452"/>
    </row>
    <row r="350" spans="2:7" ht="15" hidden="1" outlineLevel="1" x14ac:dyDescent="0.2">
      <c r="B350" s="443" t="s">
        <v>926</v>
      </c>
      <c r="C350" s="452"/>
      <c r="D350" s="452"/>
      <c r="E350" s="444" t="s">
        <v>286</v>
      </c>
      <c r="F350" s="452"/>
      <c r="G350" s="452"/>
    </row>
    <row r="351" spans="2:7" ht="15" hidden="1" outlineLevel="1" x14ac:dyDescent="0.2">
      <c r="B351" s="443" t="s">
        <v>927</v>
      </c>
      <c r="C351" s="452"/>
      <c r="D351" s="452"/>
      <c r="E351" s="452"/>
      <c r="F351" s="444" t="s">
        <v>286</v>
      </c>
      <c r="G351" s="452"/>
    </row>
    <row r="352" spans="2:7" ht="15" hidden="1" outlineLevel="1" x14ac:dyDescent="0.2">
      <c r="B352" s="443" t="s">
        <v>928</v>
      </c>
      <c r="C352" s="452"/>
      <c r="D352" s="452"/>
      <c r="E352" s="452"/>
      <c r="F352" s="452"/>
      <c r="G352" s="444" t="s">
        <v>286</v>
      </c>
    </row>
    <row r="353" spans="2:7" ht="15" hidden="1" outlineLevel="1" x14ac:dyDescent="0.2">
      <c r="B353" s="443" t="s">
        <v>929</v>
      </c>
      <c r="C353" s="452"/>
      <c r="D353" s="452"/>
      <c r="E353" s="452"/>
      <c r="F353" s="452"/>
      <c r="G353" s="444" t="s">
        <v>286</v>
      </c>
    </row>
    <row r="354" spans="2:7" ht="15" hidden="1" outlineLevel="1" x14ac:dyDescent="0.2">
      <c r="B354" s="443" t="s">
        <v>930</v>
      </c>
      <c r="C354" s="452"/>
      <c r="D354" s="452"/>
      <c r="E354" s="444" t="s">
        <v>286</v>
      </c>
      <c r="F354" s="452"/>
      <c r="G354" s="452"/>
    </row>
    <row r="355" spans="2:7" ht="15" hidden="1" outlineLevel="1" x14ac:dyDescent="0.2">
      <c r="B355" s="443" t="s">
        <v>931</v>
      </c>
      <c r="C355" s="452"/>
      <c r="D355" s="452"/>
      <c r="E355" s="452"/>
      <c r="F355" s="444" t="s">
        <v>286</v>
      </c>
      <c r="G355" s="452"/>
    </row>
    <row r="356" spans="2:7" ht="15" hidden="1" outlineLevel="1" x14ac:dyDescent="0.2">
      <c r="B356" s="443" t="s">
        <v>932</v>
      </c>
      <c r="C356" s="452"/>
      <c r="D356" s="452"/>
      <c r="E356" s="452"/>
      <c r="F356" s="452"/>
      <c r="G356" s="444" t="s">
        <v>286</v>
      </c>
    </row>
    <row r="357" spans="2:7" ht="15" hidden="1" outlineLevel="1" x14ac:dyDescent="0.2">
      <c r="B357" s="443" t="s">
        <v>933</v>
      </c>
      <c r="C357" s="452"/>
      <c r="D357" s="452"/>
      <c r="E357" s="444" t="s">
        <v>286</v>
      </c>
      <c r="F357" s="452"/>
      <c r="G357" s="452"/>
    </row>
    <row r="358" spans="2:7" ht="15" hidden="1" outlineLevel="1" x14ac:dyDescent="0.2">
      <c r="B358" s="443" t="s">
        <v>934</v>
      </c>
      <c r="C358" s="452"/>
      <c r="D358" s="452"/>
      <c r="E358" s="452"/>
      <c r="F358" s="444" t="s">
        <v>286</v>
      </c>
      <c r="G358" s="452"/>
    </row>
    <row r="359" spans="2:7" ht="15" hidden="1" outlineLevel="1" x14ac:dyDescent="0.2">
      <c r="B359" s="443" t="s">
        <v>935</v>
      </c>
      <c r="C359" s="452"/>
      <c r="D359" s="452"/>
      <c r="E359" s="452"/>
      <c r="F359" s="452"/>
      <c r="G359" s="444" t="s">
        <v>286</v>
      </c>
    </row>
    <row r="360" spans="2:7" ht="15.75" collapsed="1" x14ac:dyDescent="0.2">
      <c r="B360" s="446" t="s">
        <v>709</v>
      </c>
      <c r="C360" s="454"/>
      <c r="D360" s="454"/>
      <c r="E360" s="454"/>
      <c r="F360" s="454"/>
      <c r="G360" s="454"/>
    </row>
    <row r="361" spans="2:7" ht="15" hidden="1" outlineLevel="1" x14ac:dyDescent="0.2">
      <c r="B361" s="443" t="s">
        <v>936</v>
      </c>
      <c r="C361" s="452"/>
      <c r="D361" s="444" t="s">
        <v>286</v>
      </c>
      <c r="E361" s="452"/>
      <c r="F361" s="452"/>
      <c r="G361" s="452"/>
    </row>
    <row r="362" spans="2:7" ht="15" hidden="1" outlineLevel="1" x14ac:dyDescent="0.2">
      <c r="B362" s="443" t="s">
        <v>937</v>
      </c>
      <c r="C362" s="452"/>
      <c r="D362" s="452"/>
      <c r="E362" s="444" t="s">
        <v>286</v>
      </c>
      <c r="F362" s="452"/>
      <c r="G362" s="452"/>
    </row>
    <row r="363" spans="2:7" ht="15" hidden="1" outlineLevel="1" x14ac:dyDescent="0.2">
      <c r="B363" s="443" t="s">
        <v>938</v>
      </c>
      <c r="C363" s="452"/>
      <c r="D363" s="452"/>
      <c r="E363" s="452"/>
      <c r="F363" s="444" t="s">
        <v>286</v>
      </c>
      <c r="G363" s="452"/>
    </row>
    <row r="364" spans="2:7" ht="15" hidden="1" outlineLevel="1" x14ac:dyDescent="0.2">
      <c r="B364" s="443" t="s">
        <v>939</v>
      </c>
      <c r="C364" s="452"/>
      <c r="D364" s="452"/>
      <c r="E364" s="452"/>
      <c r="F364" s="452"/>
      <c r="G364" s="444" t="s">
        <v>286</v>
      </c>
    </row>
    <row r="365" spans="2:7" ht="15" hidden="1" outlineLevel="1" x14ac:dyDescent="0.2">
      <c r="B365" s="443" t="s">
        <v>940</v>
      </c>
      <c r="C365" s="444" t="s">
        <v>286</v>
      </c>
      <c r="D365" s="452"/>
      <c r="E365" s="452"/>
      <c r="F365" s="452"/>
      <c r="G365" s="452"/>
    </row>
    <row r="366" spans="2:7" ht="15" hidden="1" outlineLevel="1" x14ac:dyDescent="0.2">
      <c r="B366" s="443" t="s">
        <v>941</v>
      </c>
      <c r="C366" s="452"/>
      <c r="D366" s="444" t="s">
        <v>286</v>
      </c>
      <c r="E366" s="452"/>
      <c r="F366" s="452"/>
      <c r="G366" s="452"/>
    </row>
    <row r="367" spans="2:7" ht="15" hidden="1" outlineLevel="1" x14ac:dyDescent="0.2">
      <c r="B367" s="443" t="s">
        <v>942</v>
      </c>
      <c r="C367" s="452"/>
      <c r="D367" s="452"/>
      <c r="E367" s="444" t="s">
        <v>286</v>
      </c>
      <c r="F367" s="452"/>
      <c r="G367" s="452"/>
    </row>
    <row r="368" spans="2:7" ht="15" hidden="1" outlineLevel="1" x14ac:dyDescent="0.2">
      <c r="B368" s="443" t="s">
        <v>943</v>
      </c>
      <c r="C368" s="452"/>
      <c r="D368" s="452"/>
      <c r="E368" s="452"/>
      <c r="F368" s="444" t="s">
        <v>286</v>
      </c>
      <c r="G368" s="452"/>
    </row>
    <row r="369" spans="1:16" ht="25.5" hidden="1" outlineLevel="1" x14ac:dyDescent="0.2">
      <c r="B369" s="443" t="s">
        <v>944</v>
      </c>
      <c r="C369" s="452"/>
      <c r="D369" s="452"/>
      <c r="E369" s="452"/>
      <c r="F369" s="452"/>
      <c r="G369" s="444" t="s">
        <v>286</v>
      </c>
    </row>
    <row r="370" spans="1:16" ht="15" hidden="1" outlineLevel="1" x14ac:dyDescent="0.2">
      <c r="B370" s="443" t="s">
        <v>945</v>
      </c>
      <c r="C370" s="452"/>
      <c r="D370" s="452"/>
      <c r="E370" s="452"/>
      <c r="F370" s="444" t="s">
        <v>286</v>
      </c>
      <c r="G370" s="452"/>
    </row>
    <row r="371" spans="1:16" ht="38.25" hidden="1" outlineLevel="1" x14ac:dyDescent="0.2">
      <c r="B371" s="443" t="s">
        <v>946</v>
      </c>
      <c r="C371" s="444" t="s">
        <v>286</v>
      </c>
      <c r="D371" s="452"/>
      <c r="E371" s="452"/>
      <c r="F371" s="452"/>
      <c r="G371" s="452"/>
    </row>
    <row r="372" spans="1:16" ht="25.5" hidden="1" outlineLevel="1" x14ac:dyDescent="0.2">
      <c r="B372" s="443" t="s">
        <v>947</v>
      </c>
      <c r="C372" s="452"/>
      <c r="D372" s="444" t="s">
        <v>286</v>
      </c>
      <c r="E372" s="452"/>
      <c r="F372" s="452"/>
      <c r="G372" s="452"/>
    </row>
    <row r="373" spans="1:16" ht="25.5" hidden="1" outlineLevel="1" x14ac:dyDescent="0.2">
      <c r="B373" s="443" t="s">
        <v>948</v>
      </c>
      <c r="C373" s="452"/>
      <c r="D373" s="452"/>
      <c r="E373" s="444" t="s">
        <v>286</v>
      </c>
      <c r="F373" s="452"/>
      <c r="G373" s="452"/>
    </row>
    <row r="374" spans="1:16" ht="15" hidden="1" outlineLevel="1" x14ac:dyDescent="0.2">
      <c r="B374" s="443" t="s">
        <v>949</v>
      </c>
      <c r="C374" s="452"/>
      <c r="D374" s="452"/>
      <c r="E374" s="452"/>
      <c r="F374" s="444" t="s">
        <v>286</v>
      </c>
      <c r="G374" s="452"/>
    </row>
    <row r="375" spans="1:16" ht="15" hidden="1" outlineLevel="1" x14ac:dyDescent="0.2">
      <c r="B375" s="443" t="s">
        <v>950</v>
      </c>
      <c r="C375" s="452"/>
      <c r="D375" s="452"/>
      <c r="E375" s="452"/>
      <c r="F375" s="452"/>
      <c r="G375" s="444" t="s">
        <v>286</v>
      </c>
    </row>
    <row r="376" spans="1:16" ht="25.5" hidden="1" outlineLevel="1" x14ac:dyDescent="0.2">
      <c r="B376" s="443" t="s">
        <v>951</v>
      </c>
      <c r="C376" s="452"/>
      <c r="D376" s="452"/>
      <c r="E376" s="444" t="s">
        <v>286</v>
      </c>
      <c r="F376" s="452"/>
      <c r="G376" s="452"/>
    </row>
    <row r="377" spans="1:16" ht="25.5" hidden="1" outlineLevel="1" x14ac:dyDescent="0.2">
      <c r="B377" s="443" t="s">
        <v>952</v>
      </c>
      <c r="C377" s="452"/>
      <c r="D377" s="452"/>
      <c r="E377" s="452"/>
      <c r="F377" s="444" t="s">
        <v>286</v>
      </c>
      <c r="G377" s="452"/>
    </row>
    <row r="378" spans="1:16" ht="15" hidden="1" outlineLevel="1" x14ac:dyDescent="0.2">
      <c r="B378" s="613" t="s">
        <v>953</v>
      </c>
      <c r="C378" s="614"/>
      <c r="D378" s="614"/>
      <c r="E378" s="614"/>
      <c r="F378" s="614"/>
      <c r="G378" s="615" t="s">
        <v>286</v>
      </c>
      <c r="I378" s="611"/>
      <c r="J378" s="611"/>
      <c r="K378" s="611"/>
      <c r="L378" s="611"/>
      <c r="M378" s="611"/>
      <c r="N378" s="611"/>
      <c r="O378" s="611"/>
    </row>
    <row r="380" spans="1:16" ht="15.75" x14ac:dyDescent="0.25">
      <c r="A380" s="623"/>
      <c r="B380" s="624" t="s">
        <v>558</v>
      </c>
      <c r="C380" s="624"/>
      <c r="D380" s="624"/>
      <c r="E380" s="624"/>
      <c r="F380" s="624"/>
      <c r="G380" s="624"/>
      <c r="H380" s="623"/>
      <c r="I380" s="624" t="s">
        <v>559</v>
      </c>
      <c r="J380" s="626"/>
      <c r="K380" s="626"/>
      <c r="L380" s="626"/>
      <c r="M380" s="626"/>
      <c r="N380" s="626"/>
      <c r="O380" s="623"/>
      <c r="P380" s="623"/>
    </row>
    <row r="381" spans="1:16" ht="15.75" x14ac:dyDescent="0.25">
      <c r="A381" s="333" t="s">
        <v>6</v>
      </c>
      <c r="B381" s="335" t="s">
        <v>454</v>
      </c>
      <c r="C381" s="335"/>
      <c r="D381" s="335"/>
      <c r="E381" s="335"/>
      <c r="F381" s="417" t="s">
        <v>458</v>
      </c>
      <c r="G381" s="336">
        <v>5</v>
      </c>
      <c r="I381" s="350" t="s">
        <v>104</v>
      </c>
      <c r="J381" s="350"/>
      <c r="K381" s="350" t="s">
        <v>242</v>
      </c>
      <c r="L381" s="350"/>
      <c r="M381" s="350"/>
      <c r="N381" s="350"/>
      <c r="O381" s="350"/>
    </row>
    <row r="382" spans="1:16" ht="15.75" x14ac:dyDescent="0.25">
      <c r="A382" s="337" t="s">
        <v>7</v>
      </c>
      <c r="B382" s="339" t="s">
        <v>455</v>
      </c>
      <c r="C382" s="339"/>
      <c r="D382" s="339"/>
      <c r="E382" s="339"/>
      <c r="F382" s="418" t="s">
        <v>458</v>
      </c>
      <c r="G382" s="340">
        <v>4</v>
      </c>
      <c r="I382" s="351" t="s">
        <v>105</v>
      </c>
      <c r="J382" s="351"/>
      <c r="K382" s="351" t="s">
        <v>462</v>
      </c>
      <c r="L382" s="351"/>
      <c r="M382" s="351"/>
      <c r="N382" s="351"/>
      <c r="O382" s="351"/>
    </row>
    <row r="383" spans="1:16" ht="15.75" x14ac:dyDescent="0.25">
      <c r="A383" s="337" t="s">
        <v>8</v>
      </c>
      <c r="B383" s="339" t="s">
        <v>456</v>
      </c>
      <c r="C383" s="339"/>
      <c r="D383" s="339"/>
      <c r="E383" s="339"/>
      <c r="F383" s="418" t="s">
        <v>458</v>
      </c>
      <c r="G383" s="340">
        <v>4</v>
      </c>
      <c r="I383" s="351" t="s">
        <v>106</v>
      </c>
      <c r="J383" s="351"/>
      <c r="K383" s="351" t="s">
        <v>463</v>
      </c>
      <c r="L383" s="351"/>
      <c r="M383" s="351"/>
      <c r="N383" s="351"/>
      <c r="O383" s="351"/>
    </row>
    <row r="384" spans="1:16" ht="15.75" x14ac:dyDescent="0.25">
      <c r="A384" s="337" t="s">
        <v>142</v>
      </c>
      <c r="B384" s="339" t="s">
        <v>457</v>
      </c>
      <c r="C384" s="339"/>
      <c r="D384" s="339"/>
      <c r="E384" s="339"/>
      <c r="F384" s="418" t="s">
        <v>459</v>
      </c>
      <c r="G384" s="340">
        <v>9</v>
      </c>
      <c r="I384" s="351" t="s">
        <v>107</v>
      </c>
      <c r="J384" s="351"/>
      <c r="K384" s="351" t="s">
        <v>464</v>
      </c>
      <c r="L384" s="351"/>
      <c r="M384" s="351"/>
      <c r="N384" s="351"/>
      <c r="O384" s="351"/>
    </row>
    <row r="385" spans="1:15" ht="15.75" x14ac:dyDescent="0.25">
      <c r="A385" s="341" t="s">
        <v>143</v>
      </c>
      <c r="B385" s="343" t="s">
        <v>453</v>
      </c>
      <c r="C385" s="343"/>
      <c r="D385" s="343"/>
      <c r="E385" s="343"/>
      <c r="F385" s="419" t="s">
        <v>460</v>
      </c>
      <c r="G385" s="344">
        <v>12</v>
      </c>
      <c r="I385" s="352" t="s">
        <v>108</v>
      </c>
      <c r="J385" s="352"/>
      <c r="K385" s="352" t="s">
        <v>465</v>
      </c>
      <c r="L385" s="352"/>
      <c r="M385" s="352"/>
      <c r="N385" s="352"/>
      <c r="O385" s="352"/>
    </row>
    <row r="386" spans="1:15" ht="15.75" x14ac:dyDescent="0.25">
      <c r="A386" s="106"/>
      <c r="B386" s="106"/>
      <c r="C386" s="106"/>
      <c r="D386" s="106"/>
      <c r="E386" s="106"/>
      <c r="F386" s="415" t="s">
        <v>461</v>
      </c>
      <c r="G386" s="328">
        <f>SUM(G381:G385)</f>
        <v>34</v>
      </c>
    </row>
    <row r="387" spans="1:15" ht="15.75" x14ac:dyDescent="0.2">
      <c r="B387" s="67" t="s">
        <v>271</v>
      </c>
      <c r="C387" s="65"/>
      <c r="D387" s="65"/>
      <c r="E387" s="65"/>
      <c r="F387" s="416" t="str">
        <f>IF(G386&lt;10,I381,IF(G386&lt;18,I382,IF(G386&lt;26,I383,IF(G386&lt;34,I384,IF(G386&lt;41,I385,"NAPAKA")))))</f>
        <v>Cenovni razred V</v>
      </c>
      <c r="G387" s="65"/>
    </row>
    <row r="391" spans="1:15" ht="15.75" x14ac:dyDescent="0.25">
      <c r="B391" s="432" t="s">
        <v>326</v>
      </c>
      <c r="C391" s="500" t="s">
        <v>281</v>
      </c>
      <c r="D391" s="500" t="s">
        <v>282</v>
      </c>
      <c r="E391" s="500" t="s">
        <v>283</v>
      </c>
      <c r="F391" s="500" t="s">
        <v>284</v>
      </c>
      <c r="G391" s="500" t="s">
        <v>285</v>
      </c>
    </row>
    <row r="392" spans="1:15" ht="15.75" collapsed="1" x14ac:dyDescent="0.2">
      <c r="B392" s="556" t="s">
        <v>710</v>
      </c>
      <c r="C392" s="452"/>
      <c r="D392" s="452"/>
      <c r="E392" s="444"/>
      <c r="F392" s="452"/>
      <c r="G392" s="452"/>
    </row>
    <row r="393" spans="1:15" ht="15" hidden="1" outlineLevel="1" x14ac:dyDescent="0.2">
      <c r="B393" s="555" t="s">
        <v>474</v>
      </c>
      <c r="C393" s="452"/>
      <c r="D393" s="452"/>
      <c r="E393" s="452"/>
      <c r="F393" s="444"/>
      <c r="G393" s="452"/>
    </row>
    <row r="394" spans="1:15" ht="15" hidden="1" outlineLevel="1" x14ac:dyDescent="0.2">
      <c r="B394" s="443" t="s">
        <v>475</v>
      </c>
      <c r="C394" s="452"/>
      <c r="D394" s="452" t="s">
        <v>286</v>
      </c>
      <c r="E394" s="444"/>
      <c r="F394" s="452"/>
      <c r="G394" s="452"/>
    </row>
    <row r="395" spans="1:15" ht="15" hidden="1" outlineLevel="1" x14ac:dyDescent="0.2">
      <c r="B395" s="443" t="s">
        <v>476</v>
      </c>
      <c r="C395" s="452"/>
      <c r="D395" s="452"/>
      <c r="E395" s="452" t="s">
        <v>286</v>
      </c>
      <c r="F395" s="444"/>
      <c r="G395" s="452"/>
    </row>
    <row r="396" spans="1:15" ht="25.5" hidden="1" outlineLevel="1" x14ac:dyDescent="0.2">
      <c r="B396" s="443" t="s">
        <v>477</v>
      </c>
      <c r="C396" s="452"/>
      <c r="D396" s="452"/>
      <c r="E396" s="444"/>
      <c r="F396" s="452" t="s">
        <v>286</v>
      </c>
      <c r="G396" s="452"/>
    </row>
    <row r="397" spans="1:15" ht="15" hidden="1" outlineLevel="1" x14ac:dyDescent="0.2">
      <c r="B397" s="443" t="s">
        <v>478</v>
      </c>
      <c r="C397" s="452"/>
      <c r="D397" s="452"/>
      <c r="E397" s="452"/>
      <c r="F397" s="444"/>
      <c r="G397" s="452" t="s">
        <v>286</v>
      </c>
    </row>
    <row r="398" spans="1:15" ht="15" hidden="1" outlineLevel="1" x14ac:dyDescent="0.2">
      <c r="B398" s="554" t="s">
        <v>479</v>
      </c>
      <c r="C398" s="452"/>
      <c r="D398" s="452"/>
      <c r="E398" s="444"/>
      <c r="F398" s="452"/>
      <c r="G398" s="452"/>
    </row>
    <row r="399" spans="1:15" ht="15" hidden="1" outlineLevel="1" x14ac:dyDescent="0.2">
      <c r="B399" s="443" t="s">
        <v>480</v>
      </c>
      <c r="C399" s="452"/>
      <c r="D399" s="452" t="s">
        <v>286</v>
      </c>
      <c r="E399" s="452"/>
      <c r="F399" s="444"/>
      <c r="G399" s="452"/>
    </row>
    <row r="400" spans="1:15" ht="25.5" hidden="1" outlineLevel="1" x14ac:dyDescent="0.2">
      <c r="B400" s="443" t="s">
        <v>481</v>
      </c>
      <c r="C400" s="452"/>
      <c r="D400" s="452"/>
      <c r="E400" s="444" t="s">
        <v>286</v>
      </c>
      <c r="F400" s="452"/>
      <c r="G400" s="452"/>
    </row>
    <row r="401" spans="2:7" ht="25.5" hidden="1" outlineLevel="1" x14ac:dyDescent="0.2">
      <c r="B401" s="443" t="s">
        <v>482</v>
      </c>
      <c r="C401" s="452"/>
      <c r="D401" s="452"/>
      <c r="E401" s="452"/>
      <c r="F401" s="444" t="s">
        <v>286</v>
      </c>
      <c r="G401" s="452"/>
    </row>
    <row r="402" spans="2:7" ht="25.5" hidden="1" outlineLevel="1" x14ac:dyDescent="0.2">
      <c r="B402" s="443" t="s">
        <v>482</v>
      </c>
      <c r="C402" s="452"/>
      <c r="D402" s="452"/>
      <c r="E402" s="444"/>
      <c r="F402" s="452"/>
      <c r="G402" s="452" t="s">
        <v>286</v>
      </c>
    </row>
    <row r="403" spans="2:7" ht="15" hidden="1" outlineLevel="1" x14ac:dyDescent="0.2">
      <c r="B403" s="554" t="s">
        <v>483</v>
      </c>
      <c r="C403" s="452"/>
      <c r="D403" s="452"/>
      <c r="E403" s="452"/>
      <c r="F403" s="444"/>
      <c r="G403" s="452"/>
    </row>
    <row r="404" spans="2:7" ht="15" hidden="1" outlineLevel="1" x14ac:dyDescent="0.2">
      <c r="B404" s="443" t="s">
        <v>484</v>
      </c>
      <c r="C404" s="452" t="s">
        <v>286</v>
      </c>
      <c r="D404" s="452"/>
      <c r="E404" s="444"/>
      <c r="F404" s="452"/>
      <c r="G404" s="452"/>
    </row>
    <row r="405" spans="2:7" ht="15" hidden="1" outlineLevel="1" x14ac:dyDescent="0.2">
      <c r="B405" s="443" t="s">
        <v>485</v>
      </c>
      <c r="C405" s="452"/>
      <c r="D405" s="452" t="s">
        <v>286</v>
      </c>
      <c r="E405" s="452"/>
      <c r="F405" s="444"/>
      <c r="G405" s="452"/>
    </row>
    <row r="406" spans="2:7" ht="15" hidden="1" outlineLevel="1" x14ac:dyDescent="0.2">
      <c r="B406" s="443" t="s">
        <v>486</v>
      </c>
      <c r="C406" s="452"/>
      <c r="D406" s="452"/>
      <c r="E406" s="444" t="s">
        <v>286</v>
      </c>
      <c r="F406" s="452"/>
      <c r="G406" s="452"/>
    </row>
    <row r="407" spans="2:7" ht="15" hidden="1" outlineLevel="1" x14ac:dyDescent="0.2">
      <c r="B407" s="554" t="s">
        <v>487</v>
      </c>
      <c r="C407" s="452"/>
      <c r="D407" s="452"/>
      <c r="E407" s="452"/>
      <c r="F407" s="444"/>
      <c r="G407" s="452"/>
    </row>
    <row r="408" spans="2:7" ht="15" hidden="1" outlineLevel="1" x14ac:dyDescent="0.2">
      <c r="B408" s="443" t="s">
        <v>488</v>
      </c>
      <c r="C408" s="452" t="s">
        <v>286</v>
      </c>
      <c r="D408" s="452"/>
      <c r="E408" s="444"/>
      <c r="F408" s="452"/>
      <c r="G408" s="452"/>
    </row>
    <row r="409" spans="2:7" ht="15" hidden="1" outlineLevel="1" x14ac:dyDescent="0.2">
      <c r="B409" s="443" t="s">
        <v>489</v>
      </c>
      <c r="C409" s="452"/>
      <c r="D409" s="452" t="s">
        <v>286</v>
      </c>
      <c r="E409" s="452"/>
      <c r="F409" s="444"/>
      <c r="G409" s="452"/>
    </row>
    <row r="410" spans="2:7" ht="15" hidden="1" outlineLevel="1" x14ac:dyDescent="0.2">
      <c r="B410" s="443" t="s">
        <v>490</v>
      </c>
      <c r="C410" s="452"/>
      <c r="D410" s="452"/>
      <c r="E410" s="444" t="s">
        <v>491</v>
      </c>
      <c r="F410" s="452"/>
      <c r="G410" s="452"/>
    </row>
    <row r="411" spans="2:7" ht="15" hidden="1" outlineLevel="1" x14ac:dyDescent="0.2">
      <c r="B411" s="443" t="s">
        <v>492</v>
      </c>
      <c r="C411" s="452"/>
      <c r="D411" s="452"/>
      <c r="E411" s="452"/>
      <c r="F411" s="444" t="s">
        <v>286</v>
      </c>
      <c r="G411" s="452"/>
    </row>
    <row r="412" spans="2:7" ht="15" hidden="1" outlineLevel="1" x14ac:dyDescent="0.2">
      <c r="B412" s="443" t="s">
        <v>493</v>
      </c>
      <c r="C412" s="452"/>
      <c r="D412" s="452"/>
      <c r="E412" s="444" t="s">
        <v>286</v>
      </c>
      <c r="F412" s="452"/>
      <c r="G412" s="452"/>
    </row>
    <row r="413" spans="2:7" ht="15" hidden="1" outlineLevel="1" x14ac:dyDescent="0.2">
      <c r="B413" s="443" t="s">
        <v>494</v>
      </c>
      <c r="C413" s="452"/>
      <c r="D413" s="452"/>
      <c r="E413" s="452"/>
      <c r="F413" s="444" t="s">
        <v>286</v>
      </c>
      <c r="G413" s="452"/>
    </row>
    <row r="414" spans="2:7" ht="15" hidden="1" outlineLevel="1" x14ac:dyDescent="0.2">
      <c r="B414" s="554" t="s">
        <v>495</v>
      </c>
      <c r="C414" s="452"/>
      <c r="D414" s="452"/>
      <c r="E414" s="444"/>
      <c r="F414" s="452"/>
      <c r="G414" s="452"/>
    </row>
    <row r="415" spans="2:7" ht="15" hidden="1" outlineLevel="1" x14ac:dyDescent="0.2">
      <c r="B415" s="443" t="s">
        <v>496</v>
      </c>
      <c r="C415" s="452" t="s">
        <v>286</v>
      </c>
      <c r="D415" s="452"/>
      <c r="E415" s="452"/>
      <c r="F415" s="444"/>
      <c r="G415" s="452"/>
    </row>
    <row r="416" spans="2:7" ht="15" hidden="1" outlineLevel="1" x14ac:dyDescent="0.2">
      <c r="B416" s="443" t="s">
        <v>497</v>
      </c>
      <c r="C416" s="452"/>
      <c r="D416" s="452"/>
      <c r="E416" s="444" t="s">
        <v>286</v>
      </c>
      <c r="F416" s="452"/>
      <c r="G416" s="452"/>
    </row>
    <row r="417" spans="2:7" ht="15" hidden="1" outlineLevel="1" x14ac:dyDescent="0.2">
      <c r="B417" s="554" t="s">
        <v>498</v>
      </c>
      <c r="C417" s="452"/>
      <c r="D417" s="452"/>
      <c r="E417" s="452"/>
      <c r="F417" s="444"/>
      <c r="G417" s="452"/>
    </row>
    <row r="418" spans="2:7" ht="15" hidden="1" outlineLevel="1" x14ac:dyDescent="0.2">
      <c r="B418" s="443" t="s">
        <v>499</v>
      </c>
      <c r="C418" s="452"/>
      <c r="D418" s="452" t="s">
        <v>286</v>
      </c>
      <c r="E418" s="444"/>
      <c r="F418" s="452"/>
      <c r="G418" s="452"/>
    </row>
    <row r="419" spans="2:7" ht="15" hidden="1" outlineLevel="1" x14ac:dyDescent="0.2">
      <c r="B419" s="443" t="s">
        <v>500</v>
      </c>
      <c r="C419" s="452"/>
      <c r="D419" s="452"/>
      <c r="E419" s="452" t="s">
        <v>286</v>
      </c>
      <c r="F419" s="444"/>
      <c r="G419" s="452"/>
    </row>
    <row r="420" spans="2:7" ht="15" hidden="1" outlineLevel="1" x14ac:dyDescent="0.2">
      <c r="B420" s="443" t="s">
        <v>501</v>
      </c>
      <c r="C420" s="452"/>
      <c r="D420" s="452"/>
      <c r="E420" s="444"/>
      <c r="F420" s="452" t="s">
        <v>286</v>
      </c>
      <c r="G420" s="452"/>
    </row>
    <row r="421" spans="2:7" ht="15" hidden="1" outlineLevel="1" x14ac:dyDescent="0.2">
      <c r="B421" s="443" t="s">
        <v>502</v>
      </c>
      <c r="C421" s="452"/>
      <c r="D421" s="452"/>
      <c r="E421" s="452" t="s">
        <v>286</v>
      </c>
      <c r="F421" s="444"/>
      <c r="G421" s="452"/>
    </row>
    <row r="422" spans="2:7" ht="15" hidden="1" outlineLevel="1" x14ac:dyDescent="0.2">
      <c r="B422" s="443" t="s">
        <v>503</v>
      </c>
      <c r="C422" s="452"/>
      <c r="D422" s="452"/>
      <c r="E422" s="444"/>
      <c r="F422" s="452" t="s">
        <v>286</v>
      </c>
      <c r="G422" s="452"/>
    </row>
    <row r="423" spans="2:7" ht="15" hidden="1" outlineLevel="1" x14ac:dyDescent="0.2">
      <c r="B423" s="443" t="s">
        <v>504</v>
      </c>
      <c r="C423" s="452"/>
      <c r="D423" s="452"/>
      <c r="E423" s="452"/>
      <c r="F423" s="444"/>
      <c r="G423" s="452" t="s">
        <v>286</v>
      </c>
    </row>
    <row r="424" spans="2:7" ht="15.75" collapsed="1" x14ac:dyDescent="0.2">
      <c r="B424" s="541" t="s">
        <v>711</v>
      </c>
      <c r="C424" s="452"/>
      <c r="D424" s="452"/>
      <c r="E424" s="444"/>
      <c r="F424" s="452"/>
      <c r="G424" s="452"/>
    </row>
    <row r="425" spans="2:7" ht="15" hidden="1" outlineLevel="1" x14ac:dyDescent="0.2">
      <c r="B425" s="554" t="s">
        <v>505</v>
      </c>
      <c r="C425" s="452"/>
      <c r="D425" s="452"/>
      <c r="E425" s="452"/>
      <c r="F425" s="444"/>
      <c r="G425" s="452"/>
    </row>
    <row r="426" spans="2:7" ht="15" hidden="1" outlineLevel="1" x14ac:dyDescent="0.2">
      <c r="B426" s="443" t="s">
        <v>506</v>
      </c>
      <c r="C426" s="452" t="s">
        <v>286</v>
      </c>
      <c r="D426" s="452"/>
      <c r="E426" s="444"/>
      <c r="F426" s="452"/>
      <c r="G426" s="452"/>
    </row>
    <row r="427" spans="2:7" ht="15" hidden="1" outlineLevel="1" x14ac:dyDescent="0.2">
      <c r="B427" s="443" t="s">
        <v>475</v>
      </c>
      <c r="C427" s="452"/>
      <c r="D427" s="452" t="s">
        <v>286</v>
      </c>
      <c r="E427" s="452"/>
      <c r="F427" s="444"/>
      <c r="G427" s="452"/>
    </row>
    <row r="428" spans="2:7" ht="15" hidden="1" outlineLevel="1" x14ac:dyDescent="0.2">
      <c r="B428" s="443" t="s">
        <v>476</v>
      </c>
      <c r="C428" s="452"/>
      <c r="D428" s="452"/>
      <c r="E428" s="444" t="s">
        <v>286</v>
      </c>
      <c r="F428" s="452"/>
      <c r="G428" s="452"/>
    </row>
    <row r="429" spans="2:7" ht="25.5" hidden="1" outlineLevel="1" x14ac:dyDescent="0.2">
      <c r="B429" s="443" t="s">
        <v>477</v>
      </c>
      <c r="C429" s="452"/>
      <c r="D429" s="452"/>
      <c r="E429" s="452"/>
      <c r="F429" s="444" t="s">
        <v>286</v>
      </c>
      <c r="G429" s="452"/>
    </row>
    <row r="430" spans="2:7" ht="15" hidden="1" outlineLevel="1" x14ac:dyDescent="0.2">
      <c r="B430" s="554" t="s">
        <v>507</v>
      </c>
      <c r="C430" s="452"/>
      <c r="D430" s="452"/>
      <c r="E430" s="444"/>
      <c r="F430" s="452"/>
      <c r="G430" s="452"/>
    </row>
    <row r="431" spans="2:7" ht="15" hidden="1" outlineLevel="1" x14ac:dyDescent="0.2">
      <c r="B431" s="443" t="s">
        <v>508</v>
      </c>
      <c r="C431" s="452"/>
      <c r="D431" s="452" t="s">
        <v>286</v>
      </c>
      <c r="E431" s="452"/>
      <c r="F431" s="444"/>
      <c r="G431" s="452"/>
    </row>
    <row r="432" spans="2:7" ht="15" hidden="1" outlineLevel="1" x14ac:dyDescent="0.2">
      <c r="B432" s="443" t="s">
        <v>509</v>
      </c>
      <c r="C432" s="452"/>
      <c r="D432" s="452"/>
      <c r="E432" s="444" t="s">
        <v>286</v>
      </c>
      <c r="F432" s="452"/>
      <c r="G432" s="452"/>
    </row>
    <row r="433" spans="1:16" ht="15" hidden="1" outlineLevel="1" x14ac:dyDescent="0.2">
      <c r="B433" s="443" t="s">
        <v>510</v>
      </c>
      <c r="C433" s="452"/>
      <c r="D433" s="452"/>
      <c r="E433" s="452"/>
      <c r="F433" s="444" t="s">
        <v>286</v>
      </c>
      <c r="G433" s="452"/>
    </row>
    <row r="434" spans="1:16" ht="15.75" collapsed="1" x14ac:dyDescent="0.2">
      <c r="B434" s="541" t="s">
        <v>712</v>
      </c>
      <c r="C434" s="452"/>
      <c r="D434" s="452"/>
      <c r="E434" s="444"/>
      <c r="F434" s="452"/>
      <c r="G434" s="452"/>
    </row>
    <row r="435" spans="1:16" ht="15" hidden="1" outlineLevel="1" x14ac:dyDescent="0.2">
      <c r="B435" s="443" t="s">
        <v>511</v>
      </c>
      <c r="C435" s="452"/>
      <c r="D435" s="452" t="s">
        <v>286</v>
      </c>
      <c r="E435" s="452"/>
      <c r="F435" s="444"/>
      <c r="G435" s="452"/>
    </row>
    <row r="436" spans="1:16" ht="25.5" hidden="1" outlineLevel="1" x14ac:dyDescent="0.2">
      <c r="B436" s="443" t="s">
        <v>512</v>
      </c>
      <c r="C436" s="452"/>
      <c r="D436" s="452"/>
      <c r="E436" s="444" t="s">
        <v>513</v>
      </c>
      <c r="F436" s="452"/>
      <c r="G436" s="452"/>
    </row>
    <row r="437" spans="1:16" ht="15" hidden="1" outlineLevel="1" x14ac:dyDescent="0.2">
      <c r="B437" s="616" t="s">
        <v>514</v>
      </c>
      <c r="C437" s="617"/>
      <c r="D437" s="617"/>
      <c r="E437" s="617"/>
      <c r="F437" s="618" t="s">
        <v>286</v>
      </c>
      <c r="G437" s="617"/>
    </row>
    <row r="438" spans="1:16" x14ac:dyDescent="0.2">
      <c r="A438" s="397"/>
      <c r="B438" s="619"/>
      <c r="C438" s="620"/>
      <c r="D438" s="620"/>
      <c r="E438" s="620"/>
      <c r="F438" s="620"/>
      <c r="G438" s="620"/>
    </row>
    <row r="439" spans="1:16" x14ac:dyDescent="0.2">
      <c r="A439" s="397"/>
      <c r="B439" s="397"/>
      <c r="C439" s="399"/>
      <c r="D439" s="399"/>
      <c r="E439" s="399"/>
      <c r="F439" s="399"/>
      <c r="G439" s="399"/>
    </row>
    <row r="440" spans="1:16" ht="15.75" x14ac:dyDescent="0.25">
      <c r="A440" s="623"/>
      <c r="B440" s="624" t="s">
        <v>561</v>
      </c>
      <c r="C440" s="624"/>
      <c r="D440" s="624"/>
      <c r="E440" s="624"/>
      <c r="F440" s="624"/>
      <c r="G440" s="624"/>
      <c r="H440" s="623"/>
      <c r="I440" s="624" t="s">
        <v>560</v>
      </c>
      <c r="J440" s="626"/>
      <c r="K440" s="626"/>
      <c r="L440" s="626"/>
      <c r="M440" s="626"/>
      <c r="N440" s="626"/>
      <c r="O440" s="626"/>
      <c r="P440" s="623"/>
    </row>
    <row r="441" spans="1:16" ht="15.75" x14ac:dyDescent="0.25">
      <c r="A441" s="333" t="s">
        <v>6</v>
      </c>
      <c r="B441" s="335" t="s">
        <v>454</v>
      </c>
      <c r="C441" s="335"/>
      <c r="D441" s="335"/>
      <c r="E441" s="335"/>
      <c r="F441" s="417" t="s">
        <v>458</v>
      </c>
      <c r="G441" s="336">
        <v>3</v>
      </c>
      <c r="I441" s="350" t="s">
        <v>104</v>
      </c>
      <c r="J441" s="350"/>
      <c r="K441" s="350" t="s">
        <v>242</v>
      </c>
      <c r="L441" s="350"/>
      <c r="M441" s="350"/>
      <c r="N441" s="350"/>
      <c r="O441" s="350"/>
    </row>
    <row r="442" spans="1:16" ht="15.75" x14ac:dyDescent="0.25">
      <c r="A442" s="337" t="s">
        <v>7</v>
      </c>
      <c r="B442" s="339" t="s">
        <v>455</v>
      </c>
      <c r="C442" s="339"/>
      <c r="D442" s="339"/>
      <c r="E442" s="339"/>
      <c r="F442" s="418" t="s">
        <v>458</v>
      </c>
      <c r="G442" s="340">
        <v>2</v>
      </c>
      <c r="I442" s="351" t="s">
        <v>105</v>
      </c>
      <c r="J442" s="351"/>
      <c r="K442" s="351" t="s">
        <v>462</v>
      </c>
      <c r="L442" s="351"/>
      <c r="M442" s="351"/>
      <c r="N442" s="351"/>
      <c r="O442" s="351"/>
    </row>
    <row r="443" spans="1:16" ht="15.75" x14ac:dyDescent="0.25">
      <c r="A443" s="337" t="s">
        <v>8</v>
      </c>
      <c r="B443" s="339" t="s">
        <v>466</v>
      </c>
      <c r="C443" s="339"/>
      <c r="D443" s="339"/>
      <c r="E443" s="339"/>
      <c r="F443" s="418" t="s">
        <v>460</v>
      </c>
      <c r="G443" s="340">
        <v>5</v>
      </c>
      <c r="I443" s="351" t="s">
        <v>106</v>
      </c>
      <c r="J443" s="351"/>
      <c r="K443" s="351" t="s">
        <v>463</v>
      </c>
      <c r="L443" s="351"/>
      <c r="M443" s="351"/>
      <c r="N443" s="351"/>
      <c r="O443" s="351"/>
    </row>
    <row r="444" spans="1:16" ht="15.75" x14ac:dyDescent="0.25">
      <c r="A444" s="337" t="s">
        <v>142</v>
      </c>
      <c r="B444" s="339" t="s">
        <v>457</v>
      </c>
      <c r="C444" s="339"/>
      <c r="D444" s="339"/>
      <c r="E444" s="339"/>
      <c r="F444" s="418" t="s">
        <v>459</v>
      </c>
      <c r="G444" s="340">
        <v>8</v>
      </c>
      <c r="I444" s="351" t="s">
        <v>107</v>
      </c>
      <c r="J444" s="351"/>
      <c r="K444" s="351" t="s">
        <v>464</v>
      </c>
      <c r="L444" s="351"/>
      <c r="M444" s="351"/>
      <c r="N444" s="351"/>
      <c r="O444" s="351"/>
    </row>
    <row r="445" spans="1:16" ht="15.75" x14ac:dyDescent="0.25">
      <c r="A445" s="341" t="s">
        <v>143</v>
      </c>
      <c r="B445" s="343" t="s">
        <v>453</v>
      </c>
      <c r="C445" s="343"/>
      <c r="D445" s="343"/>
      <c r="E445" s="343"/>
      <c r="F445" s="419" t="s">
        <v>458</v>
      </c>
      <c r="G445" s="344">
        <v>4</v>
      </c>
      <c r="I445" s="352" t="s">
        <v>108</v>
      </c>
      <c r="J445" s="352"/>
      <c r="K445" s="352" t="s">
        <v>465</v>
      </c>
      <c r="L445" s="352"/>
      <c r="M445" s="352"/>
      <c r="N445" s="352"/>
      <c r="O445" s="352"/>
    </row>
    <row r="446" spans="1:16" ht="15.75" x14ac:dyDescent="0.25">
      <c r="A446" s="106"/>
      <c r="B446" s="106"/>
      <c r="C446" s="106"/>
      <c r="D446" s="106"/>
      <c r="E446" s="106"/>
      <c r="F446" s="415" t="s">
        <v>461</v>
      </c>
      <c r="G446" s="328">
        <f>SUM(G441:G445)</f>
        <v>22</v>
      </c>
    </row>
    <row r="447" spans="1:16" ht="15.75" x14ac:dyDescent="0.2">
      <c r="B447" s="67" t="s">
        <v>271</v>
      </c>
      <c r="C447" s="65"/>
      <c r="D447" s="65"/>
      <c r="E447" s="65"/>
      <c r="F447" s="416" t="str">
        <f>IF(G446&lt;10,I441,IF(G446&lt;18,I442,IF(G446&lt;26,I443,IF(G446&lt;34,I444,IF(G446&lt;41,I445,"NAPAKA")))))</f>
        <v>Cenovni razred III</v>
      </c>
      <c r="G447" s="65"/>
    </row>
    <row r="454" spans="1:7" ht="15.75" collapsed="1" x14ac:dyDescent="0.25">
      <c r="B454" s="432" t="s">
        <v>327</v>
      </c>
      <c r="C454" s="500" t="s">
        <v>281</v>
      </c>
      <c r="D454" s="500" t="s">
        <v>282</v>
      </c>
      <c r="E454" s="500" t="s">
        <v>283</v>
      </c>
      <c r="F454" s="500" t="s">
        <v>284</v>
      </c>
      <c r="G454" s="500" t="s">
        <v>285</v>
      </c>
    </row>
    <row r="455" spans="1:7" ht="51" hidden="1" outlineLevel="1" x14ac:dyDescent="0.2">
      <c r="A455" s="559"/>
      <c r="B455" s="561" t="s">
        <v>515</v>
      </c>
      <c r="C455" s="562" t="s">
        <v>286</v>
      </c>
      <c r="D455" s="562"/>
      <c r="E455" s="562"/>
      <c r="F455" s="562"/>
      <c r="G455" s="562"/>
    </row>
    <row r="456" spans="1:7" ht="38.25" hidden="1" outlineLevel="1" x14ac:dyDescent="0.2">
      <c r="A456" s="559"/>
      <c r="B456" s="563" t="s">
        <v>530</v>
      </c>
      <c r="C456" s="564"/>
      <c r="D456" s="564" t="s">
        <v>286</v>
      </c>
      <c r="E456" s="564"/>
      <c r="F456" s="564"/>
      <c r="G456" s="564"/>
    </row>
    <row r="457" spans="1:7" ht="38.25" hidden="1" outlineLevel="1" x14ac:dyDescent="0.2">
      <c r="A457" s="559"/>
      <c r="B457" s="563" t="s">
        <v>529</v>
      </c>
      <c r="C457" s="627"/>
      <c r="D457" s="627"/>
      <c r="E457" s="627" t="s">
        <v>286</v>
      </c>
      <c r="F457" s="627"/>
      <c r="G457" s="627"/>
    </row>
    <row r="458" spans="1:7" ht="51" hidden="1" outlineLevel="1" x14ac:dyDescent="0.2">
      <c r="A458" s="560"/>
      <c r="B458" s="565" t="s">
        <v>528</v>
      </c>
      <c r="C458" s="426"/>
      <c r="D458" s="426"/>
      <c r="E458" s="426"/>
      <c r="F458" s="456" t="s">
        <v>286</v>
      </c>
      <c r="G458" s="426"/>
    </row>
    <row r="459" spans="1:7" ht="25.5" hidden="1" outlineLevel="1" x14ac:dyDescent="0.2">
      <c r="A459" s="559"/>
      <c r="B459" s="563" t="s">
        <v>527</v>
      </c>
      <c r="C459" s="426"/>
      <c r="D459" s="426"/>
      <c r="E459" s="426"/>
      <c r="F459" s="426"/>
      <c r="G459" s="456" t="s">
        <v>286</v>
      </c>
    </row>
    <row r="460" spans="1:7" ht="15.75" collapsed="1" x14ac:dyDescent="0.2">
      <c r="A460" s="557"/>
      <c r="B460" s="427" t="s">
        <v>516</v>
      </c>
      <c r="C460" s="628"/>
      <c r="D460" s="628"/>
      <c r="E460" s="628"/>
      <c r="F460" s="628"/>
      <c r="G460" s="628"/>
    </row>
    <row r="461" spans="1:7" ht="38.25" hidden="1" outlineLevel="1" x14ac:dyDescent="0.2">
      <c r="A461" s="559"/>
      <c r="B461" s="443" t="s">
        <v>946</v>
      </c>
      <c r="C461" s="456" t="s">
        <v>286</v>
      </c>
      <c r="D461" s="426"/>
      <c r="E461" s="426"/>
      <c r="F461" s="426"/>
      <c r="G461" s="426"/>
    </row>
    <row r="462" spans="1:7" ht="25.5" hidden="1" outlineLevel="1" x14ac:dyDescent="0.2">
      <c r="A462" s="559"/>
      <c r="B462" s="443" t="s">
        <v>947</v>
      </c>
      <c r="C462" s="426"/>
      <c r="D462" s="456" t="s">
        <v>286</v>
      </c>
      <c r="E462" s="426"/>
      <c r="F462" s="426"/>
      <c r="G462" s="426"/>
    </row>
    <row r="463" spans="1:7" ht="13.15" hidden="1" customHeight="1" outlineLevel="1" x14ac:dyDescent="0.2">
      <c r="A463" s="559"/>
      <c r="B463" s="443" t="s">
        <v>948</v>
      </c>
      <c r="C463" s="426"/>
      <c r="D463" s="426"/>
      <c r="E463" s="456" t="s">
        <v>286</v>
      </c>
      <c r="F463" s="426"/>
      <c r="G463" s="426"/>
    </row>
    <row r="464" spans="1:7" hidden="1" outlineLevel="1" x14ac:dyDescent="0.2">
      <c r="A464" s="559"/>
      <c r="B464" s="443" t="s">
        <v>949</v>
      </c>
      <c r="C464" s="426"/>
      <c r="D464" s="426"/>
      <c r="E464" s="426"/>
      <c r="F464" s="456" t="s">
        <v>286</v>
      </c>
      <c r="G464" s="426"/>
    </row>
    <row r="465" spans="1:7" hidden="1" outlineLevel="1" x14ac:dyDescent="0.2">
      <c r="A465" s="559"/>
      <c r="B465" s="443" t="s">
        <v>950</v>
      </c>
      <c r="C465" s="426"/>
      <c r="D465" s="426"/>
      <c r="E465" s="426"/>
      <c r="F465" s="426"/>
      <c r="G465" s="456" t="s">
        <v>286</v>
      </c>
    </row>
    <row r="466" spans="1:7" ht="15.75" collapsed="1" x14ac:dyDescent="0.2">
      <c r="A466" s="558"/>
      <c r="B466" s="427" t="s">
        <v>517</v>
      </c>
      <c r="C466" s="628"/>
      <c r="D466" s="628"/>
      <c r="E466" s="628"/>
      <c r="F466" s="628"/>
      <c r="G466" s="628"/>
    </row>
    <row r="467" spans="1:7" hidden="1" outlineLevel="1" x14ac:dyDescent="0.2">
      <c r="A467" s="559"/>
      <c r="B467" s="563" t="s">
        <v>954</v>
      </c>
      <c r="C467" s="426"/>
      <c r="D467" s="456" t="s">
        <v>286</v>
      </c>
      <c r="E467" s="426"/>
      <c r="F467" s="426"/>
      <c r="G467" s="426"/>
    </row>
    <row r="468" spans="1:7" ht="34.9" hidden="1" customHeight="1" outlineLevel="1" x14ac:dyDescent="0.2">
      <c r="A468" s="559"/>
      <c r="B468" s="567" t="s">
        <v>955</v>
      </c>
      <c r="C468" s="426"/>
      <c r="D468" s="426"/>
      <c r="E468" s="456" t="s">
        <v>286</v>
      </c>
      <c r="F468" s="426"/>
      <c r="G468" s="426"/>
    </row>
    <row r="469" spans="1:7" ht="29.45" hidden="1" customHeight="1" outlineLevel="1" x14ac:dyDescent="0.2">
      <c r="A469" s="559"/>
      <c r="B469" s="567" t="s">
        <v>956</v>
      </c>
      <c r="C469" s="426"/>
      <c r="D469" s="426"/>
      <c r="E469" s="426"/>
      <c r="F469" s="456" t="s">
        <v>286</v>
      </c>
      <c r="G469" s="426"/>
    </row>
    <row r="470" spans="1:7" hidden="1" outlineLevel="1" x14ac:dyDescent="0.2">
      <c r="A470" s="558"/>
      <c r="B470" s="566"/>
      <c r="C470" s="628"/>
      <c r="D470" s="628"/>
      <c r="E470" s="628"/>
      <c r="F470" s="628"/>
      <c r="G470" s="628"/>
    </row>
    <row r="471" spans="1:7" ht="25.5" hidden="1" outlineLevel="1" x14ac:dyDescent="0.2">
      <c r="A471" s="559"/>
      <c r="B471" s="563" t="s">
        <v>957</v>
      </c>
      <c r="C471" s="426"/>
      <c r="D471" s="456" t="s">
        <v>286</v>
      </c>
      <c r="E471" s="426"/>
      <c r="F471" s="426"/>
      <c r="G471" s="426"/>
    </row>
    <row r="472" spans="1:7" hidden="1" outlineLevel="1" x14ac:dyDescent="0.2">
      <c r="A472" s="559"/>
      <c r="B472" s="563" t="s">
        <v>958</v>
      </c>
      <c r="C472" s="426"/>
      <c r="D472" s="426"/>
      <c r="E472" s="456" t="s">
        <v>286</v>
      </c>
      <c r="F472" s="426"/>
      <c r="G472" s="426"/>
    </row>
    <row r="473" spans="1:7" ht="25.5" hidden="1" outlineLevel="1" x14ac:dyDescent="0.2">
      <c r="A473" s="559"/>
      <c r="B473" s="563" t="s">
        <v>959</v>
      </c>
      <c r="C473" s="426"/>
      <c r="D473" s="426"/>
      <c r="E473" s="426"/>
      <c r="F473" s="456" t="s">
        <v>286</v>
      </c>
      <c r="G473" s="426"/>
    </row>
    <row r="474" spans="1:7" ht="15.75" collapsed="1" x14ac:dyDescent="0.2">
      <c r="A474" s="558"/>
      <c r="B474" s="427" t="s">
        <v>518</v>
      </c>
      <c r="C474" s="628"/>
      <c r="D474" s="628"/>
      <c r="E474" s="628"/>
      <c r="F474" s="628"/>
      <c r="G474" s="628"/>
    </row>
    <row r="475" spans="1:7" hidden="1" outlineLevel="1" x14ac:dyDescent="0.2">
      <c r="A475" s="559"/>
      <c r="B475" s="563" t="s">
        <v>960</v>
      </c>
      <c r="C475" s="426"/>
      <c r="D475" s="426"/>
      <c r="E475" s="456" t="s">
        <v>286</v>
      </c>
      <c r="F475" s="426"/>
      <c r="G475" s="426"/>
    </row>
    <row r="476" spans="1:7" hidden="1" outlineLevel="1" x14ac:dyDescent="0.2">
      <c r="A476" s="559"/>
      <c r="B476" s="563" t="s">
        <v>961</v>
      </c>
      <c r="C476" s="426"/>
      <c r="D476" s="426"/>
      <c r="E476" s="426"/>
      <c r="F476" s="456" t="s">
        <v>286</v>
      </c>
      <c r="G476" s="426"/>
    </row>
    <row r="477" spans="1:7" ht="15.75" collapsed="1" x14ac:dyDescent="0.2">
      <c r="A477" s="558"/>
      <c r="B477" s="427" t="s">
        <v>519</v>
      </c>
      <c r="C477" s="628"/>
      <c r="D477" s="628"/>
      <c r="E477" s="628"/>
      <c r="F477" s="628"/>
      <c r="G477" s="628"/>
    </row>
    <row r="478" spans="1:7" hidden="1" outlineLevel="1" x14ac:dyDescent="0.2">
      <c r="A478" s="559"/>
      <c r="B478" s="563" t="s">
        <v>962</v>
      </c>
      <c r="C478" s="426"/>
      <c r="D478" s="456" t="s">
        <v>286</v>
      </c>
      <c r="E478" s="426"/>
      <c r="F478" s="426"/>
      <c r="G478" s="426"/>
    </row>
    <row r="479" spans="1:7" hidden="1" outlineLevel="1" x14ac:dyDescent="0.2">
      <c r="A479" s="559"/>
      <c r="B479" s="563" t="s">
        <v>963</v>
      </c>
      <c r="C479" s="426"/>
      <c r="D479" s="426"/>
      <c r="E479" s="456" t="s">
        <v>286</v>
      </c>
      <c r="F479" s="426"/>
      <c r="G479" s="426"/>
    </row>
    <row r="480" spans="1:7" hidden="1" outlineLevel="1" x14ac:dyDescent="0.2">
      <c r="A480" s="559"/>
      <c r="B480" s="563" t="s">
        <v>964</v>
      </c>
      <c r="C480" s="426"/>
      <c r="D480" s="426"/>
      <c r="E480" s="426"/>
      <c r="F480" s="456" t="s">
        <v>286</v>
      </c>
      <c r="G480" s="426"/>
    </row>
    <row r="481" spans="1:7" hidden="1" outlineLevel="1" x14ac:dyDescent="0.2">
      <c r="A481" s="559"/>
      <c r="B481" s="563" t="s">
        <v>964</v>
      </c>
      <c r="C481" s="426"/>
      <c r="D481" s="426"/>
      <c r="E481" s="426"/>
      <c r="F481" s="426"/>
      <c r="G481" s="456" t="s">
        <v>286</v>
      </c>
    </row>
    <row r="482" spans="1:7" hidden="1" outlineLevel="1" x14ac:dyDescent="0.2">
      <c r="A482" s="559"/>
      <c r="B482" s="563" t="s">
        <v>965</v>
      </c>
      <c r="C482" s="426"/>
      <c r="D482" s="426"/>
      <c r="E482" s="426"/>
      <c r="F482" s="456" t="s">
        <v>286</v>
      </c>
      <c r="G482" s="426"/>
    </row>
    <row r="483" spans="1:7" hidden="1" outlineLevel="1" x14ac:dyDescent="0.2">
      <c r="A483" s="559"/>
      <c r="B483" s="563" t="s">
        <v>966</v>
      </c>
      <c r="C483" s="426"/>
      <c r="D483" s="426"/>
      <c r="E483" s="426"/>
      <c r="F483" s="426"/>
      <c r="G483" s="456" t="s">
        <v>286</v>
      </c>
    </row>
    <row r="484" spans="1:7" hidden="1" outlineLevel="1" x14ac:dyDescent="0.2">
      <c r="A484" s="559"/>
      <c r="B484" s="563" t="s">
        <v>967</v>
      </c>
      <c r="C484" s="426"/>
      <c r="D484" s="426"/>
      <c r="E484" s="426"/>
      <c r="F484" s="456" t="s">
        <v>286</v>
      </c>
      <c r="G484" s="426"/>
    </row>
    <row r="485" spans="1:7" hidden="1" outlineLevel="1" x14ac:dyDescent="0.2">
      <c r="A485" s="559"/>
      <c r="B485" s="563" t="s">
        <v>968</v>
      </c>
      <c r="C485" s="426"/>
      <c r="D485" s="426"/>
      <c r="E485" s="426"/>
      <c r="F485" s="426"/>
      <c r="G485" s="456" t="s">
        <v>286</v>
      </c>
    </row>
    <row r="486" spans="1:7" hidden="1" outlineLevel="1" x14ac:dyDescent="0.2">
      <c r="A486" s="559"/>
      <c r="B486" s="563" t="s">
        <v>969</v>
      </c>
      <c r="C486" s="426"/>
      <c r="D486" s="426"/>
      <c r="E486" s="426"/>
      <c r="F486" s="456" t="s">
        <v>286</v>
      </c>
      <c r="G486" s="426"/>
    </row>
    <row r="487" spans="1:7" ht="25.5" hidden="1" outlineLevel="1" x14ac:dyDescent="0.2">
      <c r="A487" s="559"/>
      <c r="B487" s="563" t="s">
        <v>970</v>
      </c>
      <c r="C487" s="426"/>
      <c r="D487" s="426"/>
      <c r="E487" s="426"/>
      <c r="F487" s="426"/>
      <c r="G487" s="456" t="s">
        <v>286</v>
      </c>
    </row>
    <row r="488" spans="1:7" hidden="1" outlineLevel="1" x14ac:dyDescent="0.2">
      <c r="A488" s="559"/>
      <c r="B488" s="563" t="s">
        <v>971</v>
      </c>
      <c r="C488" s="426"/>
      <c r="D488" s="426"/>
      <c r="E488" s="426"/>
      <c r="F488" s="456" t="s">
        <v>286</v>
      </c>
      <c r="G488" s="426"/>
    </row>
    <row r="489" spans="1:7" ht="25.5" hidden="1" outlineLevel="1" x14ac:dyDescent="0.2">
      <c r="A489" s="559"/>
      <c r="B489" s="563" t="s">
        <v>972</v>
      </c>
      <c r="C489" s="426"/>
      <c r="D489" s="426"/>
      <c r="E489" s="456" t="s">
        <v>286</v>
      </c>
      <c r="F489" s="426"/>
      <c r="G489" s="426"/>
    </row>
    <row r="490" spans="1:7" hidden="1" outlineLevel="1" x14ac:dyDescent="0.2">
      <c r="A490" s="559"/>
      <c r="B490" s="563" t="s">
        <v>973</v>
      </c>
      <c r="C490" s="426"/>
      <c r="D490" s="426"/>
      <c r="E490" s="426"/>
      <c r="F490" s="456" t="s">
        <v>286</v>
      </c>
      <c r="G490" s="426"/>
    </row>
    <row r="491" spans="1:7" hidden="1" outlineLevel="1" x14ac:dyDescent="0.2">
      <c r="A491" s="559"/>
      <c r="B491" s="568" t="s">
        <v>974</v>
      </c>
      <c r="C491" s="426"/>
      <c r="D491" s="426"/>
      <c r="E491" s="426"/>
      <c r="F491" s="426"/>
      <c r="G491" s="456" t="s">
        <v>286</v>
      </c>
    </row>
    <row r="492" spans="1:7" ht="15.75" collapsed="1" x14ac:dyDescent="0.2">
      <c r="A492" s="558"/>
      <c r="B492" s="427" t="s">
        <v>521</v>
      </c>
      <c r="C492" s="628"/>
      <c r="D492" s="628"/>
      <c r="E492" s="628"/>
      <c r="F492" s="628"/>
      <c r="G492" s="628"/>
    </row>
    <row r="493" spans="1:7" hidden="1" outlineLevel="1" x14ac:dyDescent="0.2">
      <c r="A493" s="559"/>
      <c r="B493" s="563" t="s">
        <v>520</v>
      </c>
      <c r="C493" s="426"/>
      <c r="D493" s="426"/>
      <c r="E493" s="456" t="s">
        <v>286</v>
      </c>
      <c r="F493" s="426"/>
      <c r="G493" s="426"/>
    </row>
    <row r="494" spans="1:7" ht="25.5" hidden="1" outlineLevel="1" x14ac:dyDescent="0.2">
      <c r="A494" s="559"/>
      <c r="B494" s="567" t="s">
        <v>975</v>
      </c>
      <c r="C494" s="426"/>
      <c r="D494" s="426"/>
      <c r="E494" s="426"/>
      <c r="F494" s="456" t="s">
        <v>286</v>
      </c>
      <c r="G494" s="426"/>
    </row>
    <row r="495" spans="1:7" ht="25.5" hidden="1" outlineLevel="1" x14ac:dyDescent="0.2">
      <c r="A495" s="559"/>
      <c r="B495" s="563" t="s">
        <v>976</v>
      </c>
      <c r="C495" s="426"/>
      <c r="D495" s="426"/>
      <c r="E495" s="456" t="s">
        <v>286</v>
      </c>
      <c r="F495" s="426"/>
      <c r="G495" s="426"/>
    </row>
    <row r="496" spans="1:7" hidden="1" outlineLevel="1" x14ac:dyDescent="0.2">
      <c r="A496" s="559"/>
      <c r="B496" s="563" t="s">
        <v>977</v>
      </c>
      <c r="C496" s="426"/>
      <c r="D496" s="426"/>
      <c r="E496" s="426"/>
      <c r="F496" s="456" t="s">
        <v>286</v>
      </c>
      <c r="G496" s="426"/>
    </row>
    <row r="497" spans="1:7" ht="25.5" hidden="1" outlineLevel="1" x14ac:dyDescent="0.2">
      <c r="A497" s="559"/>
      <c r="B497" s="563" t="s">
        <v>978</v>
      </c>
      <c r="C497" s="426"/>
      <c r="D497" s="426"/>
      <c r="E497" s="426"/>
      <c r="F497" s="426"/>
      <c r="G497" s="456" t="s">
        <v>286</v>
      </c>
    </row>
    <row r="498" spans="1:7" hidden="1" outlineLevel="1" x14ac:dyDescent="0.2">
      <c r="A498" s="559"/>
      <c r="B498" s="563" t="s">
        <v>979</v>
      </c>
      <c r="C498" s="426"/>
      <c r="D498" s="426"/>
      <c r="E498" s="426"/>
      <c r="F498" s="456" t="s">
        <v>286</v>
      </c>
      <c r="G498" s="426"/>
    </row>
    <row r="499" spans="1:7" hidden="1" outlineLevel="1" x14ac:dyDescent="0.2">
      <c r="A499" s="559"/>
      <c r="B499" s="563" t="s">
        <v>980</v>
      </c>
      <c r="C499" s="426"/>
      <c r="D499" s="426"/>
      <c r="E499" s="426"/>
      <c r="F499" s="426"/>
      <c r="G499" s="456" t="s">
        <v>286</v>
      </c>
    </row>
    <row r="500" spans="1:7" ht="15.75" collapsed="1" x14ac:dyDescent="0.2">
      <c r="A500" s="558"/>
      <c r="B500" s="427" t="s">
        <v>522</v>
      </c>
      <c r="C500" s="628"/>
      <c r="D500" s="628"/>
      <c r="E500" s="628"/>
      <c r="F500" s="628"/>
      <c r="G500" s="628"/>
    </row>
    <row r="501" spans="1:7" hidden="1" outlineLevel="1" x14ac:dyDescent="0.2">
      <c r="A501" s="559"/>
      <c r="B501" s="563" t="s">
        <v>981</v>
      </c>
      <c r="C501" s="426"/>
      <c r="D501" s="426"/>
      <c r="E501" s="426"/>
      <c r="F501" s="456" t="s">
        <v>286</v>
      </c>
      <c r="G501" s="426"/>
    </row>
    <row r="502" spans="1:7" hidden="1" outlineLevel="1" x14ac:dyDescent="0.2">
      <c r="A502" s="559"/>
      <c r="B502" s="563" t="s">
        <v>982</v>
      </c>
      <c r="C502" s="426"/>
      <c r="D502" s="426"/>
      <c r="E502" s="426"/>
      <c r="F502" s="426"/>
      <c r="G502" s="456" t="s">
        <v>286</v>
      </c>
    </row>
    <row r="503" spans="1:7" ht="15.75" collapsed="1" x14ac:dyDescent="0.2">
      <c r="A503" s="558"/>
      <c r="B503" s="427" t="s">
        <v>523</v>
      </c>
      <c r="C503" s="628"/>
      <c r="D503" s="628"/>
      <c r="E503" s="628"/>
      <c r="F503" s="628"/>
      <c r="G503" s="628"/>
    </row>
    <row r="504" spans="1:7" hidden="1" outlineLevel="1" x14ac:dyDescent="0.2">
      <c r="A504" s="559"/>
      <c r="B504" s="563" t="s">
        <v>983</v>
      </c>
      <c r="C504" s="426"/>
      <c r="D504" s="426"/>
      <c r="E504" s="426"/>
      <c r="F504" s="456" t="s">
        <v>286</v>
      </c>
      <c r="G504" s="426"/>
    </row>
    <row r="505" spans="1:7" hidden="1" outlineLevel="1" x14ac:dyDescent="0.2">
      <c r="A505" s="559"/>
      <c r="B505" s="563" t="s">
        <v>984</v>
      </c>
      <c r="C505" s="426"/>
      <c r="D505" s="426"/>
      <c r="E505" s="426"/>
      <c r="F505" s="426"/>
      <c r="G505" s="456" t="s">
        <v>286</v>
      </c>
    </row>
    <row r="506" spans="1:7" ht="15.75" collapsed="1" x14ac:dyDescent="0.2">
      <c r="A506" s="558"/>
      <c r="B506" s="427" t="s">
        <v>524</v>
      </c>
      <c r="C506" s="628"/>
      <c r="D506" s="628"/>
      <c r="E506" s="628"/>
      <c r="F506" s="628"/>
      <c r="G506" s="628"/>
    </row>
    <row r="507" spans="1:7" ht="25.5" hidden="1" outlineLevel="1" x14ac:dyDescent="0.2">
      <c r="A507" s="559"/>
      <c r="B507" s="563" t="s">
        <v>985</v>
      </c>
      <c r="C507" s="426"/>
      <c r="D507" s="426"/>
      <c r="E507" s="426"/>
      <c r="F507" s="456" t="s">
        <v>286</v>
      </c>
      <c r="G507" s="426"/>
    </row>
    <row r="508" spans="1:7" ht="25.5" hidden="1" outlineLevel="1" x14ac:dyDescent="0.2">
      <c r="A508" s="559"/>
      <c r="B508" s="563" t="s">
        <v>986</v>
      </c>
      <c r="C508" s="426"/>
      <c r="D508" s="426"/>
      <c r="E508" s="426"/>
      <c r="F508" s="426"/>
      <c r="G508" s="456" t="s">
        <v>286</v>
      </c>
    </row>
    <row r="509" spans="1:7" hidden="1" outlineLevel="1" x14ac:dyDescent="0.2">
      <c r="A509" s="559"/>
      <c r="B509" s="563" t="s">
        <v>987</v>
      </c>
      <c r="C509" s="426"/>
      <c r="D509" s="426"/>
      <c r="E509" s="426"/>
      <c r="F509" s="426"/>
      <c r="G509" s="456" t="s">
        <v>286</v>
      </c>
    </row>
    <row r="510" spans="1:7" ht="25.5" hidden="1" outlineLevel="1" x14ac:dyDescent="0.2">
      <c r="A510" s="559"/>
      <c r="B510" s="567" t="s">
        <v>988</v>
      </c>
      <c r="C510" s="426"/>
      <c r="D510" s="426"/>
      <c r="E510" s="426"/>
      <c r="F510" s="426"/>
      <c r="G510" s="456" t="s">
        <v>286</v>
      </c>
    </row>
    <row r="511" spans="1:7" ht="25.5" hidden="1" outlineLevel="1" x14ac:dyDescent="0.2">
      <c r="A511" s="559"/>
      <c r="B511" s="567" t="s">
        <v>989</v>
      </c>
      <c r="C511" s="426"/>
      <c r="D511" s="426"/>
      <c r="E511" s="426"/>
      <c r="F511" s="426"/>
      <c r="G511" s="456" t="s">
        <v>286</v>
      </c>
    </row>
    <row r="512" spans="1:7" ht="15.75" collapsed="1" x14ac:dyDescent="0.2">
      <c r="A512" s="558"/>
      <c r="B512" s="427" t="s">
        <v>525</v>
      </c>
      <c r="C512" s="628"/>
      <c r="D512" s="628"/>
      <c r="E512" s="628"/>
      <c r="F512" s="628"/>
      <c r="G512" s="628"/>
    </row>
    <row r="513" spans="1:7" hidden="1" outlineLevel="1" x14ac:dyDescent="0.2">
      <c r="A513" s="559"/>
      <c r="B513" s="563" t="s">
        <v>990</v>
      </c>
      <c r="C513" s="426"/>
      <c r="D513" s="426"/>
      <c r="E513" s="456" t="s">
        <v>286</v>
      </c>
      <c r="F513" s="426"/>
      <c r="G513" s="426"/>
    </row>
    <row r="514" spans="1:7" hidden="1" outlineLevel="1" x14ac:dyDescent="0.2">
      <c r="A514" s="559"/>
      <c r="B514" s="563" t="s">
        <v>991</v>
      </c>
      <c r="C514" s="426"/>
      <c r="D514" s="426"/>
      <c r="E514" s="426"/>
      <c r="F514" s="456" t="s">
        <v>286</v>
      </c>
      <c r="G514" s="426"/>
    </row>
    <row r="515" spans="1:7" hidden="1" outlineLevel="1" x14ac:dyDescent="0.2">
      <c r="A515" s="559"/>
      <c r="B515" s="563" t="s">
        <v>992</v>
      </c>
      <c r="C515" s="426"/>
      <c r="D515" s="426"/>
      <c r="E515" s="426"/>
      <c r="F515" s="426"/>
      <c r="G515" s="456" t="s">
        <v>286</v>
      </c>
    </row>
    <row r="516" spans="1:7" ht="15.75" collapsed="1" x14ac:dyDescent="0.2">
      <c r="A516" s="558"/>
      <c r="B516" s="427" t="s">
        <v>526</v>
      </c>
      <c r="C516" s="628"/>
      <c r="D516" s="628"/>
      <c r="E516" s="628"/>
      <c r="F516" s="628"/>
      <c r="G516" s="628"/>
    </row>
    <row r="517" spans="1:7" hidden="1" outlineLevel="1" x14ac:dyDescent="0.2">
      <c r="A517" s="559"/>
      <c r="B517" s="563" t="s">
        <v>993</v>
      </c>
      <c r="C517" s="425"/>
      <c r="D517" s="456" t="s">
        <v>286</v>
      </c>
      <c r="E517" s="425"/>
      <c r="F517" s="425"/>
      <c r="G517" s="425"/>
    </row>
    <row r="518" spans="1:7" hidden="1" outlineLevel="1" x14ac:dyDescent="0.2">
      <c r="A518" s="559"/>
      <c r="B518" s="563" t="s">
        <v>994</v>
      </c>
      <c r="C518" s="425"/>
      <c r="D518" s="425"/>
      <c r="E518" s="425"/>
      <c r="F518" s="456" t="s">
        <v>286</v>
      </c>
      <c r="G518" s="425"/>
    </row>
    <row r="519" spans="1:7" ht="25.5" hidden="1" outlineLevel="1" x14ac:dyDescent="0.2">
      <c r="A519" s="559"/>
      <c r="B519" s="563" t="s">
        <v>995</v>
      </c>
      <c r="C519" s="425"/>
      <c r="D519" s="425"/>
      <c r="E519" s="425"/>
      <c r="F519" s="425"/>
      <c r="G519" s="456" t="s">
        <v>286</v>
      </c>
    </row>
    <row r="525" spans="1:7" x14ac:dyDescent="0.2">
      <c r="F525"/>
      <c r="G525"/>
    </row>
    <row r="526" spans="1:7" x14ac:dyDescent="0.2">
      <c r="F526"/>
      <c r="G526"/>
    </row>
    <row r="527" spans="1:7" ht="15.75" x14ac:dyDescent="0.25">
      <c r="B527" s="432" t="s">
        <v>323</v>
      </c>
      <c r="C527" s="500" t="s">
        <v>281</v>
      </c>
      <c r="D527" s="500" t="s">
        <v>282</v>
      </c>
      <c r="E527" s="500" t="s">
        <v>283</v>
      </c>
      <c r="F527"/>
      <c r="G527"/>
    </row>
    <row r="528" spans="1:7" ht="15.75" collapsed="1" x14ac:dyDescent="0.2">
      <c r="B528" s="427" t="s">
        <v>566</v>
      </c>
      <c r="F528"/>
      <c r="G528"/>
    </row>
    <row r="529" spans="2:7" hidden="1" outlineLevel="1" x14ac:dyDescent="0.2">
      <c r="B529" s="563" t="s">
        <v>996</v>
      </c>
      <c r="C529" s="456" t="s">
        <v>286</v>
      </c>
      <c r="D529" s="564"/>
      <c r="E529" s="564"/>
      <c r="F529"/>
      <c r="G529"/>
    </row>
    <row r="530" spans="2:7" ht="38.25" hidden="1" outlineLevel="1" x14ac:dyDescent="0.2">
      <c r="B530" s="563" t="s">
        <v>997</v>
      </c>
      <c r="C530" s="456"/>
      <c r="D530" s="456" t="s">
        <v>286</v>
      </c>
      <c r="E530" s="564"/>
      <c r="F530"/>
      <c r="G530"/>
    </row>
    <row r="531" spans="2:7" ht="51" hidden="1" outlineLevel="1" x14ac:dyDescent="0.2">
      <c r="B531" s="563" t="s">
        <v>998</v>
      </c>
      <c r="C531" s="456"/>
      <c r="D531" s="456"/>
      <c r="E531" s="456" t="s">
        <v>286</v>
      </c>
      <c r="F531"/>
      <c r="G531"/>
    </row>
    <row r="532" spans="2:7" hidden="1" outlineLevel="1" x14ac:dyDescent="0.2">
      <c r="B532" s="563" t="s">
        <v>999</v>
      </c>
      <c r="C532" s="456"/>
      <c r="D532" s="456"/>
      <c r="E532" s="456" t="s">
        <v>286</v>
      </c>
      <c r="F532"/>
      <c r="G532"/>
    </row>
    <row r="533" spans="2:7" hidden="1" outlineLevel="1" x14ac:dyDescent="0.2">
      <c r="B533" s="563" t="s">
        <v>1000</v>
      </c>
      <c r="C533" s="456" t="s">
        <v>286</v>
      </c>
      <c r="D533" s="564"/>
      <c r="E533" s="564"/>
      <c r="F533"/>
      <c r="G533"/>
    </row>
    <row r="534" spans="2:7" ht="25.5" hidden="1" outlineLevel="1" x14ac:dyDescent="0.2">
      <c r="B534" s="563" t="s">
        <v>1001</v>
      </c>
      <c r="C534" s="456"/>
      <c r="D534" s="456" t="s">
        <v>286</v>
      </c>
      <c r="E534" s="564"/>
      <c r="F534"/>
      <c r="G534"/>
    </row>
    <row r="535" spans="2:7" hidden="1" outlineLevel="1" x14ac:dyDescent="0.2">
      <c r="B535" s="563" t="s">
        <v>1002</v>
      </c>
      <c r="C535" s="456"/>
      <c r="D535" s="456" t="s">
        <v>286</v>
      </c>
      <c r="E535" s="564"/>
      <c r="F535"/>
      <c r="G535"/>
    </row>
    <row r="536" spans="2:7" hidden="1" outlineLevel="1" x14ac:dyDescent="0.2">
      <c r="B536" s="563" t="s">
        <v>1003</v>
      </c>
      <c r="C536" s="456"/>
      <c r="D536" s="456" t="s">
        <v>286</v>
      </c>
      <c r="E536" s="564"/>
      <c r="F536"/>
      <c r="G536"/>
    </row>
    <row r="537" spans="2:7" hidden="1" outlineLevel="1" x14ac:dyDescent="0.2">
      <c r="B537" s="563" t="s">
        <v>1004</v>
      </c>
      <c r="C537" s="456"/>
      <c r="D537" s="456" t="s">
        <v>286</v>
      </c>
      <c r="E537" s="564"/>
      <c r="F537"/>
      <c r="G537"/>
    </row>
    <row r="538" spans="2:7" hidden="1" outlineLevel="1" x14ac:dyDescent="0.2">
      <c r="B538" s="563" t="s">
        <v>1005</v>
      </c>
      <c r="C538" s="456"/>
      <c r="D538" s="456"/>
      <c r="E538" s="456" t="s">
        <v>286</v>
      </c>
      <c r="F538"/>
      <c r="G538"/>
    </row>
    <row r="539" spans="2:7" ht="38.25" hidden="1" outlineLevel="1" x14ac:dyDescent="0.2">
      <c r="B539" s="563" t="s">
        <v>1006</v>
      </c>
      <c r="C539" s="456"/>
      <c r="D539" s="456"/>
      <c r="E539" s="456" t="s">
        <v>286</v>
      </c>
      <c r="F539"/>
      <c r="G539"/>
    </row>
    <row r="540" spans="2:7" hidden="1" outlineLevel="1" x14ac:dyDescent="0.2">
      <c r="B540" s="563" t="s">
        <v>1007</v>
      </c>
      <c r="C540" s="456" t="s">
        <v>286</v>
      </c>
      <c r="D540" s="564"/>
      <c r="E540" s="564"/>
      <c r="F540"/>
      <c r="G540"/>
    </row>
    <row r="541" spans="2:7" ht="25.5" hidden="1" outlineLevel="1" x14ac:dyDescent="0.2">
      <c r="B541" s="563" t="s">
        <v>1008</v>
      </c>
      <c r="C541" s="456"/>
      <c r="D541" s="456" t="s">
        <v>286</v>
      </c>
      <c r="E541" s="564"/>
      <c r="F541"/>
      <c r="G541"/>
    </row>
    <row r="542" spans="2:7" ht="25.5" hidden="1" outlineLevel="1" x14ac:dyDescent="0.2">
      <c r="B542" s="563" t="s">
        <v>1009</v>
      </c>
      <c r="C542" s="456"/>
      <c r="D542" s="456"/>
      <c r="E542" s="456" t="s">
        <v>286</v>
      </c>
      <c r="F542"/>
      <c r="G542"/>
    </row>
    <row r="543" spans="2:7" ht="25.5" hidden="1" outlineLevel="1" x14ac:dyDescent="0.2">
      <c r="B543" s="563" t="s">
        <v>1010</v>
      </c>
      <c r="C543" s="456"/>
      <c r="D543" s="456"/>
      <c r="E543" s="456" t="s">
        <v>286</v>
      </c>
      <c r="F543"/>
      <c r="G543"/>
    </row>
    <row r="544" spans="2:7" hidden="1" outlineLevel="1" x14ac:dyDescent="0.2">
      <c r="B544" s="563" t="s">
        <v>1011</v>
      </c>
      <c r="C544" s="456"/>
      <c r="D544" s="456"/>
      <c r="E544" s="456" t="s">
        <v>286</v>
      </c>
      <c r="F544"/>
      <c r="G544"/>
    </row>
    <row r="545" spans="2:7" hidden="1" outlineLevel="1" x14ac:dyDescent="0.2">
      <c r="B545" s="563" t="s">
        <v>1012</v>
      </c>
      <c r="C545" s="456"/>
      <c r="D545" s="456"/>
      <c r="E545" s="456" t="s">
        <v>286</v>
      </c>
      <c r="F545"/>
      <c r="G545"/>
    </row>
    <row r="546" spans="2:7" ht="15.75" collapsed="1" x14ac:dyDescent="0.2">
      <c r="B546" s="427" t="s">
        <v>567</v>
      </c>
      <c r="C546" s="456"/>
      <c r="D546" s="564"/>
      <c r="E546" s="564"/>
      <c r="F546"/>
      <c r="G546"/>
    </row>
    <row r="547" spans="2:7" ht="25.5" hidden="1" outlineLevel="1" x14ac:dyDescent="0.2">
      <c r="B547" s="563" t="s">
        <v>1013</v>
      </c>
      <c r="C547" s="456" t="s">
        <v>286</v>
      </c>
      <c r="D547" s="564"/>
      <c r="E547" s="564"/>
      <c r="F547"/>
      <c r="G547"/>
    </row>
    <row r="548" spans="2:7" hidden="1" outlineLevel="1" x14ac:dyDescent="0.2">
      <c r="B548" s="563" t="s">
        <v>1014</v>
      </c>
      <c r="C548" s="456" t="s">
        <v>286</v>
      </c>
      <c r="D548" s="564"/>
      <c r="E548" s="564"/>
      <c r="F548"/>
      <c r="G548"/>
    </row>
    <row r="549" spans="2:7" ht="38.25" hidden="1" outlineLevel="1" x14ac:dyDescent="0.2">
      <c r="B549" s="563" t="s">
        <v>1015</v>
      </c>
      <c r="C549" s="564"/>
      <c r="D549" s="456" t="s">
        <v>286</v>
      </c>
      <c r="E549" s="564"/>
      <c r="F549"/>
      <c r="G549"/>
    </row>
    <row r="550" spans="2:7" ht="25.5" hidden="1" outlineLevel="1" x14ac:dyDescent="0.2">
      <c r="B550" s="563" t="s">
        <v>1016</v>
      </c>
      <c r="C550" s="564"/>
      <c r="D550" s="456" t="s">
        <v>286</v>
      </c>
      <c r="E550" s="564"/>
      <c r="F550"/>
      <c r="G550"/>
    </row>
    <row r="551" spans="2:7" hidden="1" outlineLevel="1" x14ac:dyDescent="0.2">
      <c r="B551" s="563" t="s">
        <v>1017</v>
      </c>
      <c r="C551" s="564"/>
      <c r="D551" s="456" t="s">
        <v>286</v>
      </c>
      <c r="E551" s="564"/>
      <c r="F551"/>
      <c r="G551"/>
    </row>
    <row r="552" spans="2:7" hidden="1" outlineLevel="1" x14ac:dyDescent="0.2">
      <c r="B552" s="563" t="s">
        <v>568</v>
      </c>
      <c r="C552" s="564"/>
      <c r="D552" s="456" t="s">
        <v>286</v>
      </c>
      <c r="E552" s="564"/>
      <c r="F552"/>
      <c r="G552"/>
    </row>
    <row r="553" spans="2:7" ht="25.5" hidden="1" outlineLevel="1" x14ac:dyDescent="0.2">
      <c r="B553" s="563" t="s">
        <v>1018</v>
      </c>
      <c r="C553" s="564"/>
      <c r="D553" s="456" t="s">
        <v>286</v>
      </c>
      <c r="E553" s="564"/>
      <c r="F553"/>
      <c r="G553"/>
    </row>
    <row r="554" spans="2:7" hidden="1" outlineLevel="1" x14ac:dyDescent="0.2">
      <c r="B554" s="563" t="s">
        <v>1019</v>
      </c>
      <c r="C554" s="564"/>
      <c r="D554" s="456" t="s">
        <v>286</v>
      </c>
      <c r="E554" s="564"/>
      <c r="F554"/>
      <c r="G554"/>
    </row>
    <row r="555" spans="2:7" ht="51" hidden="1" outlineLevel="1" x14ac:dyDescent="0.2">
      <c r="B555" s="563" t="s">
        <v>569</v>
      </c>
      <c r="C555" s="564"/>
      <c r="D555" s="564"/>
      <c r="E555" s="456" t="s">
        <v>286</v>
      </c>
      <c r="F555"/>
      <c r="G555"/>
    </row>
    <row r="556" spans="2:7" ht="25.5" hidden="1" outlineLevel="1" x14ac:dyDescent="0.2">
      <c r="B556" s="563" t="s">
        <v>1020</v>
      </c>
      <c r="C556" s="564"/>
      <c r="D556" s="564"/>
      <c r="E556" s="456" t="s">
        <v>286</v>
      </c>
      <c r="F556"/>
      <c r="G556"/>
    </row>
    <row r="557" spans="2:7" ht="25.5" hidden="1" outlineLevel="1" x14ac:dyDescent="0.2">
      <c r="B557" s="563" t="s">
        <v>1021</v>
      </c>
      <c r="C557" s="564"/>
      <c r="D557" s="564"/>
      <c r="E557" s="456" t="s">
        <v>286</v>
      </c>
      <c r="F557"/>
      <c r="G557"/>
    </row>
    <row r="558" spans="2:7" ht="25.5" hidden="1" outlineLevel="1" x14ac:dyDescent="0.2">
      <c r="B558" s="563" t="s">
        <v>1022</v>
      </c>
      <c r="C558" s="564"/>
      <c r="D558" s="564"/>
      <c r="E558" s="456" t="s">
        <v>286</v>
      </c>
      <c r="F558"/>
      <c r="G558"/>
    </row>
    <row r="559" spans="2:7" hidden="1" outlineLevel="1" x14ac:dyDescent="0.2">
      <c r="B559" s="563" t="s">
        <v>570</v>
      </c>
      <c r="C559" s="456" t="s">
        <v>286</v>
      </c>
      <c r="D559" s="564"/>
      <c r="E559" s="564"/>
      <c r="F559"/>
      <c r="G559"/>
    </row>
    <row r="560" spans="2:7" hidden="1" outlineLevel="1" x14ac:dyDescent="0.2">
      <c r="B560" s="563" t="s">
        <v>571</v>
      </c>
      <c r="C560" s="564"/>
      <c r="D560" s="456" t="s">
        <v>286</v>
      </c>
      <c r="E560" s="564"/>
      <c r="F560"/>
      <c r="G560"/>
    </row>
    <row r="561" spans="2:7" ht="63.75" hidden="1" outlineLevel="1" x14ac:dyDescent="0.2">
      <c r="B561" s="563" t="s">
        <v>572</v>
      </c>
      <c r="C561" s="564"/>
      <c r="D561" s="564"/>
      <c r="E561" s="456" t="s">
        <v>286</v>
      </c>
      <c r="F561"/>
      <c r="G561"/>
    </row>
    <row r="562" spans="2:7" ht="15.75" collapsed="1" x14ac:dyDescent="0.2">
      <c r="B562" s="427" t="s">
        <v>573</v>
      </c>
      <c r="C562" s="564"/>
      <c r="D562" s="564"/>
      <c r="E562" s="564"/>
      <c r="F562"/>
      <c r="G562"/>
    </row>
    <row r="563" spans="2:7" hidden="1" outlineLevel="1" x14ac:dyDescent="0.2">
      <c r="B563" s="563" t="s">
        <v>574</v>
      </c>
      <c r="C563" s="456" t="s">
        <v>286</v>
      </c>
      <c r="D563" s="564"/>
      <c r="E563" s="564"/>
      <c r="F563"/>
      <c r="G563"/>
    </row>
    <row r="564" spans="2:7" ht="25.5" hidden="1" outlineLevel="1" x14ac:dyDescent="0.2">
      <c r="B564" s="563" t="s">
        <v>575</v>
      </c>
      <c r="C564" s="564"/>
      <c r="D564" s="456" t="s">
        <v>286</v>
      </c>
      <c r="E564" s="564"/>
      <c r="F564"/>
      <c r="G564"/>
    </row>
    <row r="565" spans="2:7" ht="25.5" hidden="1" outlineLevel="1" x14ac:dyDescent="0.2">
      <c r="B565" s="563" t="s">
        <v>576</v>
      </c>
      <c r="C565" s="564"/>
      <c r="D565" s="564"/>
      <c r="E565" s="456" t="s">
        <v>286</v>
      </c>
      <c r="F565"/>
      <c r="G565"/>
    </row>
    <row r="566" spans="2:7" ht="15.75" collapsed="1" x14ac:dyDescent="0.2">
      <c r="B566" s="427" t="s">
        <v>577</v>
      </c>
      <c r="C566" s="564"/>
      <c r="D566" s="564"/>
      <c r="E566" s="564"/>
      <c r="F566"/>
      <c r="G566"/>
    </row>
    <row r="567" spans="2:7" hidden="1" outlineLevel="1" x14ac:dyDescent="0.2">
      <c r="B567" s="563" t="s">
        <v>1023</v>
      </c>
      <c r="C567" s="456" t="s">
        <v>286</v>
      </c>
      <c r="D567" s="564"/>
      <c r="E567" s="564"/>
      <c r="F567"/>
      <c r="G567"/>
    </row>
    <row r="568" spans="2:7" ht="25.5" hidden="1" outlineLevel="1" x14ac:dyDescent="0.2">
      <c r="B568" s="563" t="s">
        <v>1024</v>
      </c>
      <c r="C568" s="564"/>
      <c r="D568" s="456" t="s">
        <v>286</v>
      </c>
      <c r="E568" s="564"/>
      <c r="F568"/>
      <c r="G568"/>
    </row>
    <row r="569" spans="2:7" ht="25.5" hidden="1" outlineLevel="1" x14ac:dyDescent="0.2">
      <c r="B569" s="563" t="s">
        <v>1025</v>
      </c>
      <c r="C569" s="564"/>
      <c r="D569" s="456" t="s">
        <v>286</v>
      </c>
      <c r="E569" s="564"/>
      <c r="F569"/>
      <c r="G569"/>
    </row>
    <row r="570" spans="2:7" ht="51" hidden="1" outlineLevel="1" x14ac:dyDescent="0.2">
      <c r="B570" s="563" t="s">
        <v>1026</v>
      </c>
      <c r="C570" s="564"/>
      <c r="D570" s="564"/>
      <c r="E570" s="456" t="s">
        <v>286</v>
      </c>
      <c r="F570"/>
      <c r="G570"/>
    </row>
    <row r="571" spans="2:7" hidden="1" outlineLevel="1" x14ac:dyDescent="0.2">
      <c r="B571" s="563" t="s">
        <v>1027</v>
      </c>
      <c r="C571" s="456" t="s">
        <v>286</v>
      </c>
      <c r="D571" s="564"/>
      <c r="E571" s="564"/>
      <c r="F571"/>
      <c r="G571"/>
    </row>
    <row r="572" spans="2:7" hidden="1" outlineLevel="1" x14ac:dyDescent="0.2">
      <c r="B572" s="563" t="s">
        <v>1028</v>
      </c>
      <c r="C572" s="564"/>
      <c r="D572" s="456" t="s">
        <v>286</v>
      </c>
      <c r="E572" s="564"/>
      <c r="F572"/>
      <c r="G572"/>
    </row>
    <row r="573" spans="2:7" hidden="1" outlineLevel="1" x14ac:dyDescent="0.2">
      <c r="B573" s="563" t="s">
        <v>1029</v>
      </c>
      <c r="C573" s="564"/>
      <c r="D573" s="564"/>
      <c r="E573" s="456" t="s">
        <v>286</v>
      </c>
      <c r="F573"/>
      <c r="G573"/>
    </row>
    <row r="574" spans="2:7" ht="25.5" hidden="1" outlineLevel="1" x14ac:dyDescent="0.2">
      <c r="B574" s="563" t="s">
        <v>1030</v>
      </c>
      <c r="C574" s="456" t="s">
        <v>286</v>
      </c>
      <c r="D574" s="564"/>
      <c r="E574" s="564"/>
      <c r="F574"/>
      <c r="G574"/>
    </row>
    <row r="575" spans="2:7" ht="38.25" hidden="1" outlineLevel="1" x14ac:dyDescent="0.2">
      <c r="B575" s="563" t="s">
        <v>1031</v>
      </c>
      <c r="C575" s="564"/>
      <c r="D575" s="456" t="s">
        <v>286</v>
      </c>
      <c r="E575" s="564"/>
      <c r="F575"/>
      <c r="G575"/>
    </row>
    <row r="576" spans="2:7" ht="25.5" hidden="1" outlineLevel="1" x14ac:dyDescent="0.2">
      <c r="B576" s="563" t="s">
        <v>1032</v>
      </c>
      <c r="C576" s="564"/>
      <c r="D576" s="564"/>
      <c r="E576" s="456" t="s">
        <v>286</v>
      </c>
      <c r="F576"/>
      <c r="G576"/>
    </row>
    <row r="577" spans="2:7" hidden="1" outlineLevel="1" x14ac:dyDescent="0.2">
      <c r="B577" s="563" t="s">
        <v>1033</v>
      </c>
      <c r="C577" s="456" t="s">
        <v>286</v>
      </c>
      <c r="D577" s="564"/>
      <c r="E577" s="456"/>
      <c r="F577"/>
      <c r="G577"/>
    </row>
    <row r="578" spans="2:7" ht="25.5" hidden="1" outlineLevel="1" x14ac:dyDescent="0.2">
      <c r="B578" s="563" t="s">
        <v>1034</v>
      </c>
      <c r="C578" s="564"/>
      <c r="D578" s="456" t="s">
        <v>286</v>
      </c>
      <c r="E578" s="456"/>
      <c r="F578"/>
      <c r="G578"/>
    </row>
    <row r="579" spans="2:7" hidden="1" outlineLevel="1" x14ac:dyDescent="0.2">
      <c r="B579" s="563" t="s">
        <v>1035</v>
      </c>
      <c r="C579" s="564"/>
      <c r="D579" s="456" t="s">
        <v>286</v>
      </c>
      <c r="E579" s="456"/>
      <c r="F579"/>
      <c r="G579"/>
    </row>
    <row r="580" spans="2:7" hidden="1" outlineLevel="1" x14ac:dyDescent="0.2">
      <c r="B580" s="563" t="s">
        <v>1036</v>
      </c>
      <c r="C580" s="564"/>
      <c r="D580" s="564"/>
      <c r="E580" s="456" t="s">
        <v>286</v>
      </c>
      <c r="F580"/>
      <c r="G580"/>
    </row>
    <row r="581" spans="2:7" ht="38.25" hidden="1" outlineLevel="1" x14ac:dyDescent="0.2">
      <c r="B581" s="563" t="s">
        <v>578</v>
      </c>
      <c r="C581" s="564"/>
      <c r="D581" s="564"/>
      <c r="E581" s="456" t="s">
        <v>286</v>
      </c>
      <c r="F581"/>
      <c r="G581"/>
    </row>
    <row r="582" spans="2:7" ht="25.5" hidden="1" outlineLevel="1" x14ac:dyDescent="0.2">
      <c r="B582" s="563" t="s">
        <v>1037</v>
      </c>
      <c r="C582" s="564"/>
      <c r="D582" s="564"/>
      <c r="E582" s="456" t="s">
        <v>286</v>
      </c>
      <c r="F582"/>
      <c r="G582"/>
    </row>
    <row r="583" spans="2:7" ht="38.25" hidden="1" outlineLevel="1" x14ac:dyDescent="0.2">
      <c r="B583" s="563" t="s">
        <v>579</v>
      </c>
      <c r="C583" s="564"/>
      <c r="D583" s="564"/>
      <c r="E583" s="456" t="s">
        <v>286</v>
      </c>
      <c r="F583"/>
      <c r="G583"/>
    </row>
    <row r="584" spans="2:7" hidden="1" outlineLevel="1" x14ac:dyDescent="0.2">
      <c r="B584" s="563" t="s">
        <v>580</v>
      </c>
      <c r="C584" s="564"/>
      <c r="D584" s="564"/>
      <c r="E584" s="456" t="s">
        <v>286</v>
      </c>
      <c r="F584"/>
      <c r="G584"/>
    </row>
    <row r="585" spans="2:7" ht="25.5" hidden="1" outlineLevel="1" x14ac:dyDescent="0.2">
      <c r="B585" s="563" t="s">
        <v>1038</v>
      </c>
      <c r="C585" s="564"/>
      <c r="D585" s="564"/>
      <c r="E585" s="456" t="s">
        <v>286</v>
      </c>
      <c r="F585"/>
      <c r="G585"/>
    </row>
    <row r="586" spans="2:7" hidden="1" outlineLevel="1" x14ac:dyDescent="0.2">
      <c r="B586" s="563" t="s">
        <v>581</v>
      </c>
      <c r="C586" s="564"/>
      <c r="D586" s="456" t="s">
        <v>286</v>
      </c>
      <c r="E586" s="564"/>
      <c r="F586"/>
      <c r="G586"/>
    </row>
    <row r="587" spans="2:7" hidden="1" outlineLevel="1" x14ac:dyDescent="0.2">
      <c r="B587" s="563" t="s">
        <v>582</v>
      </c>
      <c r="C587" s="564"/>
      <c r="D587" s="564"/>
      <c r="E587" s="456" t="s">
        <v>286</v>
      </c>
      <c r="F587"/>
      <c r="G587"/>
    </row>
    <row r="588" spans="2:7" ht="15.75" collapsed="1" x14ac:dyDescent="0.2">
      <c r="B588" s="427" t="s">
        <v>583</v>
      </c>
      <c r="C588" s="564"/>
      <c r="D588" s="564"/>
      <c r="E588" s="456"/>
      <c r="F588"/>
      <c r="G588"/>
    </row>
    <row r="589" spans="2:7" ht="38.25" hidden="1" outlineLevel="1" x14ac:dyDescent="0.2">
      <c r="B589" s="563" t="s">
        <v>1039</v>
      </c>
      <c r="C589" s="564"/>
      <c r="D589" s="456" t="s">
        <v>286</v>
      </c>
      <c r="E589" s="456"/>
      <c r="F589"/>
      <c r="G589"/>
    </row>
    <row r="590" spans="2:7" ht="38.25" hidden="1" outlineLevel="1" x14ac:dyDescent="0.2">
      <c r="B590" s="563" t="s">
        <v>1040</v>
      </c>
      <c r="C590" s="564"/>
      <c r="D590" s="564"/>
      <c r="E590" s="456" t="s">
        <v>286</v>
      </c>
      <c r="F590"/>
      <c r="G590"/>
    </row>
    <row r="591" spans="2:7" ht="25.5" hidden="1" outlineLevel="1" x14ac:dyDescent="0.2">
      <c r="B591" s="563" t="s">
        <v>1041</v>
      </c>
      <c r="C591" s="564"/>
      <c r="D591" s="456" t="s">
        <v>286</v>
      </c>
      <c r="E591" s="456"/>
      <c r="F591"/>
      <c r="G591"/>
    </row>
    <row r="592" spans="2:7" ht="25.5" hidden="1" outlineLevel="1" x14ac:dyDescent="0.2">
      <c r="B592" s="563" t="s">
        <v>1042</v>
      </c>
      <c r="C592" s="564"/>
      <c r="D592" s="564"/>
      <c r="E592" s="456" t="s">
        <v>286</v>
      </c>
      <c r="F592"/>
      <c r="G592"/>
    </row>
    <row r="593" spans="2:7" ht="25.5" hidden="1" outlineLevel="1" x14ac:dyDescent="0.2">
      <c r="B593" s="563" t="s">
        <v>1043</v>
      </c>
      <c r="C593" s="564"/>
      <c r="D593" s="456" t="s">
        <v>286</v>
      </c>
      <c r="E593" s="456"/>
      <c r="F593"/>
      <c r="G593"/>
    </row>
    <row r="594" spans="2:7" hidden="1" outlineLevel="1" x14ac:dyDescent="0.2">
      <c r="B594" s="563" t="s">
        <v>1044</v>
      </c>
      <c r="C594" s="564"/>
      <c r="D594" s="564"/>
      <c r="E594" s="456" t="s">
        <v>286</v>
      </c>
      <c r="F594"/>
      <c r="G594"/>
    </row>
    <row r="595" spans="2:7" hidden="1" outlineLevel="1" x14ac:dyDescent="0.2">
      <c r="B595" s="563" t="s">
        <v>1045</v>
      </c>
      <c r="C595" s="564"/>
      <c r="D595" s="456" t="s">
        <v>286</v>
      </c>
      <c r="E595" s="456"/>
      <c r="F595"/>
      <c r="G595"/>
    </row>
    <row r="596" spans="2:7" hidden="1" outlineLevel="1" x14ac:dyDescent="0.2">
      <c r="B596" s="563" t="s">
        <v>1046</v>
      </c>
      <c r="C596" s="564"/>
      <c r="D596" s="564"/>
      <c r="E596" s="456" t="s">
        <v>286</v>
      </c>
      <c r="F596"/>
      <c r="G596"/>
    </row>
    <row r="597" spans="2:7" hidden="1" outlineLevel="1" x14ac:dyDescent="0.2">
      <c r="B597" s="563" t="s">
        <v>1047</v>
      </c>
      <c r="C597" s="564"/>
      <c r="D597" s="456" t="s">
        <v>286</v>
      </c>
      <c r="E597" s="456"/>
      <c r="F597"/>
      <c r="G597"/>
    </row>
    <row r="598" spans="2:7" hidden="1" outlineLevel="1" x14ac:dyDescent="0.2">
      <c r="B598" s="563" t="s">
        <v>1048</v>
      </c>
      <c r="C598" s="564"/>
      <c r="D598" s="564"/>
      <c r="E598" s="456" t="s">
        <v>286</v>
      </c>
      <c r="F598"/>
      <c r="G598"/>
    </row>
    <row r="599" spans="2:7" hidden="1" outlineLevel="1" x14ac:dyDescent="0.2">
      <c r="B599" s="563" t="s">
        <v>1049</v>
      </c>
      <c r="C599" s="564"/>
      <c r="D599" s="456" t="s">
        <v>286</v>
      </c>
      <c r="E599" s="456"/>
      <c r="F599"/>
      <c r="G599"/>
    </row>
    <row r="600" spans="2:7" hidden="1" outlineLevel="1" x14ac:dyDescent="0.2">
      <c r="B600" s="563" t="s">
        <v>1050</v>
      </c>
      <c r="C600" s="564"/>
      <c r="D600" s="456" t="s">
        <v>286</v>
      </c>
      <c r="E600" s="456"/>
      <c r="F600"/>
      <c r="G600"/>
    </row>
    <row r="601" spans="2:7" hidden="1" outlineLevel="1" x14ac:dyDescent="0.2">
      <c r="B601" s="563" t="s">
        <v>1051</v>
      </c>
      <c r="C601" s="564"/>
      <c r="D601" s="564"/>
      <c r="E601" s="456" t="s">
        <v>286</v>
      </c>
      <c r="F601"/>
      <c r="G601"/>
    </row>
    <row r="602" spans="2:7" ht="25.5" hidden="1" outlineLevel="1" x14ac:dyDescent="0.2">
      <c r="B602" s="563" t="s">
        <v>1052</v>
      </c>
      <c r="C602" s="564"/>
      <c r="D602" s="456" t="s">
        <v>286</v>
      </c>
      <c r="E602" s="456"/>
      <c r="F602"/>
      <c r="G602"/>
    </row>
    <row r="603" spans="2:7" hidden="1" outlineLevel="1" x14ac:dyDescent="0.2">
      <c r="B603" s="563" t="s">
        <v>1053</v>
      </c>
      <c r="C603" s="564"/>
      <c r="D603" s="456" t="s">
        <v>286</v>
      </c>
      <c r="E603" s="456"/>
      <c r="F603"/>
      <c r="G603"/>
    </row>
    <row r="604" spans="2:7" hidden="1" outlineLevel="1" x14ac:dyDescent="0.2">
      <c r="B604" s="563" t="s">
        <v>1054</v>
      </c>
      <c r="C604" s="564"/>
      <c r="D604" s="564"/>
      <c r="E604" s="456" t="s">
        <v>286</v>
      </c>
      <c r="F604"/>
      <c r="G604"/>
    </row>
    <row r="605" spans="2:7" ht="51" hidden="1" outlineLevel="1" x14ac:dyDescent="0.2">
      <c r="B605" s="563" t="s">
        <v>1055</v>
      </c>
      <c r="C605" s="564"/>
      <c r="D605" s="456" t="s">
        <v>286</v>
      </c>
      <c r="E605" s="456"/>
      <c r="F605"/>
      <c r="G605"/>
    </row>
    <row r="606" spans="2:7" ht="38.25" hidden="1" outlineLevel="1" x14ac:dyDescent="0.2">
      <c r="B606" s="563" t="s">
        <v>1056</v>
      </c>
      <c r="C606" s="564"/>
      <c r="D606" s="564"/>
      <c r="E606" s="456" t="s">
        <v>286</v>
      </c>
      <c r="F606"/>
      <c r="G606"/>
    </row>
    <row r="607" spans="2:7" ht="15.75" x14ac:dyDescent="0.2">
      <c r="B607" s="427" t="s">
        <v>584</v>
      </c>
      <c r="C607" s="564"/>
      <c r="D607" s="564"/>
      <c r="E607" s="456"/>
      <c r="F607"/>
      <c r="G607"/>
    </row>
    <row r="608" spans="2:7" ht="25.5" x14ac:dyDescent="0.2">
      <c r="B608" s="563" t="s">
        <v>1057</v>
      </c>
      <c r="C608" s="564"/>
      <c r="D608" s="564"/>
      <c r="E608" s="456" t="s">
        <v>286</v>
      </c>
      <c r="F608"/>
      <c r="G608"/>
    </row>
    <row r="609" spans="2:7" x14ac:dyDescent="0.2">
      <c r="C609"/>
      <c r="D609"/>
      <c r="E609"/>
      <c r="F609"/>
      <c r="G609"/>
    </row>
    <row r="610" spans="2:7" x14ac:dyDescent="0.2">
      <c r="C610"/>
      <c r="D610"/>
      <c r="E610"/>
      <c r="F610"/>
      <c r="G610"/>
    </row>
    <row r="611" spans="2:7" x14ac:dyDescent="0.2">
      <c r="C611"/>
      <c r="D611"/>
      <c r="E611"/>
      <c r="F611"/>
      <c r="G611"/>
    </row>
    <row r="612" spans="2:7" ht="15.75" x14ac:dyDescent="0.25">
      <c r="B612" s="432" t="s">
        <v>333</v>
      </c>
      <c r="C612" s="423"/>
      <c r="D612" s="423"/>
      <c r="E612" s="423"/>
      <c r="F612"/>
      <c r="G612"/>
    </row>
    <row r="613" spans="2:7" x14ac:dyDescent="0.2">
      <c r="B613" s="563" t="s">
        <v>1058</v>
      </c>
      <c r="C613" s="456" t="s">
        <v>286</v>
      </c>
      <c r="D613" s="564"/>
      <c r="E613" s="564"/>
      <c r="F613"/>
      <c r="G613"/>
    </row>
    <row r="614" spans="2:7" x14ac:dyDescent="0.2">
      <c r="B614" s="563" t="s">
        <v>1059</v>
      </c>
      <c r="C614" s="564"/>
      <c r="D614" s="456" t="s">
        <v>286</v>
      </c>
      <c r="E614" s="564"/>
      <c r="F614"/>
      <c r="G614"/>
    </row>
    <row r="615" spans="2:7" x14ac:dyDescent="0.2">
      <c r="B615" s="563" t="s">
        <v>1060</v>
      </c>
      <c r="C615" s="564"/>
      <c r="D615" s="564"/>
      <c r="E615" s="456" t="s">
        <v>286</v>
      </c>
      <c r="F615"/>
      <c r="G615"/>
    </row>
    <row r="616" spans="2:7" x14ac:dyDescent="0.2">
      <c r="C616"/>
      <c r="D616"/>
      <c r="E616"/>
      <c r="F616"/>
      <c r="G616"/>
    </row>
    <row r="617" spans="2:7" x14ac:dyDescent="0.2">
      <c r="C617"/>
      <c r="D617"/>
      <c r="E617"/>
      <c r="F617"/>
      <c r="G617"/>
    </row>
    <row r="618" spans="2:7" x14ac:dyDescent="0.2">
      <c r="C618"/>
      <c r="D618"/>
      <c r="E618"/>
      <c r="F618"/>
      <c r="G618"/>
    </row>
    <row r="619" spans="2:7" ht="15.75" x14ac:dyDescent="0.25">
      <c r="B619" s="432" t="s">
        <v>330</v>
      </c>
      <c r="C619" s="423"/>
      <c r="D619" s="423"/>
      <c r="E619" s="423"/>
      <c r="F619"/>
      <c r="G619"/>
    </row>
    <row r="620" spans="2:7" x14ac:dyDescent="0.2">
      <c r="B620" s="421" t="s">
        <v>1061</v>
      </c>
      <c r="F620"/>
      <c r="G620"/>
    </row>
    <row r="621" spans="2:7" x14ac:dyDescent="0.2">
      <c r="F621"/>
      <c r="G621"/>
    </row>
    <row r="622" spans="2:7" x14ac:dyDescent="0.2">
      <c r="F622"/>
      <c r="G622"/>
    </row>
    <row r="624" spans="2:7" ht="15.75" x14ac:dyDescent="0.25">
      <c r="B624" s="432" t="s">
        <v>89</v>
      </c>
      <c r="C624" s="500" t="s">
        <v>281</v>
      </c>
      <c r="D624" s="500" t="s">
        <v>282</v>
      </c>
      <c r="E624" s="500" t="s">
        <v>283</v>
      </c>
      <c r="F624"/>
      <c r="G624"/>
    </row>
    <row r="625" spans="2:7" ht="25.5" x14ac:dyDescent="0.2">
      <c r="B625" s="403" t="s">
        <v>298</v>
      </c>
      <c r="C625" s="455" t="s">
        <v>286</v>
      </c>
      <c r="D625" s="455"/>
      <c r="E625" s="455"/>
      <c r="F625"/>
      <c r="G625"/>
    </row>
    <row r="626" spans="2:7" x14ac:dyDescent="0.2">
      <c r="B626" s="404" t="s">
        <v>299</v>
      </c>
      <c r="C626" s="456"/>
      <c r="D626" s="456" t="s">
        <v>286</v>
      </c>
      <c r="E626" s="456"/>
      <c r="F626"/>
      <c r="G626"/>
    </row>
    <row r="627" spans="2:7" x14ac:dyDescent="0.2">
      <c r="B627" s="404" t="s">
        <v>1062</v>
      </c>
      <c r="C627" s="456"/>
      <c r="D627" s="456" t="s">
        <v>286</v>
      </c>
      <c r="E627" s="456"/>
      <c r="F627"/>
      <c r="G627"/>
    </row>
    <row r="628" spans="2:7" x14ac:dyDescent="0.2">
      <c r="B628" s="404" t="s">
        <v>1063</v>
      </c>
      <c r="C628" s="456"/>
      <c r="D628" s="456" t="s">
        <v>286</v>
      </c>
      <c r="E628" s="456"/>
      <c r="F628"/>
      <c r="G628"/>
    </row>
    <row r="629" spans="2:7" x14ac:dyDescent="0.2">
      <c r="B629" s="404" t="s">
        <v>1064</v>
      </c>
      <c r="C629" s="456"/>
      <c r="D629" s="456" t="s">
        <v>286</v>
      </c>
      <c r="E629" s="456"/>
      <c r="F629"/>
      <c r="G629"/>
    </row>
    <row r="630" spans="2:7" x14ac:dyDescent="0.2">
      <c r="B630" s="404" t="s">
        <v>1065</v>
      </c>
      <c r="C630" s="456"/>
      <c r="D630" s="456" t="s">
        <v>286</v>
      </c>
      <c r="E630" s="456"/>
      <c r="F630"/>
      <c r="G630"/>
    </row>
    <row r="631" spans="2:7" x14ac:dyDescent="0.2">
      <c r="B631" s="404" t="s">
        <v>1066</v>
      </c>
      <c r="C631" s="456"/>
      <c r="D631" s="456" t="s">
        <v>286</v>
      </c>
      <c r="E631" s="456"/>
      <c r="F631"/>
      <c r="G631"/>
    </row>
    <row r="632" spans="2:7" x14ac:dyDescent="0.2">
      <c r="B632" s="404" t="s">
        <v>1067</v>
      </c>
      <c r="C632" s="456"/>
      <c r="D632" s="456" t="s">
        <v>286</v>
      </c>
      <c r="E632" s="456"/>
      <c r="F632"/>
      <c r="G632"/>
    </row>
    <row r="633" spans="2:7" x14ac:dyDescent="0.2">
      <c r="B633" s="404" t="s">
        <v>300</v>
      </c>
      <c r="C633" s="456"/>
      <c r="D633" s="456" t="s">
        <v>286</v>
      </c>
      <c r="E633" s="456"/>
      <c r="F633"/>
      <c r="G633"/>
    </row>
    <row r="634" spans="2:7" x14ac:dyDescent="0.2">
      <c r="B634" s="404" t="s">
        <v>1068</v>
      </c>
      <c r="C634" s="456"/>
      <c r="D634" s="456" t="s">
        <v>286</v>
      </c>
      <c r="E634" s="456"/>
      <c r="F634"/>
      <c r="G634"/>
    </row>
    <row r="635" spans="2:7" x14ac:dyDescent="0.2">
      <c r="B635" s="404" t="s">
        <v>1069</v>
      </c>
      <c r="C635" s="456"/>
      <c r="D635" s="456"/>
      <c r="E635" s="456" t="s">
        <v>286</v>
      </c>
      <c r="F635"/>
      <c r="G635"/>
    </row>
    <row r="636" spans="2:7" x14ac:dyDescent="0.2">
      <c r="B636" s="404" t="s">
        <v>1070</v>
      </c>
      <c r="C636" s="456"/>
      <c r="D636" s="456"/>
      <c r="E636" s="456" t="s">
        <v>286</v>
      </c>
      <c r="F636"/>
      <c r="G636"/>
    </row>
    <row r="637" spans="2:7" ht="25.5" x14ac:dyDescent="0.2">
      <c r="B637" s="404" t="s">
        <v>1071</v>
      </c>
      <c r="C637" s="456"/>
      <c r="D637" s="456"/>
      <c r="E637" s="456" t="s">
        <v>286</v>
      </c>
      <c r="F637"/>
      <c r="G637"/>
    </row>
    <row r="638" spans="2:7" ht="25.5" x14ac:dyDescent="0.2">
      <c r="B638" s="404" t="s">
        <v>301</v>
      </c>
      <c r="C638" s="456"/>
      <c r="D638" s="456"/>
      <c r="E638" s="456" t="s">
        <v>286</v>
      </c>
      <c r="F638"/>
      <c r="G638"/>
    </row>
    <row r="639" spans="2:7" x14ac:dyDescent="0.2">
      <c r="B639" s="404" t="s">
        <v>1072</v>
      </c>
      <c r="C639" s="456"/>
      <c r="D639" s="456"/>
      <c r="E639" s="456" t="s">
        <v>286</v>
      </c>
      <c r="F639"/>
      <c r="G639"/>
    </row>
    <row r="640" spans="2:7" x14ac:dyDescent="0.2">
      <c r="B640" s="397"/>
      <c r="C640" s="399"/>
      <c r="D640" s="399"/>
      <c r="E640" s="399"/>
      <c r="F640"/>
      <c r="G640"/>
    </row>
    <row r="641" spans="2:7" x14ac:dyDescent="0.2">
      <c r="F641"/>
      <c r="G641"/>
    </row>
    <row r="643" spans="2:7" ht="15.75" x14ac:dyDescent="0.25">
      <c r="B643" s="432" t="s">
        <v>332</v>
      </c>
      <c r="C643" s="500" t="s">
        <v>281</v>
      </c>
      <c r="D643" s="500" t="s">
        <v>282</v>
      </c>
      <c r="E643" s="500" t="s">
        <v>283</v>
      </c>
      <c r="F643" s="500" t="s">
        <v>284</v>
      </c>
      <c r="G643" s="500" t="s">
        <v>285</v>
      </c>
    </row>
    <row r="644" spans="2:7" x14ac:dyDescent="0.2">
      <c r="B644" s="447" t="s">
        <v>302</v>
      </c>
      <c r="C644" s="457" t="s">
        <v>286</v>
      </c>
      <c r="D644" s="457"/>
      <c r="E644" s="457"/>
      <c r="F644" s="457"/>
      <c r="G644" s="457"/>
    </row>
    <row r="645" spans="2:7" x14ac:dyDescent="0.2">
      <c r="B645" s="448" t="s">
        <v>303</v>
      </c>
      <c r="C645" s="437"/>
      <c r="D645" s="437" t="s">
        <v>286</v>
      </c>
      <c r="E645" s="437"/>
      <c r="F645" s="437"/>
      <c r="G645" s="437"/>
    </row>
    <row r="646" spans="2:7" x14ac:dyDescent="0.2">
      <c r="B646" s="448" t="s">
        <v>304</v>
      </c>
      <c r="C646" s="437"/>
      <c r="D646" s="437"/>
      <c r="E646" s="437"/>
      <c r="F646" s="437"/>
      <c r="G646" s="437"/>
    </row>
    <row r="647" spans="2:7" x14ac:dyDescent="0.2">
      <c r="B647" s="499" t="s">
        <v>305</v>
      </c>
      <c r="C647" s="437"/>
      <c r="D647" s="437" t="s">
        <v>286</v>
      </c>
      <c r="E647" s="437"/>
      <c r="F647" s="437"/>
      <c r="G647" s="437"/>
    </row>
    <row r="648" spans="2:7" x14ac:dyDescent="0.2">
      <c r="B648" s="499" t="s">
        <v>306</v>
      </c>
      <c r="C648" s="437"/>
      <c r="D648" s="437"/>
      <c r="E648" s="437" t="s">
        <v>286</v>
      </c>
      <c r="F648" s="437"/>
      <c r="G648" s="437"/>
    </row>
    <row r="649" spans="2:7" x14ac:dyDescent="0.2">
      <c r="B649" s="499" t="s">
        <v>307</v>
      </c>
      <c r="C649" s="437"/>
      <c r="D649" s="437"/>
      <c r="E649" s="437"/>
      <c r="F649" s="437" t="s">
        <v>286</v>
      </c>
      <c r="G649" s="437"/>
    </row>
    <row r="650" spans="2:7" x14ac:dyDescent="0.2">
      <c r="B650" s="448" t="s">
        <v>308</v>
      </c>
      <c r="C650" s="437"/>
      <c r="D650" s="437"/>
      <c r="E650" s="437"/>
      <c r="F650" s="437"/>
      <c r="G650" s="437"/>
    </row>
    <row r="651" spans="2:7" x14ac:dyDescent="0.2">
      <c r="B651" s="499" t="s">
        <v>309</v>
      </c>
      <c r="C651" s="437"/>
      <c r="D651" s="437" t="s">
        <v>286</v>
      </c>
      <c r="E651" s="437"/>
      <c r="F651" s="437"/>
      <c r="G651" s="437"/>
    </row>
    <row r="652" spans="2:7" x14ac:dyDescent="0.2">
      <c r="B652" s="499" t="s">
        <v>310</v>
      </c>
      <c r="C652" s="437"/>
      <c r="D652" s="437"/>
      <c r="E652" s="437" t="s">
        <v>286</v>
      </c>
      <c r="F652" s="437"/>
      <c r="G652" s="437"/>
    </row>
    <row r="653" spans="2:7" x14ac:dyDescent="0.2">
      <c r="B653" s="499" t="s">
        <v>311</v>
      </c>
      <c r="C653" s="437"/>
      <c r="D653" s="437"/>
      <c r="E653" s="437"/>
      <c r="F653" s="437" t="s">
        <v>286</v>
      </c>
      <c r="G653" s="437"/>
    </row>
    <row r="654" spans="2:7" x14ac:dyDescent="0.2">
      <c r="B654" s="448" t="s">
        <v>312</v>
      </c>
      <c r="C654" s="437"/>
      <c r="D654" s="437"/>
      <c r="E654" s="437"/>
      <c r="F654" s="437"/>
      <c r="G654" s="437"/>
    </row>
    <row r="655" spans="2:7" x14ac:dyDescent="0.2">
      <c r="B655" s="499" t="s">
        <v>309</v>
      </c>
      <c r="C655" s="437"/>
      <c r="D655" s="437" t="s">
        <v>286</v>
      </c>
      <c r="E655" s="437"/>
      <c r="F655" s="437"/>
      <c r="G655" s="437"/>
    </row>
    <row r="656" spans="2:7" x14ac:dyDescent="0.2">
      <c r="B656" s="499" t="s">
        <v>310</v>
      </c>
      <c r="C656" s="437"/>
      <c r="D656" s="437"/>
      <c r="E656" s="437" t="s">
        <v>286</v>
      </c>
      <c r="F656" s="437"/>
      <c r="G656" s="437"/>
    </row>
    <row r="657" spans="2:7" x14ac:dyDescent="0.2">
      <c r="B657" s="499" t="s">
        <v>311</v>
      </c>
      <c r="C657" s="437"/>
      <c r="D657" s="437"/>
      <c r="E657" s="437"/>
      <c r="F657" s="437" t="s">
        <v>286</v>
      </c>
      <c r="G657" s="437"/>
    </row>
    <row r="658" spans="2:7" x14ac:dyDescent="0.2">
      <c r="B658" s="448" t="s">
        <v>313</v>
      </c>
      <c r="C658" s="437"/>
      <c r="D658" s="437"/>
      <c r="E658" s="437"/>
      <c r="F658" s="437"/>
      <c r="G658" s="437"/>
    </row>
    <row r="659" spans="2:7" x14ac:dyDescent="0.2">
      <c r="B659" s="499" t="s">
        <v>314</v>
      </c>
      <c r="C659" s="437"/>
      <c r="D659" s="437" t="s">
        <v>286</v>
      </c>
      <c r="E659" s="437"/>
      <c r="F659" s="437"/>
      <c r="G659" s="437"/>
    </row>
    <row r="660" spans="2:7" x14ac:dyDescent="0.2">
      <c r="B660" s="499" t="s">
        <v>315</v>
      </c>
      <c r="C660" s="437"/>
      <c r="D660" s="437"/>
      <c r="E660" s="437" t="s">
        <v>286</v>
      </c>
      <c r="F660" s="437"/>
      <c r="G660" s="437"/>
    </row>
    <row r="661" spans="2:7" x14ac:dyDescent="0.2">
      <c r="B661" s="448" t="s">
        <v>316</v>
      </c>
      <c r="C661" s="437"/>
      <c r="D661" s="437"/>
      <c r="E661" s="437"/>
      <c r="F661" s="437"/>
      <c r="G661" s="437"/>
    </row>
    <row r="662" spans="2:7" x14ac:dyDescent="0.2">
      <c r="B662" s="499" t="s">
        <v>317</v>
      </c>
      <c r="C662" s="437"/>
      <c r="D662" s="437"/>
      <c r="E662" s="437"/>
      <c r="F662" s="437" t="s">
        <v>286</v>
      </c>
      <c r="G662" s="437"/>
    </row>
    <row r="663" spans="2:7" x14ac:dyDescent="0.2">
      <c r="B663" s="499" t="s">
        <v>311</v>
      </c>
      <c r="C663" s="437"/>
      <c r="D663" s="437"/>
      <c r="E663" s="437"/>
      <c r="F663" s="437"/>
      <c r="G663" s="437" t="s">
        <v>286</v>
      </c>
    </row>
    <row r="664" spans="2:7" x14ac:dyDescent="0.2">
      <c r="B664" s="448" t="s">
        <v>318</v>
      </c>
      <c r="C664" s="437"/>
      <c r="D664" s="437"/>
      <c r="E664" s="437"/>
      <c r="F664" s="437"/>
      <c r="G664" s="437" t="s">
        <v>286</v>
      </c>
    </row>
    <row r="665" spans="2:7" x14ac:dyDescent="0.2">
      <c r="B665" s="448" t="s">
        <v>1073</v>
      </c>
      <c r="C665" s="437"/>
      <c r="D665" s="437"/>
      <c r="E665" s="437"/>
      <c r="F665" s="437"/>
      <c r="G665" s="437" t="s">
        <v>286</v>
      </c>
    </row>
    <row r="669" spans="2:7" ht="15.75" x14ac:dyDescent="0.2">
      <c r="B669" s="536" t="s">
        <v>751</v>
      </c>
      <c r="C669" s="536"/>
    </row>
    <row r="670" spans="2:7" x14ac:dyDescent="0.2">
      <c r="B670" s="537" t="s">
        <v>163</v>
      </c>
      <c r="C670" s="538">
        <v>0.2</v>
      </c>
    </row>
    <row r="671" spans="2:7" x14ac:dyDescent="0.2">
      <c r="B671" s="539" t="s">
        <v>270</v>
      </c>
      <c r="C671" s="540">
        <v>0.8</v>
      </c>
    </row>
    <row r="673" spans="2:3" ht="15.75" x14ac:dyDescent="0.2">
      <c r="B673" s="536" t="s">
        <v>452</v>
      </c>
      <c r="C673" s="536"/>
    </row>
    <row r="674" spans="2:3" x14ac:dyDescent="0.2">
      <c r="B674" s="1029" t="s">
        <v>778</v>
      </c>
      <c r="C674" s="1030">
        <v>0</v>
      </c>
    </row>
    <row r="675" spans="2:3" x14ac:dyDescent="0.2">
      <c r="B675" s="1029" t="s">
        <v>761</v>
      </c>
      <c r="C675" s="1030">
        <v>0.1</v>
      </c>
    </row>
    <row r="676" spans="2:3" x14ac:dyDescent="0.2">
      <c r="B676" s="539" t="s">
        <v>762</v>
      </c>
      <c r="C676" s="540">
        <v>0.2</v>
      </c>
    </row>
    <row r="677" spans="2:3" x14ac:dyDescent="0.2">
      <c r="B677" s="539" t="s">
        <v>763</v>
      </c>
      <c r="C677" s="540">
        <v>0.25</v>
      </c>
    </row>
    <row r="678" spans="2:3" x14ac:dyDescent="0.2">
      <c r="B678" s="539" t="s">
        <v>764</v>
      </c>
      <c r="C678" s="540">
        <v>0.3</v>
      </c>
    </row>
    <row r="679" spans="2:3" x14ac:dyDescent="0.2">
      <c r="B679" s="539" t="s">
        <v>765</v>
      </c>
      <c r="C679" s="540">
        <v>0.4</v>
      </c>
    </row>
  </sheetData>
  <mergeCells count="6">
    <mergeCell ref="B261:G261"/>
    <mergeCell ref="B267:G267"/>
    <mergeCell ref="B317:G317"/>
    <mergeCell ref="B4:G4"/>
    <mergeCell ref="B259:G259"/>
    <mergeCell ref="B315:G315"/>
  </mergeCells>
  <phoneticPr fontId="7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outlinePr summaryBelow="0"/>
    <pageSetUpPr fitToPage="1"/>
  </sheetPr>
  <dimension ref="A1:Q150"/>
  <sheetViews>
    <sheetView zoomScale="80" zoomScaleNormal="80" workbookViewId="0">
      <selection activeCell="A118" sqref="A118:XFD119"/>
    </sheetView>
  </sheetViews>
  <sheetFormatPr defaultColWidth="9.140625" defaultRowHeight="14.25" outlineLevelRow="2" x14ac:dyDescent="0.25"/>
  <cols>
    <col min="1" max="1" width="10.7109375" style="15" customWidth="1"/>
    <col min="2" max="2" width="43.42578125" style="13" customWidth="1"/>
    <col min="3" max="3" width="8.7109375" style="16" customWidth="1"/>
    <col min="4" max="4" width="9.42578125" style="13" customWidth="1"/>
    <col min="5" max="6" width="8.7109375" style="13" customWidth="1"/>
    <col min="7" max="7" width="10" style="13" customWidth="1"/>
    <col min="8" max="8" width="11.28515625" style="13" customWidth="1"/>
    <col min="9" max="9" width="15.7109375" style="13" customWidth="1"/>
    <col min="10" max="15" width="8.7109375" style="13" customWidth="1"/>
    <col min="16" max="16" width="12.28515625" style="13" customWidth="1"/>
    <col min="17" max="17" width="8.7109375" style="13" customWidth="1"/>
    <col min="18" max="16384" width="9.140625" style="13"/>
  </cols>
  <sheetData>
    <row r="1" spans="1:10" s="17" customFormat="1" ht="18" customHeight="1" x14ac:dyDescent="0.2"/>
    <row r="2" spans="1:10" s="18" customFormat="1" ht="18" customHeight="1" x14ac:dyDescent="0.3">
      <c r="D2" s="19"/>
    </row>
    <row r="3" spans="1:10" s="17" customFormat="1" ht="25.5" x14ac:dyDescent="0.35">
      <c r="A3" s="18"/>
      <c r="B3" s="396" t="s">
        <v>77</v>
      </c>
      <c r="C3" s="18"/>
      <c r="D3" s="19"/>
      <c r="E3" s="18"/>
      <c r="F3" s="18"/>
      <c r="G3" s="18"/>
      <c r="H3" s="18"/>
      <c r="I3" s="20"/>
      <c r="J3" s="20"/>
    </row>
    <row r="4" spans="1:10" s="20" customFormat="1" ht="26.25" customHeight="1" x14ac:dyDescent="0.25">
      <c r="B4" s="1122" t="str">
        <f>'OSNOVNI PODATKI'!B4</f>
        <v>Vrednotenje storitev na področju arhitekturnega 
in krajinskoarhitekturnega projektiranja</v>
      </c>
      <c r="C4" s="1122"/>
      <c r="D4" s="43"/>
    </row>
    <row r="5" spans="1:10" s="17" customFormat="1" ht="12.75" x14ac:dyDescent="0.2">
      <c r="A5" s="44" t="str">
        <f>'OSNOVNI PODATKI'!A6</f>
        <v>V 5.18</v>
      </c>
      <c r="B5" s="17" t="str">
        <f>'OSNOVNI PODATKI'!B6</f>
        <v>JANUAR 2022</v>
      </c>
      <c r="D5" s="45"/>
    </row>
    <row r="6" spans="1:10" s="17" customFormat="1" ht="18.75" x14ac:dyDescent="0.3">
      <c r="A6" s="21"/>
      <c r="B6" s="22"/>
      <c r="C6" s="18"/>
      <c r="D6" s="19"/>
      <c r="E6" s="18"/>
      <c r="F6" s="18"/>
      <c r="G6" s="18"/>
      <c r="H6" s="18"/>
      <c r="I6" s="18"/>
      <c r="J6" s="18"/>
    </row>
    <row r="7" spans="1:10" s="20" customFormat="1" ht="15.75" x14ac:dyDescent="0.25">
      <c r="A7" s="744" t="s">
        <v>78</v>
      </c>
      <c r="B7" s="746" t="str">
        <f>'OSNOVNI PODATKI'!D1</f>
        <v>Ana Pupedan</v>
      </c>
      <c r="C7" s="54"/>
    </row>
    <row r="8" spans="1:10" s="20" customFormat="1" ht="15.75" x14ac:dyDescent="0.25">
      <c r="A8" s="744"/>
      <c r="B8" s="746" t="str">
        <f>'OSNOVNI PODATKI'!D2</f>
        <v>Slovenska 1, 1000 Ljubljana</v>
      </c>
      <c r="C8" s="54"/>
    </row>
    <row r="9" spans="1:10" s="20" customFormat="1" ht="15.75" x14ac:dyDescent="0.25">
      <c r="A9" s="744" t="s">
        <v>79</v>
      </c>
      <c r="B9" s="746" t="str">
        <f>'OSNOVNI PODATKI'!D3</f>
        <v>ARHITEKT d.o.o.</v>
      </c>
      <c r="C9" s="54"/>
    </row>
    <row r="10" spans="1:10" s="20" customFormat="1" ht="15.75" x14ac:dyDescent="0.25">
      <c r="A10" s="744" t="s">
        <v>80</v>
      </c>
      <c r="B10" s="746" t="str">
        <f>'OSNOVNI PODATKI'!D4</f>
        <v>vilablok</v>
      </c>
      <c r="C10" s="54"/>
      <c r="D10" s="49"/>
      <c r="E10" s="49"/>
      <c r="F10" s="49"/>
      <c r="G10" s="49"/>
      <c r="H10" s="49"/>
    </row>
    <row r="11" spans="1:10" s="20" customFormat="1" ht="15.75" x14ac:dyDescent="0.25">
      <c r="A11" s="745" t="s">
        <v>81</v>
      </c>
      <c r="B11" s="747">
        <f>'OSNOVNI PODATKI'!$D$5</f>
        <v>44612</v>
      </c>
      <c r="C11" s="78"/>
      <c r="D11" s="49"/>
      <c r="E11" s="49"/>
      <c r="F11" s="49"/>
      <c r="G11" s="49"/>
      <c r="H11" s="49"/>
    </row>
    <row r="12" spans="1:10" s="20" customFormat="1" ht="15.75" x14ac:dyDescent="0.25">
      <c r="A12" s="745" t="s">
        <v>813</v>
      </c>
      <c r="B12" s="1112" t="str">
        <f>'OSNOVNI PODATKI'!D6</f>
        <v>2022-01</v>
      </c>
      <c r="C12" s="1110"/>
      <c r="D12" s="49"/>
      <c r="E12" s="49"/>
      <c r="F12" s="49"/>
      <c r="G12" s="49"/>
      <c r="H12" s="49"/>
    </row>
    <row r="13" spans="1:10" s="20" customFormat="1" ht="15.75" x14ac:dyDescent="0.25"/>
    <row r="14" spans="1:10" s="83" customFormat="1" ht="25.5" x14ac:dyDescent="0.2">
      <c r="A14" s="387" t="s">
        <v>631</v>
      </c>
      <c r="B14" s="387"/>
      <c r="C14" s="387"/>
      <c r="D14" s="387"/>
      <c r="E14" s="387"/>
      <c r="F14" s="387"/>
      <c r="G14" s="387"/>
      <c r="H14" s="387"/>
      <c r="I14" s="387"/>
    </row>
    <row r="15" spans="1:10" s="20" customFormat="1" ht="15.75" x14ac:dyDescent="0.25">
      <c r="A15" s="100"/>
      <c r="B15" s="25"/>
      <c r="C15" s="26"/>
      <c r="E15" s="26"/>
      <c r="F15" s="26"/>
      <c r="G15" s="27"/>
      <c r="H15" s="27"/>
      <c r="I15" s="28"/>
    </row>
    <row r="16" spans="1:10" s="383" customFormat="1" ht="15.75" x14ac:dyDescent="0.2"/>
    <row r="17" spans="1:10" s="49" customFormat="1" ht="18.75" x14ac:dyDescent="0.2">
      <c r="A17" s="847" t="s">
        <v>747</v>
      </c>
      <c r="B17" s="848"/>
      <c r="C17" s="848"/>
      <c r="D17" s="848"/>
      <c r="E17" s="848"/>
      <c r="F17" s="848"/>
      <c r="G17" s="848"/>
      <c r="H17" s="848"/>
      <c r="I17" s="384">
        <v>40</v>
      </c>
    </row>
    <row r="18" spans="1:10" s="385" customFormat="1" ht="17.25" customHeight="1" x14ac:dyDescent="0.3">
      <c r="I18" s="911" t="s">
        <v>269</v>
      </c>
      <c r="J18" s="386"/>
    </row>
    <row r="19" spans="1:10" s="20" customFormat="1" ht="15.75" x14ac:dyDescent="0.25"/>
    <row r="20" spans="1:10" ht="42" customHeight="1" x14ac:dyDescent="0.25">
      <c r="A20" s="750"/>
      <c r="B20" s="751"/>
      <c r="C20" s="751"/>
      <c r="D20" s="751"/>
      <c r="E20" s="810"/>
      <c r="F20" s="752"/>
      <c r="G20" s="909" t="s">
        <v>746</v>
      </c>
      <c r="H20" s="910" t="s">
        <v>76</v>
      </c>
      <c r="I20" s="909" t="s">
        <v>90</v>
      </c>
    </row>
    <row r="21" spans="1:10" s="372" customFormat="1" x14ac:dyDescent="0.2">
      <c r="A21" s="815" t="s">
        <v>42</v>
      </c>
      <c r="B21" s="811" t="s">
        <v>43</v>
      </c>
      <c r="C21" s="811"/>
      <c r="D21" s="811"/>
      <c r="E21" s="812"/>
      <c r="F21" s="813"/>
      <c r="G21" s="814"/>
      <c r="H21" s="865">
        <f>SUM(H22:H24)</f>
        <v>0</v>
      </c>
      <c r="I21" s="814">
        <f>SUM(I22:I24)</f>
        <v>0</v>
      </c>
    </row>
    <row r="22" spans="1:10" s="972" customFormat="1" ht="12.75" outlineLevel="1" x14ac:dyDescent="0.2">
      <c r="A22" s="977" t="s">
        <v>44</v>
      </c>
      <c r="B22" s="978" t="s">
        <v>87</v>
      </c>
      <c r="C22" s="978"/>
      <c r="D22" s="978"/>
      <c r="E22" s="968"/>
      <c r="F22" s="969"/>
      <c r="G22" s="970" t="b">
        <v>0</v>
      </c>
      <c r="H22" s="979">
        <f>IFERROR(IF(G22=TRUE,('STAVBE IN NOTRANJA OPREMA'!G88+'STAVBE IN NOTRANJA OPREMA'!G130+'ODPRTI PROSTOR'!G76+'INŽENIRSKI OBJEKTI'!G69+'PROMETNA INFRASTRUKTURA'!G70+'GRADBENE KONSTRUKCIJE'!G68+'TEHNIČNA OPREMA'!G110+'TEHNIČNA OPREMA'!G154+'TEHNIČNA OPREMA'!G197+'POŽARNA VARNOST'!G84+'GRADBENA FIZIKA'!G174+'GRADBENA FIZIKA'!G217+'GRADBENA FIZIKA'!G260),0),0)</f>
        <v>0</v>
      </c>
      <c r="I22" s="971">
        <f>+H22*$I$17</f>
        <v>0</v>
      </c>
    </row>
    <row r="23" spans="1:10" s="972" customFormat="1" ht="12.75" outlineLevel="1" x14ac:dyDescent="0.2">
      <c r="A23" s="977" t="s">
        <v>45</v>
      </c>
      <c r="B23" s="978" t="s">
        <v>88</v>
      </c>
      <c r="C23" s="978"/>
      <c r="D23" s="978"/>
      <c r="E23" s="968"/>
      <c r="F23" s="969"/>
      <c r="G23" s="970" t="b">
        <v>0</v>
      </c>
      <c r="H23" s="979">
        <f>IFERROR(IF(G23=TRUE,('STAVBE IN NOTRANJA OPREMA'!G89+'STAVBE IN NOTRANJA OPREMA'!G131+'ODPRTI PROSTOR'!G77+'INŽENIRSKI OBJEKTI'!G70+'PROMETNA INFRASTRUKTURA'!G71+'GRADBENE KONSTRUKCIJE'!G69+'TEHNIČNA OPREMA'!G111+'TEHNIČNA OPREMA'!G155+'TEHNIČNA OPREMA'!G198+'POŽARNA VARNOST'!G85+'GRADBENA FIZIKA'!G175+'GRADBENA FIZIKA'!G218+'GRADBENA FIZIKA'!G261),0),0)</f>
        <v>0</v>
      </c>
      <c r="I23" s="971">
        <f>+H23*$I$17</f>
        <v>0</v>
      </c>
    </row>
    <row r="24" spans="1:10" s="972" customFormat="1" ht="12.75" outlineLevel="1" x14ac:dyDescent="0.2">
      <c r="A24" s="980" t="s">
        <v>46</v>
      </c>
      <c r="B24" s="981" t="s">
        <v>741</v>
      </c>
      <c r="C24" s="981"/>
      <c r="D24" s="981"/>
      <c r="E24" s="973"/>
      <c r="F24" s="974"/>
      <c r="G24" s="975" t="b">
        <v>0</v>
      </c>
      <c r="H24" s="982">
        <f>IFERROR(IF(G24=TRUE,('STAVBE IN NOTRANJA OPREMA'!G90+'STAVBE IN NOTRANJA OPREMA'!G132+'ODPRTI PROSTOR'!G78+'INŽENIRSKI OBJEKTI'!G71+'PROMETNA INFRASTRUKTURA'!G72+'GRADBENE KONSTRUKCIJE'!G70+'TEHNIČNA OPREMA'!G112+'TEHNIČNA OPREMA'!G156+'TEHNIČNA OPREMA'!G199+'POŽARNA VARNOST'!G86+'GRADBENA FIZIKA'!G176+'GRADBENA FIZIKA'!G219+'GRADBENA FIZIKA'!G262),0),0)</f>
        <v>0</v>
      </c>
      <c r="I24" s="976">
        <f>+H24*$I$17</f>
        <v>0</v>
      </c>
    </row>
    <row r="25" spans="1:10" s="372" customFormat="1" x14ac:dyDescent="0.2">
      <c r="A25" s="765">
        <v>2</v>
      </c>
      <c r="B25" s="754" t="s">
        <v>47</v>
      </c>
      <c r="C25" s="754"/>
      <c r="D25" s="754"/>
      <c r="E25" s="816"/>
      <c r="F25" s="816"/>
      <c r="G25" s="817"/>
      <c r="H25" s="866">
        <f>+H26+H40+H54+H57+H71</f>
        <v>5513.322251876667</v>
      </c>
      <c r="I25" s="766">
        <f>+I26+I40+I54+I57+I71</f>
        <v>220532.89007506668</v>
      </c>
    </row>
    <row r="26" spans="1:10" s="372" customFormat="1" outlineLevel="1" x14ac:dyDescent="0.2">
      <c r="A26" s="763" t="s">
        <v>70</v>
      </c>
      <c r="B26" s="764" t="s">
        <v>124</v>
      </c>
      <c r="C26" s="764"/>
      <c r="D26" s="764"/>
      <c r="E26" s="818"/>
      <c r="F26" s="818"/>
      <c r="G26" s="819"/>
      <c r="H26" s="867">
        <f>SUM(H28:H39)</f>
        <v>783.7934952833333</v>
      </c>
      <c r="I26" s="756">
        <f>SUM(I28:I39)</f>
        <v>31351.739811333333</v>
      </c>
    </row>
    <row r="27" spans="1:10" s="372" customFormat="1" outlineLevel="1" x14ac:dyDescent="0.2">
      <c r="A27" s="767"/>
      <c r="B27" s="963" t="s">
        <v>629</v>
      </c>
      <c r="C27" s="964"/>
      <c r="D27" s="964"/>
      <c r="E27" s="965"/>
      <c r="F27" s="965"/>
      <c r="G27" s="966"/>
      <c r="H27" s="967"/>
      <c r="I27" s="768"/>
    </row>
    <row r="28" spans="1:10" s="902" customFormat="1" ht="12.75" outlineLevel="2" x14ac:dyDescent="0.2">
      <c r="A28" s="894"/>
      <c r="B28" s="895" t="s">
        <v>468</v>
      </c>
      <c r="C28" s="896"/>
      <c r="D28" s="896"/>
      <c r="E28" s="897"/>
      <c r="F28" s="898"/>
      <c r="G28" s="899" t="b">
        <v>1</v>
      </c>
      <c r="H28" s="900">
        <f>IFERROR(IF(G28=TRUE,('STAVBE IN NOTRANJA OPREMA'!G92+'INŽENIRSKI OBJEKTI'!G73+'PROMETNA INFRASTRUKTURA'!G74),0),0)</f>
        <v>254.66018099999997</v>
      </c>
      <c r="I28" s="901">
        <f t="shared" ref="I28:I30" si="0">+H28*$I$17</f>
        <v>10186.407239999999</v>
      </c>
    </row>
    <row r="29" spans="1:10" s="902" customFormat="1" ht="12.75" outlineLevel="2" x14ac:dyDescent="0.2">
      <c r="A29" s="894"/>
      <c r="B29" s="895" t="s">
        <v>610</v>
      </c>
      <c r="C29" s="903"/>
      <c r="D29" s="903"/>
      <c r="E29" s="904"/>
      <c r="F29" s="905"/>
      <c r="G29" s="906" t="b">
        <v>1</v>
      </c>
      <c r="H29" s="907">
        <f>IFERROR(IF(G29=TRUE,'ODPRTI PROSTOR'!G80*'OSNOVNI PODATKI'!E256,0),0)</f>
        <v>19.133333333333336</v>
      </c>
      <c r="I29" s="908">
        <f>+H29*$I$17</f>
        <v>765.33333333333348</v>
      </c>
    </row>
    <row r="30" spans="1:10" s="902" customFormat="1" ht="12.75" outlineLevel="2" x14ac:dyDescent="0.2">
      <c r="A30" s="894"/>
      <c r="B30" s="895" t="s">
        <v>48</v>
      </c>
      <c r="C30" s="903"/>
      <c r="D30" s="903"/>
      <c r="E30" s="904"/>
      <c r="F30" s="905"/>
      <c r="G30" s="906" t="b">
        <v>1</v>
      </c>
      <c r="H30" s="907">
        <f>IFERROR(IF(G30=TRUE,'STAVBE IN NOTRANJA OPREMA'!G134,0),0)</f>
        <v>0</v>
      </c>
      <c r="I30" s="908">
        <f t="shared" si="0"/>
        <v>0</v>
      </c>
    </row>
    <row r="31" spans="1:10" s="902" customFormat="1" ht="12.75" outlineLevel="2" x14ac:dyDescent="0.2">
      <c r="A31" s="894"/>
      <c r="B31" s="895" t="s">
        <v>565</v>
      </c>
      <c r="C31" s="903"/>
      <c r="D31" s="903"/>
      <c r="E31" s="904"/>
      <c r="F31" s="905"/>
      <c r="G31" s="906" t="b">
        <v>1</v>
      </c>
      <c r="H31" s="907">
        <f>IFERROR(IF(G29=TRUE,'ODPRTI PROSTOR'!G80*(100%-'OSNOVNI PODATKI'!E256),0),0)</f>
        <v>0</v>
      </c>
      <c r="I31" s="908">
        <f t="shared" ref="I31:I39" si="1">+H31*$I$17</f>
        <v>0</v>
      </c>
    </row>
    <row r="32" spans="1:10" s="920" customFormat="1" ht="12.75" outlineLevel="2" x14ac:dyDescent="0.2">
      <c r="A32" s="912"/>
      <c r="B32" s="913" t="s">
        <v>49</v>
      </c>
      <c r="C32" s="914"/>
      <c r="D32" s="914"/>
      <c r="E32" s="915"/>
      <c r="F32" s="916"/>
      <c r="G32" s="917" t="b">
        <v>1</v>
      </c>
      <c r="H32" s="918">
        <f>IFERROR(IF(G32=TRUE,'GRADBENE KONSTRUKCIJE'!G72,0),0)</f>
        <v>277.25001495000004</v>
      </c>
      <c r="I32" s="919">
        <f t="shared" si="1"/>
        <v>11090.000598000002</v>
      </c>
    </row>
    <row r="33" spans="1:9" s="920" customFormat="1" ht="12.75" outlineLevel="2" x14ac:dyDescent="0.2">
      <c r="A33" s="912"/>
      <c r="B33" s="913" t="s">
        <v>469</v>
      </c>
      <c r="C33" s="914"/>
      <c r="D33" s="914"/>
      <c r="E33" s="915"/>
      <c r="F33" s="916"/>
      <c r="G33" s="917" t="b">
        <v>1</v>
      </c>
      <c r="H33" s="918">
        <f>IFERROR(IF(G33=TRUE,'TEHNIČNA OPREMA'!G114,0),0)</f>
        <v>48.97116900000001</v>
      </c>
      <c r="I33" s="919">
        <f t="shared" si="1"/>
        <v>1958.8467600000004</v>
      </c>
    </row>
    <row r="34" spans="1:9" s="920" customFormat="1" ht="12.75" outlineLevel="2" x14ac:dyDescent="0.2">
      <c r="A34" s="912"/>
      <c r="B34" s="913" t="s">
        <v>470</v>
      </c>
      <c r="C34" s="914"/>
      <c r="D34" s="914"/>
      <c r="E34" s="915"/>
      <c r="F34" s="916"/>
      <c r="G34" s="917" t="b">
        <v>1</v>
      </c>
      <c r="H34" s="918">
        <f>IFERROR(IF(G34=TRUE,'TEHNIČNA OPREMA'!G158,0),0)</f>
        <v>99.42815699999997</v>
      </c>
      <c r="I34" s="919">
        <f t="shared" si="1"/>
        <v>3977.1262799999986</v>
      </c>
    </row>
    <row r="35" spans="1:9" s="920" customFormat="1" ht="12.75" outlineLevel="2" x14ac:dyDescent="0.2">
      <c r="A35" s="912"/>
      <c r="B35" s="913" t="s">
        <v>56</v>
      </c>
      <c r="C35" s="914"/>
      <c r="D35" s="914"/>
      <c r="E35" s="915"/>
      <c r="F35" s="916"/>
      <c r="G35" s="917" t="b">
        <v>1</v>
      </c>
      <c r="H35" s="918">
        <f>IFERROR(IF(G35=TRUE,'TEHNIČNA OPREMA'!G201,0),0)</f>
        <v>14.247450000000001</v>
      </c>
      <c r="I35" s="919">
        <f t="shared" si="1"/>
        <v>569.89800000000002</v>
      </c>
    </row>
    <row r="36" spans="1:9" s="920" customFormat="1" ht="12.75" outlineLevel="2" x14ac:dyDescent="0.2">
      <c r="A36" s="912"/>
      <c r="B36" s="913" t="s">
        <v>333</v>
      </c>
      <c r="C36" s="914"/>
      <c r="D36" s="914"/>
      <c r="E36" s="915"/>
      <c r="F36" s="916"/>
      <c r="G36" s="917" t="b">
        <v>1</v>
      </c>
      <c r="H36" s="918">
        <f>IFERROR(IF(G36=TRUE,'POŽARNA VARNOST'!G88,0),0)</f>
        <v>9.6</v>
      </c>
      <c r="I36" s="919">
        <f t="shared" si="1"/>
        <v>384</v>
      </c>
    </row>
    <row r="37" spans="1:9" s="920" customFormat="1" ht="12.75" outlineLevel="2" x14ac:dyDescent="0.2">
      <c r="A37" s="912"/>
      <c r="B37" s="914" t="s">
        <v>330</v>
      </c>
      <c r="C37" s="914"/>
      <c r="D37" s="914"/>
      <c r="E37" s="915"/>
      <c r="F37" s="916"/>
      <c r="G37" s="917" t="b">
        <v>1</v>
      </c>
      <c r="H37" s="918">
        <f>IFERROR(IF(G37=TRUE,'GRADBENA FIZIKA'!G178,0),0)</f>
        <v>17.91919</v>
      </c>
      <c r="I37" s="919">
        <f t="shared" si="1"/>
        <v>716.76760000000002</v>
      </c>
    </row>
    <row r="38" spans="1:9" s="920" customFormat="1" ht="12.75" outlineLevel="2" x14ac:dyDescent="0.2">
      <c r="A38" s="912"/>
      <c r="B38" s="921" t="s">
        <v>89</v>
      </c>
      <c r="C38" s="921"/>
      <c r="D38" s="921"/>
      <c r="E38" s="915"/>
      <c r="F38" s="916"/>
      <c r="G38" s="917" t="b">
        <v>1</v>
      </c>
      <c r="H38" s="918">
        <f>IFERROR(IF(G38=TRUE,'GRADBENA FIZIKA'!G221,0),0)</f>
        <v>23.364000000000001</v>
      </c>
      <c r="I38" s="919">
        <f t="shared" si="1"/>
        <v>934.56000000000006</v>
      </c>
    </row>
    <row r="39" spans="1:9" s="920" customFormat="1" ht="12.75" outlineLevel="2" x14ac:dyDescent="0.2">
      <c r="A39" s="922"/>
      <c r="B39" s="923" t="s">
        <v>332</v>
      </c>
      <c r="C39" s="923"/>
      <c r="D39" s="923"/>
      <c r="E39" s="924"/>
      <c r="F39" s="925"/>
      <c r="G39" s="917" t="b">
        <v>1</v>
      </c>
      <c r="H39" s="926">
        <f>IFERROR(IF(G39=TRUE,'GRADBENA FIZIKA'!G264,0),0)</f>
        <v>19.22</v>
      </c>
      <c r="I39" s="919">
        <f t="shared" si="1"/>
        <v>768.8</v>
      </c>
    </row>
    <row r="40" spans="1:9" s="372" customFormat="1" outlineLevel="1" x14ac:dyDescent="0.2">
      <c r="A40" s="771" t="s">
        <v>71</v>
      </c>
      <c r="B40" s="772" t="s">
        <v>617</v>
      </c>
      <c r="C40" s="772"/>
      <c r="D40" s="772"/>
      <c r="E40" s="818"/>
      <c r="F40" s="818"/>
      <c r="G40" s="820"/>
      <c r="H40" s="867">
        <f>SUM(H42:H53)</f>
        <v>1718.0352472333334</v>
      </c>
      <c r="I40" s="756">
        <f>SUM(I42:I53)</f>
        <v>68721.409889333343</v>
      </c>
    </row>
    <row r="41" spans="1:9" s="372" customFormat="1" outlineLevel="1" x14ac:dyDescent="0.2">
      <c r="A41" s="767"/>
      <c r="B41" s="963" t="s">
        <v>628</v>
      </c>
      <c r="C41" s="964"/>
      <c r="D41" s="964"/>
      <c r="E41" s="965"/>
      <c r="F41" s="965"/>
      <c r="G41" s="966"/>
      <c r="H41" s="967"/>
      <c r="I41" s="768"/>
    </row>
    <row r="42" spans="1:9" s="902" customFormat="1" ht="12.75" outlineLevel="2" x14ac:dyDescent="0.2">
      <c r="A42" s="894"/>
      <c r="B42" s="895" t="s">
        <v>468</v>
      </c>
      <c r="C42" s="896"/>
      <c r="D42" s="896"/>
      <c r="E42" s="897"/>
      <c r="F42" s="898"/>
      <c r="G42" s="899" t="b">
        <v>1</v>
      </c>
      <c r="H42" s="900">
        <f>IFERROR(IF(G42=TRUE,('STAVBE IN NOTRANJA OPREMA'!G93+'INŽENIRSKI OBJEKTI'!G74+'PROMETNA INFRASTRUKTURA'!G75),0),0)</f>
        <v>679.09381599999995</v>
      </c>
      <c r="I42" s="901">
        <f t="shared" ref="I42:I53" si="2">+H42*$I$17</f>
        <v>27163.752639999999</v>
      </c>
    </row>
    <row r="43" spans="1:9" s="902" customFormat="1" ht="12.75" outlineLevel="2" x14ac:dyDescent="0.2">
      <c r="A43" s="894"/>
      <c r="B43" s="895" t="str">
        <f>B29</f>
        <v>NAČRT ARHITEKTURE - ODPRTI PROSTOR</v>
      </c>
      <c r="C43" s="903"/>
      <c r="D43" s="903"/>
      <c r="E43" s="904"/>
      <c r="F43" s="905"/>
      <c r="G43" s="906" t="b">
        <v>1</v>
      </c>
      <c r="H43" s="907">
        <f>IFERROR(IF(G43=TRUE,'ODPRTI PROSTOR'!G81*'OSNOVNI PODATKI'!E256,0),0)</f>
        <v>30.613333333333337</v>
      </c>
      <c r="I43" s="908">
        <f>+H43*$I$17</f>
        <v>1224.5333333333335</v>
      </c>
    </row>
    <row r="44" spans="1:9" s="902" customFormat="1" ht="12.75" outlineLevel="2" x14ac:dyDescent="0.2">
      <c r="A44" s="894"/>
      <c r="B44" s="895" t="s">
        <v>48</v>
      </c>
      <c r="C44" s="903"/>
      <c r="D44" s="903"/>
      <c r="E44" s="904"/>
      <c r="F44" s="905"/>
      <c r="G44" s="906" t="b">
        <v>1</v>
      </c>
      <c r="H44" s="907">
        <f>IFERROR(IF(G44=TRUE,'STAVBE IN NOTRANJA OPREMA'!G135,0),0)</f>
        <v>0</v>
      </c>
      <c r="I44" s="908">
        <f t="shared" si="2"/>
        <v>0</v>
      </c>
    </row>
    <row r="45" spans="1:9" s="902" customFormat="1" ht="12.75" outlineLevel="2" x14ac:dyDescent="0.2">
      <c r="A45" s="894"/>
      <c r="B45" s="895" t="str">
        <f>B31</f>
        <v>NAČRT KRAJINSKE ARHITEKTURE</v>
      </c>
      <c r="C45" s="903"/>
      <c r="D45" s="903"/>
      <c r="E45" s="904"/>
      <c r="F45" s="905"/>
      <c r="G45" s="906" t="b">
        <v>1</v>
      </c>
      <c r="H45" s="907">
        <f>IFERROR(IF(G45=TRUE,'ODPRTI PROSTOR'!G81*(100%-'OSNOVNI PODATKI'!E256),0),0)</f>
        <v>0</v>
      </c>
      <c r="I45" s="908">
        <f t="shared" si="2"/>
        <v>0</v>
      </c>
    </row>
    <row r="46" spans="1:9" s="920" customFormat="1" ht="12.75" outlineLevel="2" x14ac:dyDescent="0.2">
      <c r="A46" s="912"/>
      <c r="B46" s="913" t="s">
        <v>49</v>
      </c>
      <c r="C46" s="914"/>
      <c r="D46" s="914"/>
      <c r="E46" s="915"/>
      <c r="F46" s="916"/>
      <c r="G46" s="917" t="b">
        <v>1</v>
      </c>
      <c r="H46" s="918">
        <f>IFERROR(IF(G46=TRUE,'GRADBENE KONSTRUKCIJE'!G73,0),0)</f>
        <v>554.50002990000007</v>
      </c>
      <c r="I46" s="919">
        <f t="shared" si="2"/>
        <v>22180.001196000005</v>
      </c>
    </row>
    <row r="47" spans="1:9" s="920" customFormat="1" ht="12.75" outlineLevel="2" x14ac:dyDescent="0.2">
      <c r="A47" s="912"/>
      <c r="B47" s="913" t="s">
        <v>469</v>
      </c>
      <c r="C47" s="914"/>
      <c r="D47" s="914"/>
      <c r="E47" s="915"/>
      <c r="F47" s="916"/>
      <c r="G47" s="917" t="b">
        <v>1</v>
      </c>
      <c r="H47" s="918">
        <f>IFERROR(IF(G47=TRUE,'TEHNIČNA OPREMA'!G115,0),0)</f>
        <v>92.50109700000003</v>
      </c>
      <c r="I47" s="919">
        <f t="shared" si="2"/>
        <v>3700.0438800000011</v>
      </c>
    </row>
    <row r="48" spans="1:9" s="920" customFormat="1" ht="12.75" outlineLevel="2" x14ac:dyDescent="0.2">
      <c r="A48" s="912"/>
      <c r="B48" s="913" t="s">
        <v>470</v>
      </c>
      <c r="C48" s="914"/>
      <c r="D48" s="914"/>
      <c r="E48" s="915"/>
      <c r="F48" s="916"/>
      <c r="G48" s="917" t="b">
        <v>1</v>
      </c>
      <c r="H48" s="918">
        <f>IFERROR(IF(G48=TRUE,'TEHNIČNA OPREMA'!G159,0),0)</f>
        <v>187.80874099999997</v>
      </c>
      <c r="I48" s="919">
        <f t="shared" si="2"/>
        <v>7512.3496399999985</v>
      </c>
    </row>
    <row r="49" spans="1:9" s="920" customFormat="1" ht="12.75" outlineLevel="2" x14ac:dyDescent="0.2">
      <c r="A49" s="912"/>
      <c r="B49" s="913" t="s">
        <v>56</v>
      </c>
      <c r="C49" s="914"/>
      <c r="D49" s="914"/>
      <c r="E49" s="915"/>
      <c r="F49" s="916"/>
      <c r="G49" s="917" t="b">
        <v>1</v>
      </c>
      <c r="H49" s="918">
        <f>IFERROR(IF(G49=TRUE,'TEHNIČNA OPREMA'!G202,0),0)</f>
        <v>26.911850000000005</v>
      </c>
      <c r="I49" s="919">
        <f t="shared" si="2"/>
        <v>1076.4740000000002</v>
      </c>
    </row>
    <row r="50" spans="1:9" s="920" customFormat="1" ht="12.75" outlineLevel="2" x14ac:dyDescent="0.2">
      <c r="A50" s="912"/>
      <c r="B50" s="913" t="s">
        <v>333</v>
      </c>
      <c r="C50" s="914"/>
      <c r="D50" s="914"/>
      <c r="E50" s="915"/>
      <c r="F50" s="916"/>
      <c r="G50" s="917" t="b">
        <v>1</v>
      </c>
      <c r="H50" s="918">
        <f>IFERROR(IF(G50=TRUE,'POŽARNA VARNOST'!G89,0),0)</f>
        <v>25.6</v>
      </c>
      <c r="I50" s="919">
        <f t="shared" si="2"/>
        <v>1024</v>
      </c>
    </row>
    <row r="51" spans="1:9" s="920" customFormat="1" ht="12.75" outlineLevel="2" x14ac:dyDescent="0.2">
      <c r="A51" s="912"/>
      <c r="B51" s="914" t="s">
        <v>330</v>
      </c>
      <c r="C51" s="914"/>
      <c r="D51" s="914"/>
      <c r="E51" s="915"/>
      <c r="F51" s="916"/>
      <c r="G51" s="917" t="b">
        <v>1</v>
      </c>
      <c r="H51" s="918">
        <f>IFERROR(IF(G51=TRUE,'GRADBENA FIZIKA'!G179,0),0)</f>
        <v>35.838380000000001</v>
      </c>
      <c r="I51" s="919">
        <f t="shared" si="2"/>
        <v>1433.5352</v>
      </c>
    </row>
    <row r="52" spans="1:9" s="920" customFormat="1" ht="12.75" outlineLevel="2" x14ac:dyDescent="0.2">
      <c r="A52" s="912"/>
      <c r="B52" s="921" t="s">
        <v>89</v>
      </c>
      <c r="C52" s="921"/>
      <c r="D52" s="921"/>
      <c r="E52" s="915"/>
      <c r="F52" s="916"/>
      <c r="G52" s="917" t="b">
        <v>1</v>
      </c>
      <c r="H52" s="918">
        <f>IFERROR(IF(G52=TRUE,'GRADBENA FIZIKA'!G222,0),0)</f>
        <v>46.728000000000002</v>
      </c>
      <c r="I52" s="919">
        <f t="shared" si="2"/>
        <v>1869.1200000000001</v>
      </c>
    </row>
    <row r="53" spans="1:9" s="920" customFormat="1" ht="12.75" outlineLevel="2" x14ac:dyDescent="0.2">
      <c r="A53" s="922"/>
      <c r="B53" s="923" t="s">
        <v>332</v>
      </c>
      <c r="C53" s="923"/>
      <c r="D53" s="923"/>
      <c r="E53" s="924"/>
      <c r="F53" s="925"/>
      <c r="G53" s="927" t="b">
        <v>1</v>
      </c>
      <c r="H53" s="926">
        <f>IFERROR(IF(G53=TRUE,'GRADBENA FIZIKA'!G265,0),0)</f>
        <v>38.44</v>
      </c>
      <c r="I53" s="919">
        <f t="shared" si="2"/>
        <v>1537.6</v>
      </c>
    </row>
    <row r="54" spans="1:9" s="372" customFormat="1" outlineLevel="1" x14ac:dyDescent="0.2">
      <c r="A54" s="771" t="s">
        <v>72</v>
      </c>
      <c r="B54" s="772" t="s">
        <v>1075</v>
      </c>
      <c r="C54" s="772"/>
      <c r="D54" s="772"/>
      <c r="E54" s="818"/>
      <c r="F54" s="818"/>
      <c r="G54" s="820"/>
      <c r="H54" s="867">
        <f>SUM(H55:H56)</f>
        <v>284.89478048333342</v>
      </c>
      <c r="I54" s="756">
        <f>SUM(I55:I56)</f>
        <v>11395.791219333336</v>
      </c>
    </row>
    <row r="55" spans="1:9" s="902" customFormat="1" ht="12.75" outlineLevel="2" x14ac:dyDescent="0.2">
      <c r="A55" s="928"/>
      <c r="B55" s="896" t="s">
        <v>748</v>
      </c>
      <c r="C55" s="896"/>
      <c r="D55" s="896"/>
      <c r="E55" s="897"/>
      <c r="F55" s="898"/>
      <c r="G55" s="899" t="b">
        <v>1</v>
      </c>
      <c r="H55" s="900">
        <f>IFERROR(IF(G55=TRUE,('STAVBE IN NOTRANJA OPREMA'!$G$94+'ODPRTI PROSTOR'!$G$82+'INŽENIRSKI OBJEKTI'!G75+'PROMETNA INFRASTRUKTURA'!G76+'GRADBENE KONSTRUKCIJE'!$G$74+'TEHNIČNA OPREMA'!$G$116+'TEHNIČNA OPREMA'!$G$160+'TEHNIČNA OPREMA'!G203+'POŽARNA VARNOST'!G90+'GRADBENA FIZIKA'!G180+'GRADBENA FIZIKA'!G223+'GRADBENA FIZIKA'!G266)*'CENOVNI RAZREDI'!C670,0),0)</f>
        <v>56.978956096666678</v>
      </c>
      <c r="I55" s="901">
        <f>+H55*$I$17</f>
        <v>2279.1582438666674</v>
      </c>
    </row>
    <row r="56" spans="1:9" s="902" customFormat="1" ht="12.75" outlineLevel="2" x14ac:dyDescent="0.2">
      <c r="A56" s="929"/>
      <c r="B56" s="903" t="s">
        <v>749</v>
      </c>
      <c r="C56" s="903"/>
      <c r="D56" s="903"/>
      <c r="E56" s="904"/>
      <c r="F56" s="905"/>
      <c r="G56" s="906" t="b">
        <v>1</v>
      </c>
      <c r="H56" s="907">
        <f>IFERROR(IF(G55=TRUE,('STAVBE IN NOTRANJA OPREMA'!$G$94+'ODPRTI PROSTOR'!$G$82+'INŽENIRSKI OBJEKTI'!G75+'PROMETNA INFRASTRUKTURA'!G76+'GRADBENE KONSTRUKCIJE'!$G$74+'TEHNIČNA OPREMA'!$G$116+'TEHNIČNA OPREMA'!$G$160+'TEHNIČNA OPREMA'!G203+'POŽARNA VARNOST'!G90+'GRADBENA FIZIKA'!G180+'GRADBENA FIZIKA'!G223+'GRADBENA FIZIKA'!G266)*'CENOVNI RAZREDI'!C671,0),0)</f>
        <v>227.91582438666671</v>
      </c>
      <c r="I56" s="908">
        <f>+H56*$I$17</f>
        <v>9116.6329754666694</v>
      </c>
    </row>
    <row r="57" spans="1:9" s="372" customFormat="1" outlineLevel="1" x14ac:dyDescent="0.2">
      <c r="A57" s="771" t="s">
        <v>125</v>
      </c>
      <c r="B57" s="772" t="s">
        <v>618</v>
      </c>
      <c r="C57" s="772"/>
      <c r="D57" s="772"/>
      <c r="E57" s="818"/>
      <c r="F57" s="818"/>
      <c r="G57" s="820"/>
      <c r="H57" s="867">
        <f>SUM(H59:H70)</f>
        <v>2331.4685423833339</v>
      </c>
      <c r="I57" s="756">
        <f>SUM(I59:I70)</f>
        <v>93258.74169533333</v>
      </c>
    </row>
    <row r="58" spans="1:9" s="372" customFormat="1" outlineLevel="1" x14ac:dyDescent="0.2">
      <c r="A58" s="767"/>
      <c r="B58" s="963" t="s">
        <v>627</v>
      </c>
      <c r="C58" s="964"/>
      <c r="D58" s="964"/>
      <c r="E58" s="965"/>
      <c r="F58" s="965"/>
      <c r="G58" s="966"/>
      <c r="H58" s="967"/>
      <c r="I58" s="768"/>
    </row>
    <row r="59" spans="1:9" s="902" customFormat="1" ht="12.75" outlineLevel="2" x14ac:dyDescent="0.2">
      <c r="A59" s="894"/>
      <c r="B59" s="895" t="s">
        <v>468</v>
      </c>
      <c r="C59" s="896"/>
      <c r="D59" s="896"/>
      <c r="E59" s="897"/>
      <c r="F59" s="898"/>
      <c r="G59" s="899" t="b">
        <v>1</v>
      </c>
      <c r="H59" s="900">
        <f>IFERROR(IF(G59=TRUE,('STAVBE IN NOTRANJA OPREMA'!G95+'INŽENIRSKI OBJEKTI'!G76+'PROMETNA INFRASTRUKTURA'!G77),0),0)</f>
        <v>1273.3009049999998</v>
      </c>
      <c r="I59" s="901">
        <f t="shared" ref="I59:I70" si="3">+H59*$I$17</f>
        <v>50932.036199999995</v>
      </c>
    </row>
    <row r="60" spans="1:9" s="902" customFormat="1" ht="12.75" outlineLevel="2" x14ac:dyDescent="0.2">
      <c r="A60" s="894"/>
      <c r="B60" s="895" t="str">
        <f>B29</f>
        <v>NAČRT ARHITEKTURE - ODPRTI PROSTOR</v>
      </c>
      <c r="C60" s="903"/>
      <c r="D60" s="903"/>
      <c r="E60" s="904"/>
      <c r="F60" s="905"/>
      <c r="G60" s="906" t="b">
        <v>1</v>
      </c>
      <c r="H60" s="907">
        <f>IFERROR(IF(G60=TRUE,'ODPRTI PROSTOR'!G83*'OSNOVNI PODATKI'!E256,0),0)</f>
        <v>47.833333333333336</v>
      </c>
      <c r="I60" s="908">
        <f>+H60*$I$17</f>
        <v>1913.3333333333335</v>
      </c>
    </row>
    <row r="61" spans="1:9" s="902" customFormat="1" ht="12.75" outlineLevel="2" x14ac:dyDescent="0.2">
      <c r="A61" s="894"/>
      <c r="B61" s="895" t="s">
        <v>48</v>
      </c>
      <c r="C61" s="903"/>
      <c r="D61" s="903"/>
      <c r="E61" s="904"/>
      <c r="F61" s="905"/>
      <c r="G61" s="906" t="b">
        <v>1</v>
      </c>
      <c r="H61" s="907">
        <f>IFERROR(IF(G61=TRUE,'STAVBE IN NOTRANJA OPREMA'!G137,0),0)</f>
        <v>0</v>
      </c>
      <c r="I61" s="908">
        <f t="shared" si="3"/>
        <v>0</v>
      </c>
    </row>
    <row r="62" spans="1:9" s="902" customFormat="1" ht="12.75" outlineLevel="2" x14ac:dyDescent="0.2">
      <c r="A62" s="894"/>
      <c r="B62" s="895" t="str">
        <f>B31</f>
        <v>NAČRT KRAJINSKE ARHITEKTURE</v>
      </c>
      <c r="C62" s="903"/>
      <c r="D62" s="903"/>
      <c r="E62" s="904"/>
      <c r="F62" s="905"/>
      <c r="G62" s="906" t="b">
        <v>1</v>
      </c>
      <c r="H62" s="907">
        <f>IFERROR(IF(G62=TRUE,'ODPRTI PROSTOR'!G83*(100%-'OSNOVNI PODATKI'!E256),0),0)</f>
        <v>0</v>
      </c>
      <c r="I62" s="908">
        <f t="shared" ref="I62" si="4">+H62*$I$17</f>
        <v>0</v>
      </c>
    </row>
    <row r="63" spans="1:9" s="920" customFormat="1" ht="12.75" outlineLevel="2" x14ac:dyDescent="0.2">
      <c r="A63" s="912"/>
      <c r="B63" s="913" t="s">
        <v>49</v>
      </c>
      <c r="C63" s="914"/>
      <c r="D63" s="914"/>
      <c r="E63" s="915"/>
      <c r="F63" s="916"/>
      <c r="G63" s="917" t="b">
        <v>1</v>
      </c>
      <c r="H63" s="918">
        <f>IFERROR(IF(G63=TRUE,'GRADBENE KONSTRUKCIJE'!G75,0),0)</f>
        <v>646.91670155000008</v>
      </c>
      <c r="I63" s="919">
        <f t="shared" si="3"/>
        <v>25876.668062000004</v>
      </c>
    </row>
    <row r="64" spans="1:9" s="920" customFormat="1" ht="12.75" outlineLevel="2" x14ac:dyDescent="0.2">
      <c r="A64" s="912"/>
      <c r="B64" s="913" t="s">
        <v>469</v>
      </c>
      <c r="C64" s="914"/>
      <c r="D64" s="914"/>
      <c r="E64" s="915"/>
      <c r="F64" s="916"/>
      <c r="G64" s="917" t="b">
        <v>1</v>
      </c>
      <c r="H64" s="918">
        <f>IFERROR(IF(G64=TRUE,'TEHNIČNA OPREMA'!G117,0),0)</f>
        <v>76.177374000000015</v>
      </c>
      <c r="I64" s="919">
        <f t="shared" si="3"/>
        <v>3047.0949600000004</v>
      </c>
    </row>
    <row r="65" spans="1:9" s="920" customFormat="1" ht="12.75" outlineLevel="2" x14ac:dyDescent="0.2">
      <c r="A65" s="912"/>
      <c r="B65" s="913" t="s">
        <v>470</v>
      </c>
      <c r="C65" s="914"/>
      <c r="D65" s="914"/>
      <c r="E65" s="915"/>
      <c r="F65" s="916"/>
      <c r="G65" s="917" t="b">
        <v>1</v>
      </c>
      <c r="H65" s="918">
        <f>IFERROR(IF(G65=TRUE,'TEHNIČNA OPREMA'!G161,0),0)</f>
        <v>154.66602199999994</v>
      </c>
      <c r="I65" s="919">
        <f t="shared" si="3"/>
        <v>6186.6408799999972</v>
      </c>
    </row>
    <row r="66" spans="1:9" s="920" customFormat="1" ht="12.75" outlineLevel="2" x14ac:dyDescent="0.2">
      <c r="A66" s="912"/>
      <c r="B66" s="913" t="s">
        <v>56</v>
      </c>
      <c r="C66" s="914"/>
      <c r="D66" s="914"/>
      <c r="E66" s="915"/>
      <c r="F66" s="916"/>
      <c r="G66" s="917" t="b">
        <v>1</v>
      </c>
      <c r="H66" s="918">
        <f>IFERROR(IF(G66=TRUE,'TEHNIČNA OPREMA'!G204,0),0)</f>
        <v>28.494900000000001</v>
      </c>
      <c r="I66" s="919">
        <f t="shared" si="3"/>
        <v>1139.796</v>
      </c>
    </row>
    <row r="67" spans="1:9" s="920" customFormat="1" ht="12.75" outlineLevel="2" x14ac:dyDescent="0.2">
      <c r="A67" s="912"/>
      <c r="B67" s="913" t="s">
        <v>333</v>
      </c>
      <c r="C67" s="914"/>
      <c r="D67" s="914"/>
      <c r="E67" s="915"/>
      <c r="F67" s="916"/>
      <c r="G67" s="917" t="b">
        <v>1</v>
      </c>
      <c r="H67" s="918">
        <f>IFERROR(IF(G67=TRUE,'POŽARNA VARNOST'!G91,0),0)</f>
        <v>22.4</v>
      </c>
      <c r="I67" s="919">
        <f t="shared" si="3"/>
        <v>896</v>
      </c>
    </row>
    <row r="68" spans="1:9" s="920" customFormat="1" ht="12.75" outlineLevel="2" x14ac:dyDescent="0.2">
      <c r="A68" s="912"/>
      <c r="B68" s="914" t="s">
        <v>330</v>
      </c>
      <c r="C68" s="914"/>
      <c r="D68" s="914"/>
      <c r="E68" s="915"/>
      <c r="F68" s="916"/>
      <c r="G68" s="917" t="b">
        <v>1</v>
      </c>
      <c r="H68" s="918">
        <f>IFERROR(IF(G68=TRUE,'GRADBENA FIZIKA'!G181,0),0)</f>
        <v>24.190906500000001</v>
      </c>
      <c r="I68" s="919">
        <f t="shared" si="3"/>
        <v>967.63625999999999</v>
      </c>
    </row>
    <row r="69" spans="1:9" s="920" customFormat="1" ht="12.75" outlineLevel="2" x14ac:dyDescent="0.2">
      <c r="A69" s="912"/>
      <c r="B69" s="921" t="s">
        <v>89</v>
      </c>
      <c r="C69" s="921"/>
      <c r="D69" s="921"/>
      <c r="E69" s="915"/>
      <c r="F69" s="916"/>
      <c r="G69" s="917" t="b">
        <v>1</v>
      </c>
      <c r="H69" s="918">
        <f>IFERROR(IF(G69=TRUE,'GRADBENA FIZIKA'!G224,0),0)</f>
        <v>31.541399999999999</v>
      </c>
      <c r="I69" s="919">
        <f t="shared" si="3"/>
        <v>1261.6559999999999</v>
      </c>
    </row>
    <row r="70" spans="1:9" s="920" customFormat="1" ht="12.75" outlineLevel="2" x14ac:dyDescent="0.2">
      <c r="A70" s="922"/>
      <c r="B70" s="923" t="s">
        <v>332</v>
      </c>
      <c r="C70" s="923"/>
      <c r="D70" s="923"/>
      <c r="E70" s="924"/>
      <c r="F70" s="925"/>
      <c r="G70" s="927" t="b">
        <v>1</v>
      </c>
      <c r="H70" s="926">
        <f>IFERROR(IF(G70=TRUE,'GRADBENA FIZIKA'!G267,0),0)</f>
        <v>25.946999999999999</v>
      </c>
      <c r="I70" s="919">
        <f t="shared" si="3"/>
        <v>1037.8799999999999</v>
      </c>
    </row>
    <row r="71" spans="1:9" s="372" customFormat="1" outlineLevel="1" x14ac:dyDescent="0.2">
      <c r="A71" s="771" t="s">
        <v>126</v>
      </c>
      <c r="B71" s="772" t="s">
        <v>742</v>
      </c>
      <c r="C71" s="772"/>
      <c r="D71" s="772"/>
      <c r="E71" s="818"/>
      <c r="F71" s="818"/>
      <c r="G71" s="820" t="b">
        <v>1</v>
      </c>
      <c r="H71" s="867">
        <f>SUM(H73:H80)</f>
        <v>395.13018649333333</v>
      </c>
      <c r="I71" s="756">
        <f>SUM(I73:I80)</f>
        <v>15805.207459733336</v>
      </c>
    </row>
    <row r="72" spans="1:9" s="372" customFormat="1" outlineLevel="1" x14ac:dyDescent="0.2">
      <c r="A72" s="767"/>
      <c r="B72" s="963" t="s">
        <v>750</v>
      </c>
      <c r="C72" s="964"/>
      <c r="D72" s="964"/>
      <c r="E72" s="965"/>
      <c r="F72" s="965"/>
      <c r="G72" s="966"/>
      <c r="H72" s="967"/>
      <c r="I72" s="768"/>
    </row>
    <row r="73" spans="1:9" s="902" customFormat="1" ht="12.75" outlineLevel="2" x14ac:dyDescent="0.2">
      <c r="A73" s="894"/>
      <c r="B73" s="895" t="s">
        <v>468</v>
      </c>
      <c r="C73" s="896"/>
      <c r="D73" s="896"/>
      <c r="E73" s="897"/>
      <c r="F73" s="898"/>
      <c r="G73" s="899" t="b">
        <v>1</v>
      </c>
      <c r="H73" s="900">
        <f>IFERROR(IF(G73=TRUE,('STAVBE IN NOTRANJA OPREMA'!G96+'INŽENIRSKI OBJEKTI'!G77+'PROMETNA INFRASTRUKTURA'!G78+'GRADBENA FIZIKA'!G182+'GRADBENA FIZIKA'!G225+'GRADBENA FIZIKA'!G268),0),0)</f>
        <v>218.26713649999999</v>
      </c>
      <c r="I73" s="901">
        <f t="shared" ref="I73:I80" si="5">+H73*$I$17</f>
        <v>8730.6854600000006</v>
      </c>
    </row>
    <row r="74" spans="1:9" s="902" customFormat="1" ht="12.75" outlineLevel="2" x14ac:dyDescent="0.2">
      <c r="A74" s="894"/>
      <c r="B74" s="895" t="str">
        <f>B29</f>
        <v>NAČRT ARHITEKTURE - ODPRTI PROSTOR</v>
      </c>
      <c r="C74" s="903"/>
      <c r="D74" s="903"/>
      <c r="E74" s="904"/>
      <c r="F74" s="905"/>
      <c r="G74" s="906" t="b">
        <v>1</v>
      </c>
      <c r="H74" s="907">
        <f>IFERROR(IF(G74=TRUE,('ODPRTI PROSTOR'!G84*'OSNOVNI PODATKI'!E256),0),0)</f>
        <v>13.393333333333334</v>
      </c>
      <c r="I74" s="908">
        <f>+H74*$I$17</f>
        <v>535.73333333333335</v>
      </c>
    </row>
    <row r="75" spans="1:9" s="902" customFormat="1" ht="12.75" outlineLevel="2" x14ac:dyDescent="0.2">
      <c r="A75" s="894"/>
      <c r="B75" s="895" t="s">
        <v>48</v>
      </c>
      <c r="C75" s="903"/>
      <c r="D75" s="903"/>
      <c r="E75" s="904"/>
      <c r="F75" s="905"/>
      <c r="G75" s="906" t="b">
        <v>1</v>
      </c>
      <c r="H75" s="907">
        <f>IFERROR(IF(G75=TRUE,('STAVBE IN NOTRANJA OPREMA'!G138),0),0)</f>
        <v>0</v>
      </c>
      <c r="I75" s="908">
        <f t="shared" si="5"/>
        <v>0</v>
      </c>
    </row>
    <row r="76" spans="1:9" s="902" customFormat="1" ht="12.75" outlineLevel="2" x14ac:dyDescent="0.2">
      <c r="A76" s="894"/>
      <c r="B76" s="895" t="str">
        <f>B31</f>
        <v>NAČRT KRAJINSKE ARHITEKTURE</v>
      </c>
      <c r="C76" s="903"/>
      <c r="D76" s="903"/>
      <c r="E76" s="904"/>
      <c r="F76" s="905"/>
      <c r="G76" s="906" t="b">
        <v>1</v>
      </c>
      <c r="H76" s="907">
        <f>IFERROR(IF(G76=TRUE,('ODPRTI PROSTOR'!G84*(100%-'OSNOVNI PODATKI'!E256)),0),0)</f>
        <v>0</v>
      </c>
      <c r="I76" s="908">
        <f t="shared" si="5"/>
        <v>0</v>
      </c>
    </row>
    <row r="77" spans="1:9" s="920" customFormat="1" ht="12.75" outlineLevel="2" x14ac:dyDescent="0.2">
      <c r="A77" s="912"/>
      <c r="B77" s="914" t="s">
        <v>49</v>
      </c>
      <c r="C77" s="914"/>
      <c r="D77" s="914"/>
      <c r="E77" s="915"/>
      <c r="F77" s="916"/>
      <c r="G77" s="917" t="b">
        <v>1</v>
      </c>
      <c r="H77" s="918">
        <f>IFERROR(IF(G77=TRUE,('GRADBENE KONSTRUKCIJE'!G76),0),0)</f>
        <v>36.966668660000003</v>
      </c>
      <c r="I77" s="919">
        <f t="shared" si="5"/>
        <v>1478.6667464000002</v>
      </c>
    </row>
    <row r="78" spans="1:9" s="920" customFormat="1" ht="12.75" outlineLevel="2" x14ac:dyDescent="0.2">
      <c r="A78" s="912"/>
      <c r="B78" s="914" t="s">
        <v>52</v>
      </c>
      <c r="C78" s="914"/>
      <c r="D78" s="914"/>
      <c r="E78" s="915"/>
      <c r="F78" s="916"/>
      <c r="G78" s="917" t="b">
        <v>1</v>
      </c>
      <c r="H78" s="918">
        <f>IFERROR(IF(G78=TRUE,('TEHNIČNA OPREMA'!G118),0),0)</f>
        <v>38.088687000000014</v>
      </c>
      <c r="I78" s="919">
        <f t="shared" si="5"/>
        <v>1523.5474800000006</v>
      </c>
    </row>
    <row r="79" spans="1:9" s="920" customFormat="1" ht="12.75" outlineLevel="2" x14ac:dyDescent="0.2">
      <c r="A79" s="912"/>
      <c r="B79" s="914" t="s">
        <v>54</v>
      </c>
      <c r="C79" s="914"/>
      <c r="D79" s="914"/>
      <c r="E79" s="915"/>
      <c r="F79" s="916"/>
      <c r="G79" s="917" t="b">
        <v>1</v>
      </c>
      <c r="H79" s="918">
        <f>IFERROR(IF(G79=TRUE,('TEHNIČNA OPREMA'!G162),0),0)</f>
        <v>77.333010999999985</v>
      </c>
      <c r="I79" s="919">
        <f t="shared" si="5"/>
        <v>3093.3204399999995</v>
      </c>
    </row>
    <row r="80" spans="1:9" s="920" customFormat="1" ht="12.75" outlineLevel="2" x14ac:dyDescent="0.2">
      <c r="A80" s="930"/>
      <c r="B80" s="931" t="s">
        <v>56</v>
      </c>
      <c r="C80" s="932"/>
      <c r="D80" s="932"/>
      <c r="E80" s="933"/>
      <c r="F80" s="934"/>
      <c r="G80" s="935" t="b">
        <v>1</v>
      </c>
      <c r="H80" s="936">
        <f>IFERROR(IF(G80=TRUE,'TEHNIČNA OPREMA'!G205,0),0)</f>
        <v>11.081350000000002</v>
      </c>
      <c r="I80" s="937">
        <f t="shared" si="5"/>
        <v>443.25400000000008</v>
      </c>
    </row>
    <row r="81" spans="1:9" s="372" customFormat="1" x14ac:dyDescent="0.2">
      <c r="A81" s="773" t="s">
        <v>58</v>
      </c>
      <c r="B81" s="754" t="s">
        <v>801</v>
      </c>
      <c r="C81" s="754"/>
      <c r="D81" s="754"/>
      <c r="E81" s="816"/>
      <c r="F81" s="821"/>
      <c r="G81" s="822"/>
      <c r="H81" s="868">
        <f>SUM(H82:H83)</f>
        <v>0</v>
      </c>
      <c r="I81" s="755">
        <f>SUM(I82:I83)</f>
        <v>0</v>
      </c>
    </row>
    <row r="82" spans="1:9" s="373" customFormat="1" ht="12.75" outlineLevel="1" x14ac:dyDescent="0.2">
      <c r="A82" s="774" t="s">
        <v>59</v>
      </c>
      <c r="B82" s="756" t="s">
        <v>743</v>
      </c>
      <c r="C82" s="756"/>
      <c r="D82" s="756"/>
      <c r="E82" s="823"/>
      <c r="F82" s="824"/>
      <c r="G82" s="825" t="b">
        <v>0</v>
      </c>
      <c r="H82" s="869">
        <f>IFERROR(IF(G82=TRUE,('STAVBE IN NOTRANJA OPREMA'!G98+'STAVBE IN NOTRANJA OPREMA'!G140+'ODPRTI PROSTOR'!G86+'INŽENIRSKI OBJEKTI'!G79+'PROMETNA INFRASTRUKTURA'!G80+'GRADBENE KONSTRUKCIJE'!G78+'TEHNIČNA OPREMA'!G120+'TEHNIČNA OPREMA'!G164+'TEHNIČNA OPREMA'!G207+'GRADBENA FIZIKA'!G184+'GRADBENA FIZIKA'!G227+'GRADBENA FIZIKA'!G270),0),0)</f>
        <v>0</v>
      </c>
      <c r="I82" s="756">
        <f>+H82*$I$17</f>
        <v>0</v>
      </c>
    </row>
    <row r="83" spans="1:9" s="373" customFormat="1" ht="12.75" outlineLevel="1" x14ac:dyDescent="0.2">
      <c r="A83" s="826" t="s">
        <v>60</v>
      </c>
      <c r="B83" s="827" t="s">
        <v>255</v>
      </c>
      <c r="C83" s="827"/>
      <c r="D83" s="827"/>
      <c r="E83" s="828"/>
      <c r="F83" s="829"/>
      <c r="G83" s="830" t="b">
        <v>0</v>
      </c>
      <c r="H83" s="870">
        <f>IFERROR(IF(G83=TRUE,('STAVBE IN NOTRANJA OPREMA'!G99+'STAVBE IN NOTRANJA OPREMA'!G141+'INŽENIRSKI OBJEKTI'!G80+'PROMETNA INFRASTRUKTURA'!G81+'ODPRTI PROSTOR'!G87+'GRADBENE KONSTRUKCIJE'!G79+'TEHNIČNA OPREMA'!G121+'TEHNIČNA OPREMA'!G165+'TEHNIČNA OPREMA'!G208+'GRADBENA FIZIKA'!G185+'GRADBENA FIZIKA'!G228+'GRADBENA FIZIKA'!G271),0),0)</f>
        <v>0</v>
      </c>
      <c r="I83" s="827">
        <f>+H83*$I$17</f>
        <v>0</v>
      </c>
    </row>
    <row r="84" spans="1:9" s="372" customFormat="1" x14ac:dyDescent="0.2">
      <c r="A84" s="775">
        <v>4</v>
      </c>
      <c r="B84" s="754" t="s">
        <v>80</v>
      </c>
      <c r="C84" s="754"/>
      <c r="D84" s="754"/>
      <c r="E84" s="816"/>
      <c r="F84" s="821"/>
      <c r="G84" s="822"/>
      <c r="H84" s="868">
        <f>H85+H86+H94+H95+H96</f>
        <v>806.55832199999986</v>
      </c>
      <c r="I84" s="755">
        <f>+I85+I86+I94+I95+I96</f>
        <v>32262.332880000002</v>
      </c>
    </row>
    <row r="85" spans="1:9" s="373" customFormat="1" ht="12.75" outlineLevel="1" x14ac:dyDescent="0.2">
      <c r="A85" s="774" t="s">
        <v>61</v>
      </c>
      <c r="B85" s="756" t="s">
        <v>256</v>
      </c>
      <c r="C85" s="756"/>
      <c r="D85" s="756"/>
      <c r="E85" s="823"/>
      <c r="F85" s="824"/>
      <c r="G85" s="825" t="b">
        <v>1</v>
      </c>
      <c r="H85" s="869">
        <f>IFERROR(IF(G85=TRUE,('STAVBE IN NOTRANJA OPREMA'!G101+'STAVBE IN NOTRANJA OPREMA'!G143+'INŽENIRSKI OBJEKTI'!G82+'PROMETNA INFRASTRUKTURA'!G83+'ODPRTI PROSTOR'!G89+'TEHNIČNA OPREMA'!G123+'TEHNIČNA OPREMA'!G167+'TEHNIČNA OPREMA'!G210),0),0)</f>
        <v>62.428560833333336</v>
      </c>
      <c r="I85" s="756">
        <f>+H85*$I$17</f>
        <v>2497.1424333333334</v>
      </c>
    </row>
    <row r="86" spans="1:9" s="373" customFormat="1" ht="12.75" outlineLevel="1" x14ac:dyDescent="0.2">
      <c r="A86" s="774" t="s">
        <v>62</v>
      </c>
      <c r="B86" s="756" t="str">
        <f>CONCATENATE("IZVAJANJE GRADNJE", IF('OSNOVNI PODATKI'!E259=FALSE, " (PROJEKTANTSKI NADZOR)", " (GRADBENI NADZOR)"))</f>
        <v>IZVAJANJE GRADNJE (PROJEKTANTSKI NADZOR)</v>
      </c>
      <c r="C86" s="756"/>
      <c r="D86" s="756"/>
      <c r="E86" s="823"/>
      <c r="F86" s="824"/>
      <c r="G86" s="825" t="b">
        <v>0</v>
      </c>
      <c r="H86" s="869">
        <f>SUM(H87:H93)</f>
        <v>428.78695699999992</v>
      </c>
      <c r="I86" s="756">
        <f>+H86*$I$17</f>
        <v>17151.478279999996</v>
      </c>
    </row>
    <row r="87" spans="1:9" s="902" customFormat="1" ht="12.75" outlineLevel="2" x14ac:dyDescent="0.2">
      <c r="A87" s="894"/>
      <c r="B87" s="895" t="s">
        <v>619</v>
      </c>
      <c r="C87" s="896"/>
      <c r="D87" s="896"/>
      <c r="E87" s="897"/>
      <c r="F87" s="898"/>
      <c r="G87" s="899" t="b">
        <v>1</v>
      </c>
      <c r="H87" s="900">
        <f>IFERROR(IF(G87=TRUE,'STAVBE IN NOTRANJA OPREMA'!G102+'INŽENIRSKI OBJEKTI'!G83+'PROMETNA INFRASTRUKTURA'!G84,0),0)</f>
        <v>254.66018099999997</v>
      </c>
      <c r="I87" s="901">
        <f t="shared" ref="I87" si="6">+H87*$I$17</f>
        <v>10186.407239999999</v>
      </c>
    </row>
    <row r="88" spans="1:9" s="902" customFormat="1" ht="12.75" outlineLevel="2" x14ac:dyDescent="0.2">
      <c r="A88" s="894"/>
      <c r="B88" s="895" t="s">
        <v>620</v>
      </c>
      <c r="C88" s="903"/>
      <c r="D88" s="903"/>
      <c r="E88" s="904"/>
      <c r="F88" s="905"/>
      <c r="G88" s="906" t="b">
        <v>1</v>
      </c>
      <c r="H88" s="900">
        <f>IFERROR(IF(G88=TRUE,'ODPRTI PROSTOR'!G90*'OSNOVNI PODATKI'!E256,0),0)</f>
        <v>11.48</v>
      </c>
      <c r="I88" s="908">
        <f>+H88*$I$17</f>
        <v>459.20000000000005</v>
      </c>
    </row>
    <row r="89" spans="1:9" s="902" customFormat="1" ht="12.75" outlineLevel="2" x14ac:dyDescent="0.2">
      <c r="A89" s="894"/>
      <c r="B89" s="895" t="s">
        <v>621</v>
      </c>
      <c r="C89" s="903"/>
      <c r="D89" s="903"/>
      <c r="E89" s="904"/>
      <c r="F89" s="905"/>
      <c r="G89" s="906" t="b">
        <v>1</v>
      </c>
      <c r="H89" s="900">
        <f>IFERROR(IF(G89=TRUE,'STAVBE IN NOTRANJA OPREMA'!G144,0),0)</f>
        <v>0</v>
      </c>
      <c r="I89" s="908">
        <f t="shared" ref="I89:I93" si="7">+H89*$I$17</f>
        <v>0</v>
      </c>
    </row>
    <row r="90" spans="1:9" s="902" customFormat="1" ht="12.75" outlineLevel="2" x14ac:dyDescent="0.2">
      <c r="A90" s="894"/>
      <c r="B90" s="895" t="s">
        <v>622</v>
      </c>
      <c r="C90" s="903"/>
      <c r="D90" s="903"/>
      <c r="E90" s="904"/>
      <c r="F90" s="905"/>
      <c r="G90" s="906" t="b">
        <v>1</v>
      </c>
      <c r="H90" s="900">
        <f>IFERROR(IF(G90=TRUE,'ODPRTI PROSTOR'!G90*(100%-'OSNOVNI PODATKI'!E256),0),0)</f>
        <v>0</v>
      </c>
      <c r="I90" s="908">
        <f t="shared" si="7"/>
        <v>0</v>
      </c>
    </row>
    <row r="91" spans="1:9" s="920" customFormat="1" ht="12.75" outlineLevel="2" x14ac:dyDescent="0.2">
      <c r="A91" s="912"/>
      <c r="B91" s="914" t="s">
        <v>623</v>
      </c>
      <c r="C91" s="914"/>
      <c r="D91" s="914"/>
      <c r="E91" s="915"/>
      <c r="F91" s="916"/>
      <c r="G91" s="917" t="b">
        <v>1</v>
      </c>
      <c r="H91" s="938">
        <f>IFERROR(IF(G91=TRUE,'TEHNIČNA OPREMA'!G124,0),0)</f>
        <v>48.971168999999996</v>
      </c>
      <c r="I91" s="919">
        <f t="shared" si="7"/>
        <v>1958.8467599999999</v>
      </c>
    </row>
    <row r="92" spans="1:9" s="920" customFormat="1" ht="12.75" outlineLevel="2" x14ac:dyDescent="0.2">
      <c r="A92" s="912"/>
      <c r="B92" s="914" t="s">
        <v>624</v>
      </c>
      <c r="C92" s="914"/>
      <c r="D92" s="914"/>
      <c r="E92" s="915"/>
      <c r="F92" s="916"/>
      <c r="G92" s="917" t="b">
        <v>1</v>
      </c>
      <c r="H92" s="938">
        <f>IFERROR(IF(G92=TRUE,'TEHNIČNA OPREMA'!G168,0),0)</f>
        <v>99.428156999999942</v>
      </c>
      <c r="I92" s="919">
        <f t="shared" si="7"/>
        <v>3977.1262799999977</v>
      </c>
    </row>
    <row r="93" spans="1:9" s="920" customFormat="1" ht="12.75" outlineLevel="2" x14ac:dyDescent="0.2">
      <c r="A93" s="922"/>
      <c r="B93" s="939" t="s">
        <v>625</v>
      </c>
      <c r="C93" s="940"/>
      <c r="D93" s="940"/>
      <c r="E93" s="941"/>
      <c r="F93" s="942"/>
      <c r="G93" s="943" t="b">
        <v>1</v>
      </c>
      <c r="H93" s="944">
        <f>IFERROR(IF(G93=TRUE,'TEHNIČNA OPREMA'!G211,0),0)</f>
        <v>14.247449999999995</v>
      </c>
      <c r="I93" s="945">
        <f t="shared" si="7"/>
        <v>569.8979999999998</v>
      </c>
    </row>
    <row r="94" spans="1:9" s="373" customFormat="1" ht="12.75" outlineLevel="1" x14ac:dyDescent="0.2">
      <c r="A94" s="774" t="s">
        <v>63</v>
      </c>
      <c r="B94" s="756" t="s">
        <v>1076</v>
      </c>
      <c r="C94" s="756"/>
      <c r="D94" s="756"/>
      <c r="E94" s="823"/>
      <c r="F94" s="824"/>
      <c r="G94" s="825" t="b">
        <v>1</v>
      </c>
      <c r="H94" s="869">
        <f>IFERROR(IF(G94=TRUE,('STAVBE IN NOTRANJA OPREMA'!G103+'STAVBE IN NOTRANJA OPREMA'!G145+'INŽENIRSKI OBJEKTI'!G84+'PROMETNA INFRASTRUKTURA'!G85+'ODPRTI PROSTOR'!G91+'GRADBENE KONSTRUKCIJE'!G83+'TEHNIČNA OPREMA'!G125+'TEHNIČNA OPREMA'!G169+'TEHNIČNA OPREMA'!G212+'GRADBENA FIZIKA'!G189+'GRADBENA FIZIKA'!G232+'GRADBENA FIZIKA'!G275),0),0)</f>
        <v>62.428560833333336</v>
      </c>
      <c r="I94" s="756">
        <f>+H94*$I$17</f>
        <v>2497.1424333333334</v>
      </c>
    </row>
    <row r="95" spans="1:9" s="373" customFormat="1" ht="12.75" outlineLevel="1" x14ac:dyDescent="0.2">
      <c r="A95" s="774" t="s">
        <v>64</v>
      </c>
      <c r="B95" s="756" t="s">
        <v>780</v>
      </c>
      <c r="C95" s="756"/>
      <c r="D95" s="756"/>
      <c r="E95" s="823"/>
      <c r="F95" s="824"/>
      <c r="G95" s="825" t="b">
        <v>1</v>
      </c>
      <c r="H95" s="869">
        <f>IFERROR(IF(G95=TRUE,('STAVBE IN NOTRANJA OPREMA'!G104+'INŽENIRSKI OBJEKTI'!G85+'PROMETNA INFRASTRUKTURA'!G86+'ODPRTI PROSTOR'!G92+'GRADBENE KONSTRUKCIJE'!G84+'TEHNIČNA OPREMA'!G126+'TEHNIČNA OPREMA'!G170+'TEHNIČNA OPREMA'!G213),0),0)</f>
        <v>124.85712166666667</v>
      </c>
      <c r="I95" s="756">
        <f>+H95*$I$17</f>
        <v>4994.2848666666669</v>
      </c>
    </row>
    <row r="96" spans="1:9" s="373" customFormat="1" ht="12.75" outlineLevel="1" x14ac:dyDescent="0.2">
      <c r="A96" s="774" t="s">
        <v>65</v>
      </c>
      <c r="B96" s="756" t="s">
        <v>744</v>
      </c>
      <c r="C96" s="756"/>
      <c r="D96" s="756"/>
      <c r="E96" s="823"/>
      <c r="F96" s="824"/>
      <c r="G96" s="825" t="b">
        <v>1</v>
      </c>
      <c r="H96" s="869">
        <f>SUM(H98:H109)</f>
        <v>128.05712166666666</v>
      </c>
      <c r="I96" s="756">
        <f>H96*I17</f>
        <v>5122.2848666666669</v>
      </c>
    </row>
    <row r="97" spans="1:9" s="372" customFormat="1" outlineLevel="1" x14ac:dyDescent="0.2">
      <c r="A97" s="767"/>
      <c r="B97" s="963" t="s">
        <v>745</v>
      </c>
      <c r="C97" s="964"/>
      <c r="D97" s="964"/>
      <c r="E97" s="965"/>
      <c r="F97" s="965"/>
      <c r="G97" s="966"/>
      <c r="H97" s="967"/>
      <c r="I97" s="768"/>
    </row>
    <row r="98" spans="1:9" s="902" customFormat="1" ht="12.75" outlineLevel="2" x14ac:dyDescent="0.2">
      <c r="A98" s="894"/>
      <c r="B98" s="895" t="s">
        <v>468</v>
      </c>
      <c r="C98" s="896"/>
      <c r="D98" s="896"/>
      <c r="E98" s="897"/>
      <c r="F98" s="898"/>
      <c r="G98" s="899" t="b">
        <v>1</v>
      </c>
      <c r="H98" s="900">
        <f>IFERROR(IF(G98=TRUE,('STAVBE IN NOTRANJA OPREMA'!G104+'INŽENIRSKI OBJEKTI'!G85+'PROMETNA INFRASTRUKTURA'!G86),0),0)</f>
        <v>84.886726999999993</v>
      </c>
      <c r="I98" s="901">
        <f t="shared" ref="I98:I109" si="8">+H98*$I$17</f>
        <v>3395.4690799999998</v>
      </c>
    </row>
    <row r="99" spans="1:9" s="902" customFormat="1" ht="12.75" outlineLevel="2" x14ac:dyDescent="0.2">
      <c r="A99" s="894"/>
      <c r="B99" s="895" t="str">
        <f>B29</f>
        <v>NAČRT ARHITEKTURE - ODPRTI PROSTOR</v>
      </c>
      <c r="C99" s="903"/>
      <c r="D99" s="903"/>
      <c r="E99" s="904"/>
      <c r="F99" s="905"/>
      <c r="G99" s="906" t="b">
        <v>1</v>
      </c>
      <c r="H99" s="907">
        <f>IFERROR(IF(G99=TRUE,'ODPRTI PROSTOR'!G92*'OSNOVNI PODATKI'!E256,0),0)</f>
        <v>3.8266666666666671</v>
      </c>
      <c r="I99" s="908">
        <f>+H99*$I$17</f>
        <v>153.06666666666669</v>
      </c>
    </row>
    <row r="100" spans="1:9" s="902" customFormat="1" ht="12.75" outlineLevel="2" x14ac:dyDescent="0.2">
      <c r="A100" s="894"/>
      <c r="B100" s="895" t="s">
        <v>48</v>
      </c>
      <c r="C100" s="903"/>
      <c r="D100" s="903"/>
      <c r="E100" s="904"/>
      <c r="F100" s="905"/>
      <c r="G100" s="906" t="b">
        <v>1</v>
      </c>
      <c r="H100" s="907">
        <f>IFERROR(IF(G100=TRUE,'STAVBE IN NOTRANJA OPREMA'!G146,0),0)</f>
        <v>0</v>
      </c>
      <c r="I100" s="908">
        <f t="shared" si="8"/>
        <v>0</v>
      </c>
    </row>
    <row r="101" spans="1:9" s="902" customFormat="1" ht="12.75" outlineLevel="2" x14ac:dyDescent="0.2">
      <c r="A101" s="894"/>
      <c r="B101" s="895" t="str">
        <f>B76</f>
        <v>NAČRT KRAJINSKE ARHITEKTURE</v>
      </c>
      <c r="C101" s="903"/>
      <c r="D101" s="903"/>
      <c r="E101" s="904"/>
      <c r="F101" s="905"/>
      <c r="G101" s="906" t="b">
        <v>1</v>
      </c>
      <c r="H101" s="907">
        <f>IFERROR(IF(G101=TRUE,('ODPRTI PROSTOR'!G92*(100%-'OSNOVNI PODATKI'!E256)),0),0)</f>
        <v>0</v>
      </c>
      <c r="I101" s="908">
        <f t="shared" si="8"/>
        <v>0</v>
      </c>
    </row>
    <row r="102" spans="1:9" s="920" customFormat="1" ht="12.75" outlineLevel="2" x14ac:dyDescent="0.2">
      <c r="A102" s="912"/>
      <c r="B102" s="914" t="s">
        <v>49</v>
      </c>
      <c r="C102" s="914"/>
      <c r="D102" s="914"/>
      <c r="E102" s="915"/>
      <c r="F102" s="916"/>
      <c r="G102" s="917" t="b">
        <v>1</v>
      </c>
      <c r="H102" s="918">
        <f>IFERROR(IF(G102=TRUE,'GRADBENE KONSTRUKCIJE'!G84,0),0)</f>
        <v>0</v>
      </c>
      <c r="I102" s="919">
        <f t="shared" si="8"/>
        <v>0</v>
      </c>
    </row>
    <row r="103" spans="1:9" s="920" customFormat="1" ht="12.75" outlineLevel="2" x14ac:dyDescent="0.2">
      <c r="A103" s="912"/>
      <c r="B103" s="914" t="s">
        <v>52</v>
      </c>
      <c r="C103" s="914"/>
      <c r="D103" s="914"/>
      <c r="E103" s="915"/>
      <c r="F103" s="916"/>
      <c r="G103" s="917" t="b">
        <v>1</v>
      </c>
      <c r="H103" s="918">
        <f>IFERROR(IF(G103=TRUE,'TEHNIČNA OPREMA'!G126,0),0)</f>
        <v>10.882482000000003</v>
      </c>
      <c r="I103" s="919">
        <f t="shared" si="8"/>
        <v>435.29928000000012</v>
      </c>
    </row>
    <row r="104" spans="1:9" s="920" customFormat="1" ht="12.75" outlineLevel="2" x14ac:dyDescent="0.2">
      <c r="A104" s="912"/>
      <c r="B104" s="914" t="s">
        <v>54</v>
      </c>
      <c r="C104" s="914"/>
      <c r="D104" s="914"/>
      <c r="E104" s="915"/>
      <c r="F104" s="916"/>
      <c r="G104" s="917" t="b">
        <v>1</v>
      </c>
      <c r="H104" s="918">
        <f>IFERROR(IF(G104=TRUE,'TEHNIČNA OPREMA'!G170,0),0)</f>
        <v>22.095145999999996</v>
      </c>
      <c r="I104" s="919">
        <f t="shared" si="8"/>
        <v>883.80583999999988</v>
      </c>
    </row>
    <row r="105" spans="1:9" s="920" customFormat="1" ht="12.75" outlineLevel="2" x14ac:dyDescent="0.2">
      <c r="A105" s="912"/>
      <c r="B105" s="914" t="s">
        <v>56</v>
      </c>
      <c r="C105" s="914"/>
      <c r="D105" s="914"/>
      <c r="E105" s="915"/>
      <c r="F105" s="916"/>
      <c r="G105" s="917" t="b">
        <v>1</v>
      </c>
      <c r="H105" s="918">
        <f>IFERROR(IF(G105=TRUE,'TEHNIČNA OPREMA'!G213,0),0)</f>
        <v>3.1661000000000001</v>
      </c>
      <c r="I105" s="919">
        <f t="shared" si="8"/>
        <v>126.64400000000001</v>
      </c>
    </row>
    <row r="106" spans="1:9" s="920" customFormat="1" ht="12.75" outlineLevel="2" x14ac:dyDescent="0.2">
      <c r="A106" s="912"/>
      <c r="B106" s="914" t="s">
        <v>57</v>
      </c>
      <c r="C106" s="914"/>
      <c r="D106" s="914"/>
      <c r="E106" s="915"/>
      <c r="F106" s="916"/>
      <c r="G106" s="917" t="b">
        <v>1</v>
      </c>
      <c r="H106" s="918">
        <f>IFERROR(IF(G106=TRUE,'POŽARNA VARNOST'!G101,0),0)</f>
        <v>3.2</v>
      </c>
      <c r="I106" s="919">
        <f t="shared" si="8"/>
        <v>128</v>
      </c>
    </row>
    <row r="107" spans="1:9" s="920" customFormat="1" ht="12.75" outlineLevel="2" x14ac:dyDescent="0.2">
      <c r="A107" s="912"/>
      <c r="B107" s="946" t="s">
        <v>330</v>
      </c>
      <c r="C107" s="946"/>
      <c r="D107" s="946"/>
      <c r="E107" s="947"/>
      <c r="F107" s="948"/>
      <c r="G107" s="949" t="b">
        <v>1</v>
      </c>
      <c r="H107" s="938">
        <f>IFERROR(IF(G107=TRUE,'GRADBENA FIZIKA'!G190,0),0)</f>
        <v>0</v>
      </c>
      <c r="I107" s="950">
        <f t="shared" si="8"/>
        <v>0</v>
      </c>
    </row>
    <row r="108" spans="1:9" s="920" customFormat="1" ht="12.75" outlineLevel="2" x14ac:dyDescent="0.2">
      <c r="A108" s="912"/>
      <c r="B108" s="921" t="s">
        <v>89</v>
      </c>
      <c r="C108" s="921"/>
      <c r="D108" s="921"/>
      <c r="E108" s="915"/>
      <c r="F108" s="916"/>
      <c r="G108" s="917" t="b">
        <v>1</v>
      </c>
      <c r="H108" s="918">
        <f>IFERROR(IF(G108=TRUE,'GRADBENA FIZIKA'!G233,0),0)</f>
        <v>0</v>
      </c>
      <c r="I108" s="919">
        <f t="shared" si="8"/>
        <v>0</v>
      </c>
    </row>
    <row r="109" spans="1:9" s="920" customFormat="1" ht="12.75" outlineLevel="2" x14ac:dyDescent="0.2">
      <c r="A109" s="930"/>
      <c r="B109" s="951" t="s">
        <v>332</v>
      </c>
      <c r="C109" s="951"/>
      <c r="D109" s="951"/>
      <c r="E109" s="952"/>
      <c r="F109" s="953"/>
      <c r="G109" s="954" t="b">
        <v>1</v>
      </c>
      <c r="H109" s="955">
        <f>IFERROR(IF(G109=TRUE,'GRADBENA FIZIKA'!G276,0),0)</f>
        <v>0</v>
      </c>
      <c r="I109" s="937">
        <f t="shared" si="8"/>
        <v>0</v>
      </c>
    </row>
    <row r="110" spans="1:9" s="372" customFormat="1" x14ac:dyDescent="0.2">
      <c r="A110" s="831">
        <v>5</v>
      </c>
      <c r="B110" s="832" t="s">
        <v>66</v>
      </c>
      <c r="C110" s="832"/>
      <c r="D110" s="832"/>
      <c r="E110" s="833"/>
      <c r="F110" s="834"/>
      <c r="G110" s="835"/>
      <c r="H110" s="871">
        <f>SUM(H111:H112)</f>
        <v>0</v>
      </c>
      <c r="I110" s="836">
        <f>SUM(I111:I112)</f>
        <v>0</v>
      </c>
    </row>
    <row r="111" spans="1:9" s="373" customFormat="1" ht="12.75" outlineLevel="1" x14ac:dyDescent="0.2">
      <c r="A111" s="774" t="s">
        <v>67</v>
      </c>
      <c r="B111" s="778" t="s">
        <v>257</v>
      </c>
      <c r="C111" s="778"/>
      <c r="D111" s="778"/>
      <c r="E111" s="823"/>
      <c r="F111" s="824"/>
      <c r="G111" s="837" t="b">
        <v>0</v>
      </c>
      <c r="H111" s="869">
        <f>IFERROR(IF(G111=TRUE,('STAVBE IN NOTRANJA OPREMA'!G107+'STAVBE IN NOTRANJA OPREMA'!G149+'INŽENIRSKI OBJEKTI'!G88+'PROMETNA INFRASTRUKTURA'!G89+'ODPRTI PROSTOR'!G95+'GRADBENE KONSTRUKCIJE'!G87+'TEHNIČNA OPREMA'!G129+'TEHNIČNA OPREMA'!G173+'TEHNIČNA OPREMA'!G216),0),0)</f>
        <v>0</v>
      </c>
      <c r="I111" s="756">
        <f>+H111*$I$17</f>
        <v>0</v>
      </c>
    </row>
    <row r="112" spans="1:9" s="373" customFormat="1" ht="12.75" outlineLevel="1" x14ac:dyDescent="0.2">
      <c r="A112" s="826" t="s">
        <v>68</v>
      </c>
      <c r="B112" s="838" t="s">
        <v>258</v>
      </c>
      <c r="C112" s="838"/>
      <c r="D112" s="838"/>
      <c r="E112" s="828"/>
      <c r="F112" s="829"/>
      <c r="G112" s="830" t="b">
        <v>0</v>
      </c>
      <c r="H112" s="870">
        <f>IFERROR(IF(G112=TRUE,('STAVBE IN NOTRANJA OPREMA'!G108+'STAVBE IN NOTRANJA OPREMA'!G150+'INŽENIRSKI OBJEKTI'!G89+'PROMETNA INFRASTRUKTURA'!G90+'ODPRTI PROSTOR'!G96+'GRADBENE KONSTRUKCIJE'!G88+'TEHNIČNA OPREMA'!G130+'TEHNIČNA OPREMA'!G174+'TEHNIČNA OPREMA'!G217),0),0)</f>
        <v>0</v>
      </c>
      <c r="I112" s="827">
        <f>+H112*$I$17</f>
        <v>0</v>
      </c>
    </row>
    <row r="113" spans="1:17" s="14" customFormat="1" x14ac:dyDescent="0.2">
      <c r="A113" s="780"/>
      <c r="B113" s="781"/>
      <c r="C113" s="781"/>
      <c r="D113" s="781"/>
      <c r="E113" s="839"/>
      <c r="F113" s="840"/>
      <c r="G113" s="840"/>
      <c r="H113" s="872"/>
      <c r="I113" s="782"/>
    </row>
    <row r="114" spans="1:17" s="14" customFormat="1" x14ac:dyDescent="0.2">
      <c r="A114" s="783"/>
      <c r="B114" s="784" t="s">
        <v>254</v>
      </c>
      <c r="C114" s="784"/>
      <c r="D114" s="784"/>
      <c r="E114" s="841"/>
      <c r="F114" s="842"/>
      <c r="G114" s="843"/>
      <c r="H114" s="873">
        <f>+H21+H25+H81+H84+H110</f>
        <v>6319.8805738766669</v>
      </c>
      <c r="I114" s="785">
        <f>I21+I25+I81+I84+I110</f>
        <v>252795.22295506668</v>
      </c>
    </row>
    <row r="115" spans="1:17" s="14" customFormat="1" x14ac:dyDescent="0.2">
      <c r="A115" s="786"/>
      <c r="B115" s="787" t="s">
        <v>626</v>
      </c>
      <c r="C115" s="844"/>
      <c r="D115" s="844"/>
      <c r="E115" s="845"/>
      <c r="F115" s="846"/>
      <c r="G115" s="846"/>
      <c r="H115" s="846"/>
      <c r="I115" s="788">
        <f>IFERROR(I114/'OSNOVNI PODATKI'!D206,0)</f>
        <v>8.2883679657398915E-2</v>
      </c>
    </row>
    <row r="116" spans="1:17" s="14" customFormat="1" x14ac:dyDescent="0.2">
      <c r="A116" s="32"/>
      <c r="B116" s="170"/>
      <c r="C116" s="171"/>
      <c r="D116" s="171"/>
      <c r="E116" s="172"/>
      <c r="F116" s="33"/>
      <c r="G116" s="33"/>
      <c r="H116" s="33"/>
      <c r="I116" s="175"/>
    </row>
    <row r="117" spans="1:17" s="14" customFormat="1" x14ac:dyDescent="0.2">
      <c r="A117" s="32"/>
      <c r="B117" s="170"/>
      <c r="C117" s="171"/>
      <c r="D117" s="171"/>
      <c r="E117" s="172"/>
      <c r="F117" s="33"/>
      <c r="G117" s="33"/>
      <c r="H117" s="33"/>
      <c r="I117" s="169"/>
    </row>
    <row r="118" spans="1:17" s="14" customFormat="1" ht="15.75" x14ac:dyDescent="0.2">
      <c r="A118" s="368" t="s">
        <v>784</v>
      </c>
      <c r="B118" s="369"/>
      <c r="C118" s="369"/>
      <c r="D118" s="370"/>
      <c r="E118" s="370"/>
      <c r="F118" s="370"/>
      <c r="G118" s="371"/>
      <c r="H118" s="371"/>
      <c r="I118" s="371"/>
    </row>
    <row r="119" spans="1:17" ht="15.75" x14ac:dyDescent="0.25">
      <c r="A119" s="542" t="str">
        <f>'OSNOVNI PODATKI'!B270</f>
        <v>© 2022 ZAPS, vse pravice pridržane</v>
      </c>
      <c r="B119" s="543"/>
      <c r="C119" s="543"/>
      <c r="D119" s="544"/>
      <c r="E119" s="544"/>
      <c r="F119" s="544"/>
      <c r="G119" s="545"/>
      <c r="H119" s="545"/>
      <c r="I119" s="545"/>
    </row>
    <row r="122" spans="1:17" s="20" customFormat="1" ht="15.75" x14ac:dyDescent="0.25"/>
    <row r="123" spans="1:17" s="83" customFormat="1" ht="18.75" x14ac:dyDescent="0.2">
      <c r="A123" s="83" t="s">
        <v>799</v>
      </c>
    </row>
    <row r="124" spans="1:17" s="648" customFormat="1" ht="93" customHeight="1" x14ac:dyDescent="0.2">
      <c r="A124" s="956"/>
      <c r="B124" s="957"/>
      <c r="C124" s="958" t="s">
        <v>600</v>
      </c>
      <c r="D124" s="958" t="str">
        <f>B28</f>
        <v>NAČRT ARHITEKTURE</v>
      </c>
      <c r="E124" s="958" t="str">
        <f>B30</f>
        <v>NAČRT NOTRANJE OPREME</v>
      </c>
      <c r="F124" s="958" t="str">
        <f>B29</f>
        <v>NAČRT ARHITEKTURE - ODPRTI PROSTOR</v>
      </c>
      <c r="G124" s="958" t="str">
        <f>B31</f>
        <v>NAČRT KRAJINSKE ARHITEKTURE</v>
      </c>
      <c r="H124" s="958" t="str">
        <f>B32</f>
        <v>NAČRT GRADBENIH KONSTRUKCIJ</v>
      </c>
      <c r="I124" s="958" t="str">
        <f>B33</f>
        <v>NAČRT ELEKTRIČNIH INŠTALACIJ</v>
      </c>
      <c r="J124" s="958" t="str">
        <f>B34</f>
        <v>NAČRT STROJNIH INŠTALACIJ</v>
      </c>
      <c r="K124" s="958" t="str">
        <f>B35</f>
        <v>NAČRT TEHNOLOGIJE</v>
      </c>
      <c r="L124" s="958" t="str">
        <f>B36</f>
        <v>POŽARNA VARNOST</v>
      </c>
      <c r="M124" s="959" t="str">
        <f>B51</f>
        <v>UČINKOVITA RABA ENERGIJE</v>
      </c>
      <c r="N124" s="960" t="str">
        <f>B52</f>
        <v>ZAŠČITA PRED HRUPOM</v>
      </c>
      <c r="O124" s="960" t="str">
        <f>B39</f>
        <v>PROSTORSKA AKUSTIKA</v>
      </c>
      <c r="P124" s="960" t="s">
        <v>471</v>
      </c>
      <c r="Q124" s="961"/>
    </row>
    <row r="125" spans="1:17" s="373" customFormat="1" ht="18" customHeight="1" x14ac:dyDescent="0.2">
      <c r="A125" s="849" t="s">
        <v>70</v>
      </c>
      <c r="B125" s="850" t="s">
        <v>794</v>
      </c>
      <c r="C125" s="874"/>
      <c r="D125" s="875">
        <f>H28</f>
        <v>254.66018099999997</v>
      </c>
      <c r="E125" s="875">
        <f>H30</f>
        <v>0</v>
      </c>
      <c r="F125" s="875">
        <f>H29</f>
        <v>19.133333333333336</v>
      </c>
      <c r="G125" s="875">
        <f>H31</f>
        <v>0</v>
      </c>
      <c r="H125" s="875">
        <f>H32</f>
        <v>277.25001495000004</v>
      </c>
      <c r="I125" s="875">
        <f>H33</f>
        <v>48.97116900000001</v>
      </c>
      <c r="J125" s="875">
        <f>H34</f>
        <v>99.42815699999997</v>
      </c>
      <c r="K125" s="875">
        <f>H35</f>
        <v>14.247450000000001</v>
      </c>
      <c r="L125" s="875">
        <f>H36</f>
        <v>9.6</v>
      </c>
      <c r="M125" s="875">
        <f>H37</f>
        <v>17.91919</v>
      </c>
      <c r="N125" s="875">
        <f>H38</f>
        <v>23.364000000000001</v>
      </c>
      <c r="O125" s="875">
        <f>H39</f>
        <v>19.22</v>
      </c>
      <c r="P125" s="876">
        <f t="shared" ref="P125:P132" si="9">SUM(C125:O125)</f>
        <v>783.7934952833333</v>
      </c>
      <c r="Q125" s="851">
        <f>P125/$P$131</f>
        <v>0.13893649821870338</v>
      </c>
    </row>
    <row r="126" spans="1:17" s="373" customFormat="1" ht="18" customHeight="1" x14ac:dyDescent="0.2">
      <c r="A126" s="852" t="s">
        <v>71</v>
      </c>
      <c r="B126" s="853" t="s">
        <v>795</v>
      </c>
      <c r="C126" s="874"/>
      <c r="D126" s="875">
        <f>H42</f>
        <v>679.09381599999995</v>
      </c>
      <c r="E126" s="875">
        <f>H44</f>
        <v>0</v>
      </c>
      <c r="F126" s="875">
        <f>H43</f>
        <v>30.613333333333337</v>
      </c>
      <c r="G126" s="875">
        <f>H45</f>
        <v>0</v>
      </c>
      <c r="H126" s="875">
        <f>H46</f>
        <v>554.50002990000007</v>
      </c>
      <c r="I126" s="875">
        <f>H47</f>
        <v>92.50109700000003</v>
      </c>
      <c r="J126" s="875">
        <f>H48</f>
        <v>187.80874099999997</v>
      </c>
      <c r="K126" s="875">
        <f>H49</f>
        <v>26.911850000000005</v>
      </c>
      <c r="L126" s="875">
        <f>H50</f>
        <v>25.6</v>
      </c>
      <c r="M126" s="875">
        <f>H51</f>
        <v>35.838380000000001</v>
      </c>
      <c r="N126" s="875">
        <f>H52</f>
        <v>46.728000000000002</v>
      </c>
      <c r="O126" s="875">
        <f>H53</f>
        <v>38.44</v>
      </c>
      <c r="P126" s="876">
        <f t="shared" si="9"/>
        <v>1718.0352472333334</v>
      </c>
      <c r="Q126" s="851">
        <f t="shared" ref="Q126:Q131" si="10">P126/$P$131</f>
        <v>0.30454169689251737</v>
      </c>
    </row>
    <row r="127" spans="1:17" s="373" customFormat="1" ht="18" customHeight="1" x14ac:dyDescent="0.2">
      <c r="A127" s="852" t="s">
        <v>72</v>
      </c>
      <c r="B127" s="853" t="s">
        <v>1074</v>
      </c>
      <c r="C127" s="875">
        <f>H54</f>
        <v>284.89478048333342</v>
      </c>
      <c r="D127" s="874"/>
      <c r="E127" s="874"/>
      <c r="F127" s="874"/>
      <c r="G127" s="874"/>
      <c r="H127" s="874"/>
      <c r="I127" s="874"/>
      <c r="J127" s="874"/>
      <c r="K127" s="874"/>
      <c r="L127" s="874"/>
      <c r="M127" s="874"/>
      <c r="N127" s="874"/>
      <c r="O127" s="874"/>
      <c r="P127" s="876">
        <f t="shared" si="9"/>
        <v>284.89478048333342</v>
      </c>
      <c r="Q127" s="851">
        <f t="shared" si="10"/>
        <v>5.0500907955139319E-2</v>
      </c>
    </row>
    <row r="128" spans="1:17" s="373" customFormat="1" ht="18" customHeight="1" x14ac:dyDescent="0.2">
      <c r="A128" s="852" t="s">
        <v>125</v>
      </c>
      <c r="B128" s="853" t="s">
        <v>796</v>
      </c>
      <c r="C128" s="874"/>
      <c r="D128" s="875">
        <f>H59</f>
        <v>1273.3009049999998</v>
      </c>
      <c r="E128" s="875">
        <f>H61</f>
        <v>0</v>
      </c>
      <c r="F128" s="875">
        <f>H60</f>
        <v>47.833333333333336</v>
      </c>
      <c r="G128" s="875">
        <f>H62</f>
        <v>0</v>
      </c>
      <c r="H128" s="875">
        <f>H63</f>
        <v>646.91670155000008</v>
      </c>
      <c r="I128" s="875">
        <f>H64</f>
        <v>76.177374000000015</v>
      </c>
      <c r="J128" s="875">
        <f>H65</f>
        <v>154.66602199999994</v>
      </c>
      <c r="K128" s="875">
        <f>H66</f>
        <v>28.494900000000001</v>
      </c>
      <c r="L128" s="875">
        <f>H67</f>
        <v>22.4</v>
      </c>
      <c r="M128" s="875">
        <f>H68</f>
        <v>24.190906500000001</v>
      </c>
      <c r="N128" s="875">
        <f>H69</f>
        <v>31.541399999999999</v>
      </c>
      <c r="O128" s="875">
        <f>H70</f>
        <v>25.946999999999999</v>
      </c>
      <c r="P128" s="876">
        <f t="shared" si="9"/>
        <v>2331.4685423833339</v>
      </c>
      <c r="Q128" s="851">
        <f t="shared" si="10"/>
        <v>0.41327987146500755</v>
      </c>
    </row>
    <row r="129" spans="1:17" s="373" customFormat="1" ht="18" customHeight="1" x14ac:dyDescent="0.2">
      <c r="A129" s="854" t="s">
        <v>126</v>
      </c>
      <c r="B129" s="855" t="s">
        <v>797</v>
      </c>
      <c r="C129" s="874"/>
      <c r="D129" s="875">
        <f>H73</f>
        <v>218.26713649999999</v>
      </c>
      <c r="E129" s="875">
        <f>H75</f>
        <v>0</v>
      </c>
      <c r="F129" s="875">
        <f>H74</f>
        <v>13.393333333333334</v>
      </c>
      <c r="G129" s="875">
        <f>H76</f>
        <v>0</v>
      </c>
      <c r="H129" s="875">
        <f>H77</f>
        <v>36.966668660000003</v>
      </c>
      <c r="I129" s="875">
        <f>H78</f>
        <v>38.088687000000014</v>
      </c>
      <c r="J129" s="875">
        <f>H79</f>
        <v>77.333010999999985</v>
      </c>
      <c r="K129" s="875">
        <f>H80</f>
        <v>11.081350000000002</v>
      </c>
      <c r="L129" s="875"/>
      <c r="M129" s="874"/>
      <c r="N129" s="874"/>
      <c r="O129" s="874"/>
      <c r="P129" s="876">
        <f t="shared" si="9"/>
        <v>395.13018649333333</v>
      </c>
      <c r="Q129" s="851">
        <f t="shared" si="10"/>
        <v>7.0041413691551327E-2</v>
      </c>
    </row>
    <row r="130" spans="1:17" s="373" customFormat="1" ht="18" customHeight="1" x14ac:dyDescent="0.2">
      <c r="A130" s="856" t="s">
        <v>65</v>
      </c>
      <c r="B130" s="857" t="s">
        <v>798</v>
      </c>
      <c r="C130" s="875"/>
      <c r="D130" s="875">
        <f>H98</f>
        <v>84.886726999999993</v>
      </c>
      <c r="E130" s="875">
        <f>H100</f>
        <v>0</v>
      </c>
      <c r="F130" s="875">
        <f>H99</f>
        <v>3.8266666666666671</v>
      </c>
      <c r="G130" s="875">
        <f>+H101</f>
        <v>0</v>
      </c>
      <c r="H130" s="875">
        <f>H102</f>
        <v>0</v>
      </c>
      <c r="I130" s="875">
        <f>H103</f>
        <v>10.882482000000003</v>
      </c>
      <c r="J130" s="875">
        <f>H104</f>
        <v>22.095145999999996</v>
      </c>
      <c r="K130" s="875">
        <f>H105</f>
        <v>3.1661000000000001</v>
      </c>
      <c r="L130" s="875">
        <f>H106</f>
        <v>3.2</v>
      </c>
      <c r="M130" s="875">
        <f>H107</f>
        <v>0</v>
      </c>
      <c r="N130" s="875">
        <f>H108</f>
        <v>0</v>
      </c>
      <c r="O130" s="875">
        <f>H109</f>
        <v>0</v>
      </c>
      <c r="P130" s="876">
        <f t="shared" si="9"/>
        <v>128.05712166666666</v>
      </c>
      <c r="Q130" s="851">
        <f t="shared" si="10"/>
        <v>2.2699611777081102E-2</v>
      </c>
    </row>
    <row r="131" spans="1:17" s="373" customFormat="1" ht="18" customHeight="1" x14ac:dyDescent="0.2">
      <c r="A131" s="858"/>
      <c r="B131" s="1033" t="s">
        <v>266</v>
      </c>
      <c r="C131" s="1034">
        <f>SUM(C125:C130)</f>
        <v>284.89478048333342</v>
      </c>
      <c r="D131" s="1034">
        <f t="shared" ref="D131:P131" si="11">SUM(D125:D130)</f>
        <v>2510.2087655</v>
      </c>
      <c r="E131" s="1034">
        <f t="shared" si="11"/>
        <v>0</v>
      </c>
      <c r="F131" s="1034">
        <f t="shared" si="11"/>
        <v>114.80000000000001</v>
      </c>
      <c r="G131" s="1034">
        <f t="shared" si="11"/>
        <v>0</v>
      </c>
      <c r="H131" s="1034">
        <f t="shared" si="11"/>
        <v>1515.6334150600003</v>
      </c>
      <c r="I131" s="1034">
        <f t="shared" si="11"/>
        <v>266.62080900000007</v>
      </c>
      <c r="J131" s="1034">
        <f t="shared" si="11"/>
        <v>541.33107699999982</v>
      </c>
      <c r="K131" s="1034">
        <f t="shared" si="11"/>
        <v>83.901650000000004</v>
      </c>
      <c r="L131" s="1034">
        <f t="shared" si="11"/>
        <v>60.800000000000004</v>
      </c>
      <c r="M131" s="1034">
        <f t="shared" si="11"/>
        <v>77.948476499999998</v>
      </c>
      <c r="N131" s="1034">
        <f t="shared" si="11"/>
        <v>101.63339999999999</v>
      </c>
      <c r="O131" s="1034">
        <f t="shared" si="11"/>
        <v>83.606999999999999</v>
      </c>
      <c r="P131" s="1034">
        <f t="shared" si="11"/>
        <v>5641.3793735433337</v>
      </c>
      <c r="Q131" s="851">
        <f t="shared" si="10"/>
        <v>1</v>
      </c>
    </row>
    <row r="132" spans="1:17" s="373" customFormat="1" ht="18" customHeight="1" x14ac:dyDescent="0.2">
      <c r="A132" s="852" t="s">
        <v>62</v>
      </c>
      <c r="B132" s="853" t="s">
        <v>779</v>
      </c>
      <c r="C132" s="874"/>
      <c r="D132" s="875">
        <f>+H87</f>
        <v>254.66018099999997</v>
      </c>
      <c r="E132" s="875">
        <f>+H89</f>
        <v>0</v>
      </c>
      <c r="F132" s="875">
        <f>+H88</f>
        <v>11.48</v>
      </c>
      <c r="G132" s="875">
        <f>+H76</f>
        <v>0</v>
      </c>
      <c r="H132" s="875"/>
      <c r="I132" s="875">
        <f>+H91</f>
        <v>48.971168999999996</v>
      </c>
      <c r="J132" s="875">
        <f>+H92</f>
        <v>99.428156999999942</v>
      </c>
      <c r="K132" s="875">
        <f>+H93</f>
        <v>14.247449999999995</v>
      </c>
      <c r="L132" s="874"/>
      <c r="M132" s="874"/>
      <c r="N132" s="874"/>
      <c r="O132" s="874"/>
      <c r="P132" s="876">
        <f t="shared" si="9"/>
        <v>428.78695699999992</v>
      </c>
      <c r="Q132" s="851"/>
    </row>
    <row r="133" spans="1:17" s="373" customFormat="1" ht="18" customHeight="1" x14ac:dyDescent="0.2">
      <c r="A133" s="860"/>
      <c r="B133" s="861" t="s">
        <v>267</v>
      </c>
      <c r="C133" s="1035">
        <f>+C131+C132</f>
        <v>284.89478048333342</v>
      </c>
      <c r="D133" s="1035">
        <f t="shared" ref="D133:P133" si="12">+D131+D132</f>
        <v>2764.8689464999998</v>
      </c>
      <c r="E133" s="1035">
        <f t="shared" si="12"/>
        <v>0</v>
      </c>
      <c r="F133" s="1035">
        <f t="shared" si="12"/>
        <v>126.28000000000002</v>
      </c>
      <c r="G133" s="1035">
        <f t="shared" si="12"/>
        <v>0</v>
      </c>
      <c r="H133" s="1035">
        <f t="shared" si="12"/>
        <v>1515.6334150600003</v>
      </c>
      <c r="I133" s="1035">
        <f t="shared" si="12"/>
        <v>315.59197800000004</v>
      </c>
      <c r="J133" s="1035">
        <f t="shared" si="12"/>
        <v>640.75923399999976</v>
      </c>
      <c r="K133" s="1035">
        <f t="shared" si="12"/>
        <v>98.149100000000004</v>
      </c>
      <c r="L133" s="1035">
        <f t="shared" si="12"/>
        <v>60.800000000000004</v>
      </c>
      <c r="M133" s="1035">
        <f t="shared" si="12"/>
        <v>77.948476499999998</v>
      </c>
      <c r="N133" s="1035">
        <f t="shared" si="12"/>
        <v>101.63339999999999</v>
      </c>
      <c r="O133" s="1035">
        <f t="shared" si="12"/>
        <v>83.606999999999999</v>
      </c>
      <c r="P133" s="1035">
        <f t="shared" si="12"/>
        <v>6070.166330543334</v>
      </c>
      <c r="Q133" s="859"/>
    </row>
    <row r="134" spans="1:17" s="20" customFormat="1" ht="15.75" x14ac:dyDescent="0.25">
      <c r="A134" s="748"/>
      <c r="B134" s="749"/>
      <c r="C134" s="864">
        <f t="shared" ref="C134:P134" si="13">C133/$P$133</f>
        <v>4.6933603622988831E-2</v>
      </c>
      <c r="D134" s="864">
        <f t="shared" si="13"/>
        <v>0.4554848740450444</v>
      </c>
      <c r="E134" s="864">
        <f t="shared" si="13"/>
        <v>0</v>
      </c>
      <c r="F134" s="864">
        <f t="shared" si="13"/>
        <v>2.0803383815793535E-2</v>
      </c>
      <c r="G134" s="864">
        <f t="shared" si="13"/>
        <v>0</v>
      </c>
      <c r="H134" s="864">
        <f t="shared" si="13"/>
        <v>0.24968564822248249</v>
      </c>
      <c r="I134" s="864">
        <f t="shared" si="13"/>
        <v>5.1990663980990413E-2</v>
      </c>
      <c r="J134" s="864">
        <f t="shared" si="13"/>
        <v>0.10555876051960608</v>
      </c>
      <c r="K134" s="864">
        <f t="shared" si="13"/>
        <v>1.6169095648358417E-2</v>
      </c>
      <c r="L134" s="864">
        <f t="shared" si="13"/>
        <v>1.0016200000001954E-2</v>
      </c>
      <c r="M134" s="864">
        <f t="shared" si="13"/>
        <v>1.2841242274990991E-2</v>
      </c>
      <c r="N134" s="864">
        <f t="shared" si="13"/>
        <v>1.6743099688819055E-2</v>
      </c>
      <c r="O134" s="864">
        <f t="shared" si="13"/>
        <v>1.3773428180923739E-2</v>
      </c>
      <c r="P134" s="864">
        <f t="shared" si="13"/>
        <v>1</v>
      </c>
      <c r="Q134" s="863"/>
    </row>
    <row r="135" spans="1:17" s="14" customFormat="1" x14ac:dyDescent="0.2">
      <c r="A135" s="32"/>
      <c r="B135" s="170"/>
      <c r="C135" s="171"/>
      <c r="D135" s="171"/>
      <c r="E135" s="172"/>
      <c r="F135" s="33"/>
      <c r="G135" s="33"/>
      <c r="H135" s="33"/>
      <c r="I135" s="169"/>
    </row>
    <row r="136" spans="1:17" ht="18.75" x14ac:dyDescent="0.25">
      <c r="A136" s="83" t="s">
        <v>800</v>
      </c>
    </row>
    <row r="137" spans="1:17" ht="86.25" x14ac:dyDescent="0.25">
      <c r="A137" s="956"/>
      <c r="B137" s="957"/>
      <c r="C137" s="958" t="str">
        <f t="shared" ref="C137:P137" si="14">C124</f>
        <v>DOKUMENTACIJA ZA UPRAVNE POSTOPKE</v>
      </c>
      <c r="D137" s="958" t="str">
        <f t="shared" si="14"/>
        <v>NAČRT ARHITEKTURE</v>
      </c>
      <c r="E137" s="958" t="str">
        <f t="shared" si="14"/>
        <v>NAČRT NOTRANJE OPREME</v>
      </c>
      <c r="F137" s="958" t="str">
        <f t="shared" si="14"/>
        <v>NAČRT ARHITEKTURE - ODPRTI PROSTOR</v>
      </c>
      <c r="G137" s="958" t="str">
        <f t="shared" si="14"/>
        <v>NAČRT KRAJINSKE ARHITEKTURE</v>
      </c>
      <c r="H137" s="958" t="str">
        <f t="shared" si="14"/>
        <v>NAČRT GRADBENIH KONSTRUKCIJ</v>
      </c>
      <c r="I137" s="958" t="str">
        <f t="shared" si="14"/>
        <v>NAČRT ELEKTRIČNIH INŠTALACIJ</v>
      </c>
      <c r="J137" s="958" t="str">
        <f t="shared" si="14"/>
        <v>NAČRT STROJNIH INŠTALACIJ</v>
      </c>
      <c r="K137" s="958" t="str">
        <f t="shared" si="14"/>
        <v>NAČRT TEHNOLOGIJE</v>
      </c>
      <c r="L137" s="958" t="str">
        <f t="shared" si="14"/>
        <v>POŽARNA VARNOST</v>
      </c>
      <c r="M137" s="958" t="str">
        <f t="shared" si="14"/>
        <v>UČINKOVITA RABA ENERGIJE</v>
      </c>
      <c r="N137" s="960" t="str">
        <f t="shared" si="14"/>
        <v>ZAŠČITA PRED HRUPOM</v>
      </c>
      <c r="O137" s="960" t="str">
        <f t="shared" si="14"/>
        <v>PROSTORSKA AKUSTIKA</v>
      </c>
      <c r="P137" s="960" t="str">
        <f t="shared" si="14"/>
        <v>SKUPAJ NU ZA FAZO</v>
      </c>
      <c r="Q137" s="961"/>
    </row>
    <row r="138" spans="1:17" x14ac:dyDescent="0.25">
      <c r="A138" s="849" t="s">
        <v>70</v>
      </c>
      <c r="B138" s="850" t="s">
        <v>794</v>
      </c>
      <c r="C138" s="1036"/>
      <c r="D138" s="1037">
        <f>+D125*$I$17</f>
        <v>10186.407239999999</v>
      </c>
      <c r="E138" s="1037">
        <f t="shared" ref="E138:H138" si="15">+E125*$I$17</f>
        <v>0</v>
      </c>
      <c r="F138" s="1037">
        <f t="shared" si="15"/>
        <v>765.33333333333348</v>
      </c>
      <c r="G138" s="1037">
        <f t="shared" si="15"/>
        <v>0</v>
      </c>
      <c r="H138" s="1037">
        <f t="shared" si="15"/>
        <v>11090.000598000002</v>
      </c>
      <c r="I138" s="1037">
        <f t="shared" ref="I138:K138" si="16">+I125*$I$17</f>
        <v>1958.8467600000004</v>
      </c>
      <c r="J138" s="1037">
        <f t="shared" si="16"/>
        <v>3977.1262799999986</v>
      </c>
      <c r="K138" s="1037">
        <f t="shared" si="16"/>
        <v>569.89800000000002</v>
      </c>
      <c r="L138" s="1037">
        <f t="shared" ref="L138:O138" si="17">+L125*$I$17</f>
        <v>384</v>
      </c>
      <c r="M138" s="1037">
        <f t="shared" si="17"/>
        <v>716.76760000000002</v>
      </c>
      <c r="N138" s="1037">
        <f t="shared" si="17"/>
        <v>934.56000000000006</v>
      </c>
      <c r="O138" s="1037">
        <f t="shared" si="17"/>
        <v>768.8</v>
      </c>
      <c r="P138" s="756">
        <f t="shared" ref="P138:P143" si="18">SUM(C138:O138)</f>
        <v>31351.739811333333</v>
      </c>
      <c r="Q138" s="851">
        <f>P138/$P$144</f>
        <v>0.13893649821870338</v>
      </c>
    </row>
    <row r="139" spans="1:17" x14ac:dyDescent="0.25">
      <c r="A139" s="852" t="s">
        <v>71</v>
      </c>
      <c r="B139" s="853" t="s">
        <v>795</v>
      </c>
      <c r="C139" s="1036"/>
      <c r="D139" s="1037">
        <f>+D126*$I$17</f>
        <v>27163.752639999999</v>
      </c>
      <c r="E139" s="1037">
        <f t="shared" ref="E139:H139" si="19">+E126*$I$17</f>
        <v>0</v>
      </c>
      <c r="F139" s="1037">
        <f t="shared" si="19"/>
        <v>1224.5333333333335</v>
      </c>
      <c r="G139" s="1037">
        <f t="shared" si="19"/>
        <v>0</v>
      </c>
      <c r="H139" s="1037">
        <f t="shared" si="19"/>
        <v>22180.001196000005</v>
      </c>
      <c r="I139" s="1037">
        <f t="shared" ref="I139:K139" si="20">+I126*$I$17</f>
        <v>3700.0438800000011</v>
      </c>
      <c r="J139" s="1037">
        <f t="shared" si="20"/>
        <v>7512.3496399999985</v>
      </c>
      <c r="K139" s="1037">
        <f t="shared" si="20"/>
        <v>1076.4740000000002</v>
      </c>
      <c r="L139" s="1037">
        <f t="shared" ref="L139:O139" si="21">+L126*$I$17</f>
        <v>1024</v>
      </c>
      <c r="M139" s="1037">
        <f t="shared" si="21"/>
        <v>1433.5352</v>
      </c>
      <c r="N139" s="1037">
        <f t="shared" si="21"/>
        <v>1869.1200000000001</v>
      </c>
      <c r="O139" s="1037">
        <f t="shared" si="21"/>
        <v>1537.6</v>
      </c>
      <c r="P139" s="756">
        <f t="shared" si="18"/>
        <v>68721.409889333343</v>
      </c>
      <c r="Q139" s="851">
        <f t="shared" ref="Q139:Q144" si="22">P139/$P$144</f>
        <v>0.30454169689251742</v>
      </c>
    </row>
    <row r="140" spans="1:17" x14ac:dyDescent="0.25">
      <c r="A140" s="852" t="s">
        <v>72</v>
      </c>
      <c r="B140" s="853" t="s">
        <v>1074</v>
      </c>
      <c r="C140" s="1037">
        <f>+C127*I17</f>
        <v>11395.791219333336</v>
      </c>
      <c r="D140" s="1036"/>
      <c r="E140" s="1036"/>
      <c r="F140" s="1036"/>
      <c r="G140" s="1036"/>
      <c r="H140" s="1036"/>
      <c r="I140" s="1036"/>
      <c r="J140" s="1036"/>
      <c r="K140" s="1036"/>
      <c r="L140" s="1036"/>
      <c r="M140" s="1036"/>
      <c r="N140" s="1036"/>
      <c r="O140" s="1036"/>
      <c r="P140" s="756">
        <f t="shared" si="18"/>
        <v>11395.791219333336</v>
      </c>
      <c r="Q140" s="851">
        <f t="shared" si="22"/>
        <v>5.0500907955139319E-2</v>
      </c>
    </row>
    <row r="141" spans="1:17" x14ac:dyDescent="0.25">
      <c r="A141" s="852" t="s">
        <v>125</v>
      </c>
      <c r="B141" s="853" t="s">
        <v>796</v>
      </c>
      <c r="C141" s="1036"/>
      <c r="D141" s="1037">
        <f t="shared" ref="D141:D143" si="23">+D128*$I$17</f>
        <v>50932.036199999995</v>
      </c>
      <c r="E141" s="1037">
        <f t="shared" ref="E141:H141" si="24">+E128*$I$17</f>
        <v>0</v>
      </c>
      <c r="F141" s="1037">
        <f t="shared" si="24"/>
        <v>1913.3333333333335</v>
      </c>
      <c r="G141" s="1037">
        <f t="shared" si="24"/>
        <v>0</v>
      </c>
      <c r="H141" s="1037">
        <f t="shared" si="24"/>
        <v>25876.668062000004</v>
      </c>
      <c r="I141" s="1037">
        <f t="shared" ref="I141:K141" si="25">+I128*$I$17</f>
        <v>3047.0949600000004</v>
      </c>
      <c r="J141" s="1037">
        <f t="shared" si="25"/>
        <v>6186.6408799999972</v>
      </c>
      <c r="K141" s="1037">
        <f t="shared" si="25"/>
        <v>1139.796</v>
      </c>
      <c r="L141" s="1037">
        <f t="shared" ref="L141:O141" si="26">+L128*$I$17</f>
        <v>896</v>
      </c>
      <c r="M141" s="1037">
        <f t="shared" si="26"/>
        <v>967.63625999999999</v>
      </c>
      <c r="N141" s="1037">
        <f t="shared" si="26"/>
        <v>1261.6559999999999</v>
      </c>
      <c r="O141" s="1037">
        <f t="shared" si="26"/>
        <v>1037.8799999999999</v>
      </c>
      <c r="P141" s="756">
        <f t="shared" si="18"/>
        <v>93258.74169533333</v>
      </c>
      <c r="Q141" s="851">
        <f t="shared" si="22"/>
        <v>0.4132798714650075</v>
      </c>
    </row>
    <row r="142" spans="1:17" x14ac:dyDescent="0.25">
      <c r="A142" s="854" t="s">
        <v>126</v>
      </c>
      <c r="B142" s="855" t="s">
        <v>797</v>
      </c>
      <c r="C142" s="1036"/>
      <c r="D142" s="1037">
        <f t="shared" si="23"/>
        <v>8730.6854600000006</v>
      </c>
      <c r="E142" s="1037">
        <f t="shared" ref="E142:H142" si="27">+E129*$I$17</f>
        <v>0</v>
      </c>
      <c r="F142" s="1037">
        <f t="shared" si="27"/>
        <v>535.73333333333335</v>
      </c>
      <c r="G142" s="1037">
        <f t="shared" si="27"/>
        <v>0</v>
      </c>
      <c r="H142" s="1037">
        <f t="shared" si="27"/>
        <v>1478.6667464000002</v>
      </c>
      <c r="I142" s="1037">
        <f t="shared" ref="I142:K142" si="28">+I129*$I$17</f>
        <v>1523.5474800000006</v>
      </c>
      <c r="J142" s="1037">
        <f t="shared" si="28"/>
        <v>3093.3204399999995</v>
      </c>
      <c r="K142" s="1037">
        <f t="shared" si="28"/>
        <v>443.25400000000008</v>
      </c>
      <c r="L142" s="1037">
        <f t="shared" ref="L142" si="29">+L129*$I$17</f>
        <v>0</v>
      </c>
      <c r="M142" s="1036"/>
      <c r="N142" s="1036"/>
      <c r="O142" s="1036"/>
      <c r="P142" s="756">
        <f t="shared" si="18"/>
        <v>15805.207459733336</v>
      </c>
      <c r="Q142" s="851">
        <f t="shared" si="22"/>
        <v>7.0041413691551355E-2</v>
      </c>
    </row>
    <row r="143" spans="1:17" x14ac:dyDescent="0.25">
      <c r="A143" s="856" t="s">
        <v>65</v>
      </c>
      <c r="B143" s="857" t="s">
        <v>798</v>
      </c>
      <c r="C143" s="1037"/>
      <c r="D143" s="1037">
        <f t="shared" si="23"/>
        <v>3395.4690799999998</v>
      </c>
      <c r="E143" s="1037">
        <f t="shared" ref="E143:H143" si="30">+E130*$I$17</f>
        <v>0</v>
      </c>
      <c r="F143" s="1037">
        <f t="shared" si="30"/>
        <v>153.06666666666669</v>
      </c>
      <c r="G143" s="1037">
        <f t="shared" si="30"/>
        <v>0</v>
      </c>
      <c r="H143" s="1037">
        <f t="shared" si="30"/>
        <v>0</v>
      </c>
      <c r="I143" s="1037">
        <f t="shared" ref="I143:O143" si="31">+I130*$I$17</f>
        <v>435.29928000000012</v>
      </c>
      <c r="J143" s="1037">
        <f t="shared" si="31"/>
        <v>883.80583999999988</v>
      </c>
      <c r="K143" s="1037">
        <f t="shared" si="31"/>
        <v>126.64400000000001</v>
      </c>
      <c r="L143" s="1037">
        <f t="shared" si="31"/>
        <v>128</v>
      </c>
      <c r="M143" s="1037">
        <f t="shared" si="31"/>
        <v>0</v>
      </c>
      <c r="N143" s="1037">
        <f t="shared" si="31"/>
        <v>0</v>
      </c>
      <c r="O143" s="1037">
        <f t="shared" si="31"/>
        <v>0</v>
      </c>
      <c r="P143" s="756">
        <f t="shared" si="18"/>
        <v>5122.2848666666669</v>
      </c>
      <c r="Q143" s="851">
        <f t="shared" si="22"/>
        <v>2.2699611777081106E-2</v>
      </c>
    </row>
    <row r="144" spans="1:17" x14ac:dyDescent="0.25">
      <c r="A144" s="858"/>
      <c r="B144" s="1033" t="s">
        <v>266</v>
      </c>
      <c r="C144" s="1038">
        <f>SUM(C138:C143)</f>
        <v>11395.791219333336</v>
      </c>
      <c r="D144" s="1038">
        <f>SUM(D138:D143)</f>
        <v>100408.35062</v>
      </c>
      <c r="E144" s="1038">
        <f t="shared" ref="E144:H144" si="32">SUM(E138:E143)</f>
        <v>0</v>
      </c>
      <c r="F144" s="1038">
        <f t="shared" si="32"/>
        <v>4592.0000000000009</v>
      </c>
      <c r="G144" s="1038">
        <f t="shared" si="32"/>
        <v>0</v>
      </c>
      <c r="H144" s="1038">
        <f t="shared" si="32"/>
        <v>60625.336602400013</v>
      </c>
      <c r="I144" s="1038">
        <f t="shared" ref="I144" si="33">SUM(I138:I143)</f>
        <v>10664.832360000002</v>
      </c>
      <c r="J144" s="1038">
        <f t="shared" ref="J144" si="34">SUM(J138:J143)</f>
        <v>21653.243079999997</v>
      </c>
      <c r="K144" s="1038">
        <f t="shared" ref="K144:L144" si="35">SUM(K138:K143)</f>
        <v>3356.0660000000007</v>
      </c>
      <c r="L144" s="1038">
        <f t="shared" si="35"/>
        <v>2432</v>
      </c>
      <c r="M144" s="1038">
        <f t="shared" ref="M144:P144" si="36">SUM(M138:M143)</f>
        <v>3117.9390599999997</v>
      </c>
      <c r="N144" s="1038">
        <f t="shared" si="36"/>
        <v>4065.3360000000002</v>
      </c>
      <c r="O144" s="1038">
        <f t="shared" si="36"/>
        <v>3344.2799999999997</v>
      </c>
      <c r="P144" s="1039">
        <f t="shared" si="36"/>
        <v>225655.17494173333</v>
      </c>
      <c r="Q144" s="851">
        <f t="shared" si="22"/>
        <v>1</v>
      </c>
    </row>
    <row r="145" spans="1:17" x14ac:dyDescent="0.25">
      <c r="A145" s="860"/>
      <c r="B145" s="1040"/>
      <c r="C145" s="864">
        <f>C144/$P$144</f>
        <v>5.0500907955139319E-2</v>
      </c>
      <c r="D145" s="864">
        <f t="shared" ref="D145:P145" si="37">D144/$P$144</f>
        <v>0.44496365149138078</v>
      </c>
      <c r="E145" s="864">
        <f t="shared" si="37"/>
        <v>0</v>
      </c>
      <c r="F145" s="864">
        <f t="shared" si="37"/>
        <v>2.0349633023863539E-2</v>
      </c>
      <c r="G145" s="864">
        <f t="shared" si="37"/>
        <v>0</v>
      </c>
      <c r="H145" s="864">
        <f t="shared" si="37"/>
        <v>0.26866362190919907</v>
      </c>
      <c r="I145" s="864">
        <f t="shared" si="37"/>
        <v>4.7261634317731824E-2</v>
      </c>
      <c r="J145" s="864">
        <f t="shared" si="37"/>
        <v>9.5957219175634254E-2</v>
      </c>
      <c r="K145" s="864">
        <f t="shared" si="37"/>
        <v>1.4872541703803487E-2</v>
      </c>
      <c r="L145" s="864">
        <f t="shared" si="37"/>
        <v>1.0777505991732604E-2</v>
      </c>
      <c r="M145" s="864">
        <f t="shared" si="37"/>
        <v>1.381727257442727E-2</v>
      </c>
      <c r="N145" s="864">
        <f t="shared" si="37"/>
        <v>1.8015700287173628E-2</v>
      </c>
      <c r="O145" s="864">
        <f t="shared" si="37"/>
        <v>1.4820311569914273E-2</v>
      </c>
      <c r="P145" s="864">
        <f t="shared" si="37"/>
        <v>1</v>
      </c>
      <c r="Q145" s="851"/>
    </row>
    <row r="146" spans="1:17" x14ac:dyDescent="0.25">
      <c r="A146" s="852" t="s">
        <v>62</v>
      </c>
      <c r="B146" s="853" t="s">
        <v>779</v>
      </c>
      <c r="C146" s="1036"/>
      <c r="D146" s="1037">
        <f>+D132*$I$17</f>
        <v>10186.407239999999</v>
      </c>
      <c r="E146" s="1037">
        <f t="shared" ref="E146:H146" si="38">+E132*$I$17</f>
        <v>0</v>
      </c>
      <c r="F146" s="1037">
        <f t="shared" si="38"/>
        <v>459.20000000000005</v>
      </c>
      <c r="G146" s="1037">
        <f t="shared" si="38"/>
        <v>0</v>
      </c>
      <c r="H146" s="1037">
        <f t="shared" si="38"/>
        <v>0</v>
      </c>
      <c r="I146" s="1037">
        <f t="shared" ref="I146:K146" si="39">+I132*$I$17</f>
        <v>1958.8467599999999</v>
      </c>
      <c r="J146" s="1037">
        <f t="shared" si="39"/>
        <v>3977.1262799999977</v>
      </c>
      <c r="K146" s="1037">
        <f t="shared" si="39"/>
        <v>569.8979999999998</v>
      </c>
      <c r="L146" s="1036"/>
      <c r="M146" s="1036"/>
      <c r="N146" s="1036"/>
      <c r="O146" s="1036"/>
      <c r="P146" s="756">
        <f t="shared" ref="P146" si="40">SUM(C146:O146)</f>
        <v>17151.478279999999</v>
      </c>
      <c r="Q146" s="851"/>
    </row>
    <row r="147" spans="1:17" x14ac:dyDescent="0.25">
      <c r="A147" s="860"/>
      <c r="B147" s="861" t="s">
        <v>267</v>
      </c>
      <c r="C147" s="862">
        <f>+C144+C146</f>
        <v>11395.791219333336</v>
      </c>
      <c r="D147" s="862">
        <f t="shared" ref="D147:O147" si="41">+D144+D146</f>
        <v>110594.75786</v>
      </c>
      <c r="E147" s="862">
        <f t="shared" si="41"/>
        <v>0</v>
      </c>
      <c r="F147" s="862">
        <f t="shared" si="41"/>
        <v>5051.2000000000007</v>
      </c>
      <c r="G147" s="862">
        <f t="shared" si="41"/>
        <v>0</v>
      </c>
      <c r="H147" s="862">
        <f t="shared" si="41"/>
        <v>60625.336602400013</v>
      </c>
      <c r="I147" s="862">
        <f t="shared" si="41"/>
        <v>12623.679120000003</v>
      </c>
      <c r="J147" s="862">
        <f t="shared" si="41"/>
        <v>25630.369359999993</v>
      </c>
      <c r="K147" s="862">
        <f t="shared" si="41"/>
        <v>3925.9640000000004</v>
      </c>
      <c r="L147" s="862">
        <f t="shared" si="41"/>
        <v>2432</v>
      </c>
      <c r="M147" s="862">
        <f t="shared" si="41"/>
        <v>3117.9390599999997</v>
      </c>
      <c r="N147" s="862">
        <f t="shared" si="41"/>
        <v>4065.3360000000002</v>
      </c>
      <c r="O147" s="862">
        <f t="shared" si="41"/>
        <v>3344.2799999999997</v>
      </c>
      <c r="P147" s="862">
        <f t="shared" ref="P147" si="42">+P144+P146</f>
        <v>242806.65322173334</v>
      </c>
      <c r="Q147" s="859"/>
    </row>
    <row r="148" spans="1:17" x14ac:dyDescent="0.25">
      <c r="A148" s="748"/>
      <c r="B148" s="749"/>
      <c r="C148" s="864">
        <f>C147/$P$147</f>
        <v>4.6933603622988825E-2</v>
      </c>
      <c r="D148" s="864">
        <f t="shared" ref="D148:P148" si="43">D147/$P$147</f>
        <v>0.45548487404504445</v>
      </c>
      <c r="E148" s="864">
        <f t="shared" si="43"/>
        <v>0</v>
      </c>
      <c r="F148" s="864">
        <f t="shared" si="43"/>
        <v>2.0803383815793535E-2</v>
      </c>
      <c r="G148" s="864">
        <f t="shared" si="43"/>
        <v>0</v>
      </c>
      <c r="H148" s="864">
        <f t="shared" si="43"/>
        <v>0.24968564822248251</v>
      </c>
      <c r="I148" s="864">
        <f t="shared" si="43"/>
        <v>5.1990663980990413E-2</v>
      </c>
      <c r="J148" s="864">
        <f t="shared" si="43"/>
        <v>0.1055587605196061</v>
      </c>
      <c r="K148" s="864">
        <f t="shared" si="43"/>
        <v>1.616909564835842E-2</v>
      </c>
      <c r="L148" s="864">
        <f t="shared" si="43"/>
        <v>1.0016200000001954E-2</v>
      </c>
      <c r="M148" s="864">
        <f t="shared" si="43"/>
        <v>1.2841242274990991E-2</v>
      </c>
      <c r="N148" s="864">
        <f t="shared" si="43"/>
        <v>1.6743099688819058E-2</v>
      </c>
      <c r="O148" s="864">
        <f t="shared" si="43"/>
        <v>1.3773428180923739E-2</v>
      </c>
      <c r="P148" s="864">
        <f t="shared" si="43"/>
        <v>1</v>
      </c>
      <c r="Q148" s="863"/>
    </row>
    <row r="150" spans="1:17" x14ac:dyDescent="0.25">
      <c r="P150" s="864">
        <f>+P147/'OSNOVNI PODATKI'!D206</f>
        <v>7.960873876122404E-2</v>
      </c>
    </row>
  </sheetData>
  <mergeCells count="1">
    <mergeCell ref="B4:C4"/>
  </mergeCells>
  <pageMargins left="0.59055118110236227" right="0.59055118110236227" top="0.39370078740157483" bottom="0.39370078740157483" header="0.31496062992125984" footer="0.31496062992125984"/>
  <pageSetup paperSize="9" scale="37" orientation="portrait" r:id="rId1"/>
  <ignoredErrors>
    <ignoredError sqref="I54 I21 I81 I57 I71 I9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7" r:id="rId4" name="Check Box 5">
              <controlPr defaultSize="0" autoFill="0" autoLine="0" autoPict="0">
                <anchor moveWithCells="1">
                  <from>
                    <xdr:col>6</xdr:col>
                    <xdr:colOff>76200</xdr:colOff>
                    <xdr:row>20</xdr:row>
                    <xdr:rowOff>171450</xdr:rowOff>
                  </from>
                  <to>
                    <xdr:col>6</xdr:col>
                    <xdr:colOff>323850</xdr:colOff>
                    <xdr:row>22</xdr:row>
                    <xdr:rowOff>19050</xdr:rowOff>
                  </to>
                </anchor>
              </controlPr>
            </control>
          </mc:Choice>
        </mc:AlternateContent>
        <mc:AlternateContent xmlns:mc="http://schemas.openxmlformats.org/markup-compatibility/2006">
          <mc:Choice Requires="x14">
            <control shapeId="18439" r:id="rId5" name="Check Box 7">
              <controlPr defaultSize="0" autoFill="0" autoLine="0" autoPict="0">
                <anchor moveWithCells="1">
                  <from>
                    <xdr:col>6</xdr:col>
                    <xdr:colOff>76200</xdr:colOff>
                    <xdr:row>21</xdr:row>
                    <xdr:rowOff>152400</xdr:rowOff>
                  </from>
                  <to>
                    <xdr:col>6</xdr:col>
                    <xdr:colOff>323850</xdr:colOff>
                    <xdr:row>23</xdr:row>
                    <xdr:rowOff>28575</xdr:rowOff>
                  </to>
                </anchor>
              </controlPr>
            </control>
          </mc:Choice>
        </mc:AlternateContent>
        <mc:AlternateContent xmlns:mc="http://schemas.openxmlformats.org/markup-compatibility/2006">
          <mc:Choice Requires="x14">
            <control shapeId="18441" r:id="rId6" name="Check Box 9">
              <controlPr defaultSize="0" autoFill="0" autoLine="0" autoPict="0">
                <anchor moveWithCells="1">
                  <from>
                    <xdr:col>6</xdr:col>
                    <xdr:colOff>76200</xdr:colOff>
                    <xdr:row>23</xdr:row>
                    <xdr:rowOff>0</xdr:rowOff>
                  </from>
                  <to>
                    <xdr:col>6</xdr:col>
                    <xdr:colOff>323850</xdr:colOff>
                    <xdr:row>24</xdr:row>
                    <xdr:rowOff>0</xdr:rowOff>
                  </to>
                </anchor>
              </controlPr>
            </control>
          </mc:Choice>
        </mc:AlternateContent>
        <mc:AlternateContent xmlns:mc="http://schemas.openxmlformats.org/markup-compatibility/2006">
          <mc:Choice Requires="x14">
            <control shapeId="18442" r:id="rId7" name="Check Box 10">
              <controlPr defaultSize="0" autoFill="0" autoLine="0" autoPict="0">
                <anchor moveWithCells="1">
                  <from>
                    <xdr:col>6</xdr:col>
                    <xdr:colOff>76200</xdr:colOff>
                    <xdr:row>54</xdr:row>
                    <xdr:rowOff>19050</xdr:rowOff>
                  </from>
                  <to>
                    <xdr:col>6</xdr:col>
                    <xdr:colOff>323850</xdr:colOff>
                    <xdr:row>55</xdr:row>
                    <xdr:rowOff>19050</xdr:rowOff>
                  </to>
                </anchor>
              </controlPr>
            </control>
          </mc:Choice>
        </mc:AlternateContent>
        <mc:AlternateContent xmlns:mc="http://schemas.openxmlformats.org/markup-compatibility/2006">
          <mc:Choice Requires="x14">
            <control shapeId="18443" r:id="rId8" name="Check Box 11">
              <controlPr defaultSize="0" autoFill="0" autoLine="0" autoPict="0">
                <anchor moveWithCells="1">
                  <from>
                    <xdr:col>6</xdr:col>
                    <xdr:colOff>76200</xdr:colOff>
                    <xdr:row>54</xdr:row>
                    <xdr:rowOff>19050</xdr:rowOff>
                  </from>
                  <to>
                    <xdr:col>6</xdr:col>
                    <xdr:colOff>323850</xdr:colOff>
                    <xdr:row>55</xdr:row>
                    <xdr:rowOff>19050</xdr:rowOff>
                  </to>
                </anchor>
              </controlPr>
            </control>
          </mc:Choice>
        </mc:AlternateContent>
        <mc:AlternateContent xmlns:mc="http://schemas.openxmlformats.org/markup-compatibility/2006">
          <mc:Choice Requires="x14">
            <control shapeId="18444" r:id="rId9" name="Check Box 12">
              <controlPr defaultSize="0" autoFill="0" autoLine="0" autoPict="0">
                <anchor moveWithCells="1">
                  <from>
                    <xdr:col>6</xdr:col>
                    <xdr:colOff>76200</xdr:colOff>
                    <xdr:row>27</xdr:row>
                    <xdr:rowOff>19050</xdr:rowOff>
                  </from>
                  <to>
                    <xdr:col>6</xdr:col>
                    <xdr:colOff>323850</xdr:colOff>
                    <xdr:row>28</xdr:row>
                    <xdr:rowOff>19050</xdr:rowOff>
                  </to>
                </anchor>
              </controlPr>
            </control>
          </mc:Choice>
        </mc:AlternateContent>
        <mc:AlternateContent xmlns:mc="http://schemas.openxmlformats.org/markup-compatibility/2006">
          <mc:Choice Requires="x14">
            <control shapeId="18445" r:id="rId10" name="Check Box 13">
              <controlPr defaultSize="0" autoFill="0" autoLine="0" autoPict="0">
                <anchor moveWithCells="1">
                  <from>
                    <xdr:col>6</xdr:col>
                    <xdr:colOff>76200</xdr:colOff>
                    <xdr:row>27</xdr:row>
                    <xdr:rowOff>19050</xdr:rowOff>
                  </from>
                  <to>
                    <xdr:col>6</xdr:col>
                    <xdr:colOff>323850</xdr:colOff>
                    <xdr:row>28</xdr:row>
                    <xdr:rowOff>19050</xdr:rowOff>
                  </to>
                </anchor>
              </controlPr>
            </control>
          </mc:Choice>
        </mc:AlternateContent>
        <mc:AlternateContent xmlns:mc="http://schemas.openxmlformats.org/markup-compatibility/2006">
          <mc:Choice Requires="x14">
            <control shapeId="18446" r:id="rId11" name="Check Box 14">
              <controlPr defaultSize="0" autoFill="0" autoLine="0" autoPict="0">
                <anchor moveWithCells="1">
                  <from>
                    <xdr:col>6</xdr:col>
                    <xdr:colOff>76200</xdr:colOff>
                    <xdr:row>29</xdr:row>
                    <xdr:rowOff>19050</xdr:rowOff>
                  </from>
                  <to>
                    <xdr:col>6</xdr:col>
                    <xdr:colOff>323850</xdr:colOff>
                    <xdr:row>30</xdr:row>
                    <xdr:rowOff>19050</xdr:rowOff>
                  </to>
                </anchor>
              </controlPr>
            </control>
          </mc:Choice>
        </mc:AlternateContent>
        <mc:AlternateContent xmlns:mc="http://schemas.openxmlformats.org/markup-compatibility/2006">
          <mc:Choice Requires="x14">
            <control shapeId="18447" r:id="rId12" name="Check Box 15">
              <controlPr defaultSize="0" autoFill="0" autoLine="0" autoPict="0">
                <anchor moveWithCells="1">
                  <from>
                    <xdr:col>6</xdr:col>
                    <xdr:colOff>76200</xdr:colOff>
                    <xdr:row>29</xdr:row>
                    <xdr:rowOff>19050</xdr:rowOff>
                  </from>
                  <to>
                    <xdr:col>6</xdr:col>
                    <xdr:colOff>323850</xdr:colOff>
                    <xdr:row>30</xdr:row>
                    <xdr:rowOff>19050</xdr:rowOff>
                  </to>
                </anchor>
              </controlPr>
            </control>
          </mc:Choice>
        </mc:AlternateContent>
        <mc:AlternateContent xmlns:mc="http://schemas.openxmlformats.org/markup-compatibility/2006">
          <mc:Choice Requires="x14">
            <control shapeId="18452" r:id="rId13" name="Check Box 20">
              <controlPr defaultSize="0" autoFill="0" autoLine="0" autoPict="0">
                <anchor moveWithCells="1">
                  <from>
                    <xdr:col>6</xdr:col>
                    <xdr:colOff>76200</xdr:colOff>
                    <xdr:row>31</xdr:row>
                    <xdr:rowOff>19050</xdr:rowOff>
                  </from>
                  <to>
                    <xdr:col>6</xdr:col>
                    <xdr:colOff>323850</xdr:colOff>
                    <xdr:row>32</xdr:row>
                    <xdr:rowOff>38100</xdr:rowOff>
                  </to>
                </anchor>
              </controlPr>
            </control>
          </mc:Choice>
        </mc:AlternateContent>
        <mc:AlternateContent xmlns:mc="http://schemas.openxmlformats.org/markup-compatibility/2006">
          <mc:Choice Requires="x14">
            <control shapeId="18458" r:id="rId14" name="Check Box 26">
              <controlPr defaultSize="0" autoFill="0" autoLine="0" autoPict="0">
                <anchor moveWithCells="1">
                  <from>
                    <xdr:col>6</xdr:col>
                    <xdr:colOff>76200</xdr:colOff>
                    <xdr:row>32</xdr:row>
                    <xdr:rowOff>19050</xdr:rowOff>
                  </from>
                  <to>
                    <xdr:col>6</xdr:col>
                    <xdr:colOff>323850</xdr:colOff>
                    <xdr:row>33</xdr:row>
                    <xdr:rowOff>19050</xdr:rowOff>
                  </to>
                </anchor>
              </controlPr>
            </control>
          </mc:Choice>
        </mc:AlternateContent>
        <mc:AlternateContent xmlns:mc="http://schemas.openxmlformats.org/markup-compatibility/2006">
          <mc:Choice Requires="x14">
            <control shapeId="18459" r:id="rId15" name="Check Box 27">
              <controlPr defaultSize="0" autoFill="0" autoLine="0" autoPict="0">
                <anchor moveWithCells="1">
                  <from>
                    <xdr:col>6</xdr:col>
                    <xdr:colOff>76200</xdr:colOff>
                    <xdr:row>32</xdr:row>
                    <xdr:rowOff>19050</xdr:rowOff>
                  </from>
                  <to>
                    <xdr:col>6</xdr:col>
                    <xdr:colOff>323850</xdr:colOff>
                    <xdr:row>33</xdr:row>
                    <xdr:rowOff>19050</xdr:rowOff>
                  </to>
                </anchor>
              </controlPr>
            </control>
          </mc:Choice>
        </mc:AlternateContent>
        <mc:AlternateContent xmlns:mc="http://schemas.openxmlformats.org/markup-compatibility/2006">
          <mc:Choice Requires="x14">
            <control shapeId="18464" r:id="rId16" name="Check Box 32">
              <controlPr defaultSize="0" autoFill="0" autoLine="0" autoPict="0">
                <anchor moveWithCells="1">
                  <from>
                    <xdr:col>6</xdr:col>
                    <xdr:colOff>76200</xdr:colOff>
                    <xdr:row>34</xdr:row>
                    <xdr:rowOff>19050</xdr:rowOff>
                  </from>
                  <to>
                    <xdr:col>6</xdr:col>
                    <xdr:colOff>323850</xdr:colOff>
                    <xdr:row>35</xdr:row>
                    <xdr:rowOff>19050</xdr:rowOff>
                  </to>
                </anchor>
              </controlPr>
            </control>
          </mc:Choice>
        </mc:AlternateContent>
        <mc:AlternateContent xmlns:mc="http://schemas.openxmlformats.org/markup-compatibility/2006">
          <mc:Choice Requires="x14">
            <control shapeId="18465" r:id="rId17" name="Check Box 33">
              <controlPr defaultSize="0" autoFill="0" autoLine="0" autoPict="0">
                <anchor moveWithCells="1">
                  <from>
                    <xdr:col>6</xdr:col>
                    <xdr:colOff>76200</xdr:colOff>
                    <xdr:row>34</xdr:row>
                    <xdr:rowOff>19050</xdr:rowOff>
                  </from>
                  <to>
                    <xdr:col>6</xdr:col>
                    <xdr:colOff>323850</xdr:colOff>
                    <xdr:row>35</xdr:row>
                    <xdr:rowOff>19050</xdr:rowOff>
                  </to>
                </anchor>
              </controlPr>
            </control>
          </mc:Choice>
        </mc:AlternateContent>
        <mc:AlternateContent xmlns:mc="http://schemas.openxmlformats.org/markup-compatibility/2006">
          <mc:Choice Requires="x14">
            <control shapeId="18466" r:id="rId18" name="Check Box 34">
              <controlPr defaultSize="0" autoFill="0" autoLine="0" autoPict="0">
                <anchor moveWithCells="1">
                  <from>
                    <xdr:col>6</xdr:col>
                    <xdr:colOff>76200</xdr:colOff>
                    <xdr:row>35</xdr:row>
                    <xdr:rowOff>19050</xdr:rowOff>
                  </from>
                  <to>
                    <xdr:col>6</xdr:col>
                    <xdr:colOff>323850</xdr:colOff>
                    <xdr:row>36</xdr:row>
                    <xdr:rowOff>19050</xdr:rowOff>
                  </to>
                </anchor>
              </controlPr>
            </control>
          </mc:Choice>
        </mc:AlternateContent>
        <mc:AlternateContent xmlns:mc="http://schemas.openxmlformats.org/markup-compatibility/2006">
          <mc:Choice Requires="x14">
            <control shapeId="18467" r:id="rId19" name="Check Box 35">
              <controlPr defaultSize="0" autoFill="0" autoLine="0" autoPict="0">
                <anchor moveWithCells="1">
                  <from>
                    <xdr:col>6</xdr:col>
                    <xdr:colOff>76200</xdr:colOff>
                    <xdr:row>35</xdr:row>
                    <xdr:rowOff>19050</xdr:rowOff>
                  </from>
                  <to>
                    <xdr:col>6</xdr:col>
                    <xdr:colOff>323850</xdr:colOff>
                    <xdr:row>36</xdr:row>
                    <xdr:rowOff>19050</xdr:rowOff>
                  </to>
                </anchor>
              </controlPr>
            </control>
          </mc:Choice>
        </mc:AlternateContent>
        <mc:AlternateContent xmlns:mc="http://schemas.openxmlformats.org/markup-compatibility/2006">
          <mc:Choice Requires="x14">
            <control shapeId="18470" r:id="rId20" name="Check Box 38">
              <controlPr defaultSize="0" autoFill="0" autoLine="0" autoPict="0">
                <anchor moveWithCells="1">
                  <from>
                    <xdr:col>6</xdr:col>
                    <xdr:colOff>76200</xdr:colOff>
                    <xdr:row>66</xdr:row>
                    <xdr:rowOff>19050</xdr:rowOff>
                  </from>
                  <to>
                    <xdr:col>6</xdr:col>
                    <xdr:colOff>323850</xdr:colOff>
                    <xdr:row>67</xdr:row>
                    <xdr:rowOff>19050</xdr:rowOff>
                  </to>
                </anchor>
              </controlPr>
            </control>
          </mc:Choice>
        </mc:AlternateContent>
        <mc:AlternateContent xmlns:mc="http://schemas.openxmlformats.org/markup-compatibility/2006">
          <mc:Choice Requires="x14">
            <control shapeId="18471" r:id="rId21" name="Check Box 39">
              <controlPr defaultSize="0" autoFill="0" autoLine="0" autoPict="0">
                <anchor moveWithCells="1">
                  <from>
                    <xdr:col>6</xdr:col>
                    <xdr:colOff>76200</xdr:colOff>
                    <xdr:row>66</xdr:row>
                    <xdr:rowOff>19050</xdr:rowOff>
                  </from>
                  <to>
                    <xdr:col>6</xdr:col>
                    <xdr:colOff>323850</xdr:colOff>
                    <xdr:row>67</xdr:row>
                    <xdr:rowOff>19050</xdr:rowOff>
                  </to>
                </anchor>
              </controlPr>
            </control>
          </mc:Choice>
        </mc:AlternateContent>
        <mc:AlternateContent xmlns:mc="http://schemas.openxmlformats.org/markup-compatibility/2006">
          <mc:Choice Requires="x14">
            <control shapeId="18474" r:id="rId22" name="Check Box 42">
              <controlPr defaultSize="0" autoFill="0" autoLine="0" autoPict="0">
                <anchor moveWithCells="1">
                  <from>
                    <xdr:col>6</xdr:col>
                    <xdr:colOff>76200</xdr:colOff>
                    <xdr:row>67</xdr:row>
                    <xdr:rowOff>19050</xdr:rowOff>
                  </from>
                  <to>
                    <xdr:col>6</xdr:col>
                    <xdr:colOff>323850</xdr:colOff>
                    <xdr:row>68</xdr:row>
                    <xdr:rowOff>19050</xdr:rowOff>
                  </to>
                </anchor>
              </controlPr>
            </control>
          </mc:Choice>
        </mc:AlternateContent>
        <mc:AlternateContent xmlns:mc="http://schemas.openxmlformats.org/markup-compatibility/2006">
          <mc:Choice Requires="x14">
            <control shapeId="18475" r:id="rId23" name="Check Box 43">
              <controlPr defaultSize="0" autoFill="0" autoLine="0" autoPict="0">
                <anchor moveWithCells="1">
                  <from>
                    <xdr:col>6</xdr:col>
                    <xdr:colOff>76200</xdr:colOff>
                    <xdr:row>67</xdr:row>
                    <xdr:rowOff>19050</xdr:rowOff>
                  </from>
                  <to>
                    <xdr:col>6</xdr:col>
                    <xdr:colOff>323850</xdr:colOff>
                    <xdr:row>68</xdr:row>
                    <xdr:rowOff>19050</xdr:rowOff>
                  </to>
                </anchor>
              </controlPr>
            </control>
          </mc:Choice>
        </mc:AlternateContent>
        <mc:AlternateContent xmlns:mc="http://schemas.openxmlformats.org/markup-compatibility/2006">
          <mc:Choice Requires="x14">
            <control shapeId="18480" r:id="rId24" name="Check Box 48">
              <controlPr defaultSize="0" autoFill="0" autoLine="0" autoPict="0">
                <anchor moveWithCells="1">
                  <from>
                    <xdr:col>6</xdr:col>
                    <xdr:colOff>76200</xdr:colOff>
                    <xdr:row>41</xdr:row>
                    <xdr:rowOff>19050</xdr:rowOff>
                  </from>
                  <to>
                    <xdr:col>6</xdr:col>
                    <xdr:colOff>323850</xdr:colOff>
                    <xdr:row>42</xdr:row>
                    <xdr:rowOff>19050</xdr:rowOff>
                  </to>
                </anchor>
              </controlPr>
            </control>
          </mc:Choice>
        </mc:AlternateContent>
        <mc:AlternateContent xmlns:mc="http://schemas.openxmlformats.org/markup-compatibility/2006">
          <mc:Choice Requires="x14">
            <control shapeId="18481" r:id="rId25" name="Check Box 49">
              <controlPr defaultSize="0" autoFill="0" autoLine="0" autoPict="0">
                <anchor moveWithCells="1">
                  <from>
                    <xdr:col>6</xdr:col>
                    <xdr:colOff>76200</xdr:colOff>
                    <xdr:row>41</xdr:row>
                    <xdr:rowOff>19050</xdr:rowOff>
                  </from>
                  <to>
                    <xdr:col>6</xdr:col>
                    <xdr:colOff>323850</xdr:colOff>
                    <xdr:row>42</xdr:row>
                    <xdr:rowOff>19050</xdr:rowOff>
                  </to>
                </anchor>
              </controlPr>
            </control>
          </mc:Choice>
        </mc:AlternateContent>
        <mc:AlternateContent xmlns:mc="http://schemas.openxmlformats.org/markup-compatibility/2006">
          <mc:Choice Requires="x14">
            <control shapeId="18482" r:id="rId26" name="Check Box 50">
              <controlPr defaultSize="0" autoFill="0" autoLine="0" autoPict="0">
                <anchor moveWithCells="1">
                  <from>
                    <xdr:col>6</xdr:col>
                    <xdr:colOff>76200</xdr:colOff>
                    <xdr:row>43</xdr:row>
                    <xdr:rowOff>19050</xdr:rowOff>
                  </from>
                  <to>
                    <xdr:col>6</xdr:col>
                    <xdr:colOff>323850</xdr:colOff>
                    <xdr:row>44</xdr:row>
                    <xdr:rowOff>19050</xdr:rowOff>
                  </to>
                </anchor>
              </controlPr>
            </control>
          </mc:Choice>
        </mc:AlternateContent>
        <mc:AlternateContent xmlns:mc="http://schemas.openxmlformats.org/markup-compatibility/2006">
          <mc:Choice Requires="x14">
            <control shapeId="18483" r:id="rId27" name="Check Box 51">
              <controlPr defaultSize="0" autoFill="0" autoLine="0" autoPict="0">
                <anchor moveWithCells="1">
                  <from>
                    <xdr:col>6</xdr:col>
                    <xdr:colOff>76200</xdr:colOff>
                    <xdr:row>43</xdr:row>
                    <xdr:rowOff>19050</xdr:rowOff>
                  </from>
                  <to>
                    <xdr:col>6</xdr:col>
                    <xdr:colOff>323850</xdr:colOff>
                    <xdr:row>44</xdr:row>
                    <xdr:rowOff>19050</xdr:rowOff>
                  </to>
                </anchor>
              </controlPr>
            </control>
          </mc:Choice>
        </mc:AlternateContent>
        <mc:AlternateContent xmlns:mc="http://schemas.openxmlformats.org/markup-compatibility/2006">
          <mc:Choice Requires="x14">
            <control shapeId="18484" r:id="rId28" name="Check Box 52">
              <controlPr defaultSize="0" autoFill="0" autoLine="0" autoPict="0">
                <anchor moveWithCells="1">
                  <from>
                    <xdr:col>6</xdr:col>
                    <xdr:colOff>76200</xdr:colOff>
                    <xdr:row>42</xdr:row>
                    <xdr:rowOff>19050</xdr:rowOff>
                  </from>
                  <to>
                    <xdr:col>6</xdr:col>
                    <xdr:colOff>323850</xdr:colOff>
                    <xdr:row>43</xdr:row>
                    <xdr:rowOff>19050</xdr:rowOff>
                  </to>
                </anchor>
              </controlPr>
            </control>
          </mc:Choice>
        </mc:AlternateContent>
        <mc:AlternateContent xmlns:mc="http://schemas.openxmlformats.org/markup-compatibility/2006">
          <mc:Choice Requires="x14">
            <control shapeId="18485" r:id="rId29" name="Check Box 53">
              <controlPr defaultSize="0" autoFill="0" autoLine="0" autoPict="0">
                <anchor moveWithCells="1">
                  <from>
                    <xdr:col>6</xdr:col>
                    <xdr:colOff>76200</xdr:colOff>
                    <xdr:row>42</xdr:row>
                    <xdr:rowOff>19050</xdr:rowOff>
                  </from>
                  <to>
                    <xdr:col>6</xdr:col>
                    <xdr:colOff>323850</xdr:colOff>
                    <xdr:row>43</xdr:row>
                    <xdr:rowOff>19050</xdr:rowOff>
                  </to>
                </anchor>
              </controlPr>
            </control>
          </mc:Choice>
        </mc:AlternateContent>
        <mc:AlternateContent xmlns:mc="http://schemas.openxmlformats.org/markup-compatibility/2006">
          <mc:Choice Requires="x14">
            <control shapeId="18488" r:id="rId30" name="Check Box 56">
              <controlPr defaultSize="0" autoFill="0" autoLine="0" autoPict="0">
                <anchor moveWithCells="1">
                  <from>
                    <xdr:col>6</xdr:col>
                    <xdr:colOff>76200</xdr:colOff>
                    <xdr:row>45</xdr:row>
                    <xdr:rowOff>19050</xdr:rowOff>
                  </from>
                  <to>
                    <xdr:col>6</xdr:col>
                    <xdr:colOff>323850</xdr:colOff>
                    <xdr:row>46</xdr:row>
                    <xdr:rowOff>19050</xdr:rowOff>
                  </to>
                </anchor>
              </controlPr>
            </control>
          </mc:Choice>
        </mc:AlternateContent>
        <mc:AlternateContent xmlns:mc="http://schemas.openxmlformats.org/markup-compatibility/2006">
          <mc:Choice Requires="x14">
            <control shapeId="18489" r:id="rId31" name="Check Box 57">
              <controlPr defaultSize="0" autoFill="0" autoLine="0" autoPict="0">
                <anchor moveWithCells="1">
                  <from>
                    <xdr:col>6</xdr:col>
                    <xdr:colOff>76200</xdr:colOff>
                    <xdr:row>45</xdr:row>
                    <xdr:rowOff>19050</xdr:rowOff>
                  </from>
                  <to>
                    <xdr:col>6</xdr:col>
                    <xdr:colOff>323850</xdr:colOff>
                    <xdr:row>46</xdr:row>
                    <xdr:rowOff>19050</xdr:rowOff>
                  </to>
                </anchor>
              </controlPr>
            </control>
          </mc:Choice>
        </mc:AlternateContent>
        <mc:AlternateContent xmlns:mc="http://schemas.openxmlformats.org/markup-compatibility/2006">
          <mc:Choice Requires="x14">
            <control shapeId="18494" r:id="rId32" name="Check Box 62">
              <controlPr defaultSize="0" autoFill="0" autoLine="0" autoPict="0">
                <anchor moveWithCells="1">
                  <from>
                    <xdr:col>6</xdr:col>
                    <xdr:colOff>76200</xdr:colOff>
                    <xdr:row>46</xdr:row>
                    <xdr:rowOff>19050</xdr:rowOff>
                  </from>
                  <to>
                    <xdr:col>6</xdr:col>
                    <xdr:colOff>323850</xdr:colOff>
                    <xdr:row>47</xdr:row>
                    <xdr:rowOff>19050</xdr:rowOff>
                  </to>
                </anchor>
              </controlPr>
            </control>
          </mc:Choice>
        </mc:AlternateContent>
        <mc:AlternateContent xmlns:mc="http://schemas.openxmlformats.org/markup-compatibility/2006">
          <mc:Choice Requires="x14">
            <control shapeId="18495" r:id="rId33" name="Check Box 63">
              <controlPr defaultSize="0" autoFill="0" autoLine="0" autoPict="0">
                <anchor moveWithCells="1">
                  <from>
                    <xdr:col>6</xdr:col>
                    <xdr:colOff>76200</xdr:colOff>
                    <xdr:row>46</xdr:row>
                    <xdr:rowOff>19050</xdr:rowOff>
                  </from>
                  <to>
                    <xdr:col>6</xdr:col>
                    <xdr:colOff>323850</xdr:colOff>
                    <xdr:row>47</xdr:row>
                    <xdr:rowOff>19050</xdr:rowOff>
                  </to>
                </anchor>
              </controlPr>
            </control>
          </mc:Choice>
        </mc:AlternateContent>
        <mc:AlternateContent xmlns:mc="http://schemas.openxmlformats.org/markup-compatibility/2006">
          <mc:Choice Requires="x14">
            <control shapeId="18498" r:id="rId34" name="Check Box 66">
              <controlPr defaultSize="0" autoFill="0" autoLine="0" autoPict="0">
                <anchor moveWithCells="1">
                  <from>
                    <xdr:col>6</xdr:col>
                    <xdr:colOff>76200</xdr:colOff>
                    <xdr:row>47</xdr:row>
                    <xdr:rowOff>19050</xdr:rowOff>
                  </from>
                  <to>
                    <xdr:col>6</xdr:col>
                    <xdr:colOff>323850</xdr:colOff>
                    <xdr:row>48</xdr:row>
                    <xdr:rowOff>19050</xdr:rowOff>
                  </to>
                </anchor>
              </controlPr>
            </control>
          </mc:Choice>
        </mc:AlternateContent>
        <mc:AlternateContent xmlns:mc="http://schemas.openxmlformats.org/markup-compatibility/2006">
          <mc:Choice Requires="x14">
            <control shapeId="18499" r:id="rId35" name="Check Box 67">
              <controlPr defaultSize="0" autoFill="0" autoLine="0" autoPict="0">
                <anchor moveWithCells="1">
                  <from>
                    <xdr:col>6</xdr:col>
                    <xdr:colOff>76200</xdr:colOff>
                    <xdr:row>47</xdr:row>
                    <xdr:rowOff>19050</xdr:rowOff>
                  </from>
                  <to>
                    <xdr:col>6</xdr:col>
                    <xdr:colOff>323850</xdr:colOff>
                    <xdr:row>48</xdr:row>
                    <xdr:rowOff>19050</xdr:rowOff>
                  </to>
                </anchor>
              </controlPr>
            </control>
          </mc:Choice>
        </mc:AlternateContent>
        <mc:AlternateContent xmlns:mc="http://schemas.openxmlformats.org/markup-compatibility/2006">
          <mc:Choice Requires="x14">
            <control shapeId="18502" r:id="rId36" name="Check Box 70">
              <controlPr defaultSize="0" autoFill="0" autoLine="0" autoPict="0">
                <anchor moveWithCells="1">
                  <from>
                    <xdr:col>6</xdr:col>
                    <xdr:colOff>76200</xdr:colOff>
                    <xdr:row>48</xdr:row>
                    <xdr:rowOff>19050</xdr:rowOff>
                  </from>
                  <to>
                    <xdr:col>6</xdr:col>
                    <xdr:colOff>323850</xdr:colOff>
                    <xdr:row>49</xdr:row>
                    <xdr:rowOff>19050</xdr:rowOff>
                  </to>
                </anchor>
              </controlPr>
            </control>
          </mc:Choice>
        </mc:AlternateContent>
        <mc:AlternateContent xmlns:mc="http://schemas.openxmlformats.org/markup-compatibility/2006">
          <mc:Choice Requires="x14">
            <control shapeId="18503" r:id="rId37" name="Check Box 71">
              <controlPr defaultSize="0" autoFill="0" autoLine="0" autoPict="0">
                <anchor moveWithCells="1">
                  <from>
                    <xdr:col>6</xdr:col>
                    <xdr:colOff>76200</xdr:colOff>
                    <xdr:row>48</xdr:row>
                    <xdr:rowOff>19050</xdr:rowOff>
                  </from>
                  <to>
                    <xdr:col>6</xdr:col>
                    <xdr:colOff>323850</xdr:colOff>
                    <xdr:row>49</xdr:row>
                    <xdr:rowOff>19050</xdr:rowOff>
                  </to>
                </anchor>
              </controlPr>
            </control>
          </mc:Choice>
        </mc:AlternateContent>
        <mc:AlternateContent xmlns:mc="http://schemas.openxmlformats.org/markup-compatibility/2006">
          <mc:Choice Requires="x14">
            <control shapeId="18504" r:id="rId38" name="Check Box 72">
              <controlPr defaultSize="0" autoFill="0" autoLine="0" autoPict="0">
                <anchor moveWithCells="1">
                  <from>
                    <xdr:col>6</xdr:col>
                    <xdr:colOff>76200</xdr:colOff>
                    <xdr:row>49</xdr:row>
                    <xdr:rowOff>19050</xdr:rowOff>
                  </from>
                  <to>
                    <xdr:col>6</xdr:col>
                    <xdr:colOff>323850</xdr:colOff>
                    <xdr:row>50</xdr:row>
                    <xdr:rowOff>19050</xdr:rowOff>
                  </to>
                </anchor>
              </controlPr>
            </control>
          </mc:Choice>
        </mc:AlternateContent>
        <mc:AlternateContent xmlns:mc="http://schemas.openxmlformats.org/markup-compatibility/2006">
          <mc:Choice Requires="x14">
            <control shapeId="18505" r:id="rId39" name="Check Box 73">
              <controlPr defaultSize="0" autoFill="0" autoLine="0" autoPict="0">
                <anchor moveWithCells="1">
                  <from>
                    <xdr:col>6</xdr:col>
                    <xdr:colOff>76200</xdr:colOff>
                    <xdr:row>49</xdr:row>
                    <xdr:rowOff>19050</xdr:rowOff>
                  </from>
                  <to>
                    <xdr:col>6</xdr:col>
                    <xdr:colOff>323850</xdr:colOff>
                    <xdr:row>50</xdr:row>
                    <xdr:rowOff>19050</xdr:rowOff>
                  </to>
                </anchor>
              </controlPr>
            </control>
          </mc:Choice>
        </mc:AlternateContent>
        <mc:AlternateContent xmlns:mc="http://schemas.openxmlformats.org/markup-compatibility/2006">
          <mc:Choice Requires="x14">
            <control shapeId="18514" r:id="rId40" name="Check Box 82">
              <controlPr defaultSize="0" autoFill="0" autoLine="0" autoPict="0">
                <anchor moveWithCells="1">
                  <from>
                    <xdr:col>6</xdr:col>
                    <xdr:colOff>76200</xdr:colOff>
                    <xdr:row>58</xdr:row>
                    <xdr:rowOff>19050</xdr:rowOff>
                  </from>
                  <to>
                    <xdr:col>6</xdr:col>
                    <xdr:colOff>323850</xdr:colOff>
                    <xdr:row>59</xdr:row>
                    <xdr:rowOff>19050</xdr:rowOff>
                  </to>
                </anchor>
              </controlPr>
            </control>
          </mc:Choice>
        </mc:AlternateContent>
        <mc:AlternateContent xmlns:mc="http://schemas.openxmlformats.org/markup-compatibility/2006">
          <mc:Choice Requires="x14">
            <control shapeId="18515" r:id="rId41" name="Check Box 83">
              <controlPr defaultSize="0" autoFill="0" autoLine="0" autoPict="0">
                <anchor moveWithCells="1">
                  <from>
                    <xdr:col>6</xdr:col>
                    <xdr:colOff>76200</xdr:colOff>
                    <xdr:row>58</xdr:row>
                    <xdr:rowOff>19050</xdr:rowOff>
                  </from>
                  <to>
                    <xdr:col>6</xdr:col>
                    <xdr:colOff>323850</xdr:colOff>
                    <xdr:row>59</xdr:row>
                    <xdr:rowOff>19050</xdr:rowOff>
                  </to>
                </anchor>
              </controlPr>
            </control>
          </mc:Choice>
        </mc:AlternateContent>
        <mc:AlternateContent xmlns:mc="http://schemas.openxmlformats.org/markup-compatibility/2006">
          <mc:Choice Requires="x14">
            <control shapeId="18516" r:id="rId42" name="Check Box 84">
              <controlPr defaultSize="0" autoFill="0" autoLine="0" autoPict="0">
                <anchor moveWithCells="1">
                  <from>
                    <xdr:col>6</xdr:col>
                    <xdr:colOff>76200</xdr:colOff>
                    <xdr:row>60</xdr:row>
                    <xdr:rowOff>19050</xdr:rowOff>
                  </from>
                  <to>
                    <xdr:col>6</xdr:col>
                    <xdr:colOff>323850</xdr:colOff>
                    <xdr:row>61</xdr:row>
                    <xdr:rowOff>19050</xdr:rowOff>
                  </to>
                </anchor>
              </controlPr>
            </control>
          </mc:Choice>
        </mc:AlternateContent>
        <mc:AlternateContent xmlns:mc="http://schemas.openxmlformats.org/markup-compatibility/2006">
          <mc:Choice Requires="x14">
            <control shapeId="18517" r:id="rId43" name="Check Box 85">
              <controlPr defaultSize="0" autoFill="0" autoLine="0" autoPict="0">
                <anchor moveWithCells="1">
                  <from>
                    <xdr:col>6</xdr:col>
                    <xdr:colOff>76200</xdr:colOff>
                    <xdr:row>60</xdr:row>
                    <xdr:rowOff>19050</xdr:rowOff>
                  </from>
                  <to>
                    <xdr:col>6</xdr:col>
                    <xdr:colOff>323850</xdr:colOff>
                    <xdr:row>61</xdr:row>
                    <xdr:rowOff>19050</xdr:rowOff>
                  </to>
                </anchor>
              </controlPr>
            </control>
          </mc:Choice>
        </mc:AlternateContent>
        <mc:AlternateContent xmlns:mc="http://schemas.openxmlformats.org/markup-compatibility/2006">
          <mc:Choice Requires="x14">
            <control shapeId="18518" r:id="rId44" name="Check Box 86">
              <controlPr defaultSize="0" autoFill="0" autoLine="0" autoPict="0">
                <anchor moveWithCells="1">
                  <from>
                    <xdr:col>6</xdr:col>
                    <xdr:colOff>76200</xdr:colOff>
                    <xdr:row>59</xdr:row>
                    <xdr:rowOff>19050</xdr:rowOff>
                  </from>
                  <to>
                    <xdr:col>6</xdr:col>
                    <xdr:colOff>323850</xdr:colOff>
                    <xdr:row>60</xdr:row>
                    <xdr:rowOff>19050</xdr:rowOff>
                  </to>
                </anchor>
              </controlPr>
            </control>
          </mc:Choice>
        </mc:AlternateContent>
        <mc:AlternateContent xmlns:mc="http://schemas.openxmlformats.org/markup-compatibility/2006">
          <mc:Choice Requires="x14">
            <control shapeId="18519" r:id="rId45" name="Check Box 87">
              <controlPr defaultSize="0" autoFill="0" autoLine="0" autoPict="0">
                <anchor moveWithCells="1">
                  <from>
                    <xdr:col>6</xdr:col>
                    <xdr:colOff>76200</xdr:colOff>
                    <xdr:row>59</xdr:row>
                    <xdr:rowOff>19050</xdr:rowOff>
                  </from>
                  <to>
                    <xdr:col>6</xdr:col>
                    <xdr:colOff>323850</xdr:colOff>
                    <xdr:row>60</xdr:row>
                    <xdr:rowOff>19050</xdr:rowOff>
                  </to>
                </anchor>
              </controlPr>
            </control>
          </mc:Choice>
        </mc:AlternateContent>
        <mc:AlternateContent xmlns:mc="http://schemas.openxmlformats.org/markup-compatibility/2006">
          <mc:Choice Requires="x14">
            <control shapeId="18522" r:id="rId46" name="Check Box 90">
              <controlPr defaultSize="0" autoFill="0" autoLine="0" autoPict="0">
                <anchor moveWithCells="1">
                  <from>
                    <xdr:col>6</xdr:col>
                    <xdr:colOff>76200</xdr:colOff>
                    <xdr:row>62</xdr:row>
                    <xdr:rowOff>19050</xdr:rowOff>
                  </from>
                  <to>
                    <xdr:col>6</xdr:col>
                    <xdr:colOff>323850</xdr:colOff>
                    <xdr:row>63</xdr:row>
                    <xdr:rowOff>19050</xdr:rowOff>
                  </to>
                </anchor>
              </controlPr>
            </control>
          </mc:Choice>
        </mc:AlternateContent>
        <mc:AlternateContent xmlns:mc="http://schemas.openxmlformats.org/markup-compatibility/2006">
          <mc:Choice Requires="x14">
            <control shapeId="18523" r:id="rId47" name="Check Box 91">
              <controlPr defaultSize="0" autoFill="0" autoLine="0" autoPict="0">
                <anchor moveWithCells="1">
                  <from>
                    <xdr:col>6</xdr:col>
                    <xdr:colOff>76200</xdr:colOff>
                    <xdr:row>62</xdr:row>
                    <xdr:rowOff>19050</xdr:rowOff>
                  </from>
                  <to>
                    <xdr:col>6</xdr:col>
                    <xdr:colOff>323850</xdr:colOff>
                    <xdr:row>63</xdr:row>
                    <xdr:rowOff>19050</xdr:rowOff>
                  </to>
                </anchor>
              </controlPr>
            </control>
          </mc:Choice>
        </mc:AlternateContent>
        <mc:AlternateContent xmlns:mc="http://schemas.openxmlformats.org/markup-compatibility/2006">
          <mc:Choice Requires="x14">
            <control shapeId="18528" r:id="rId48" name="Check Box 96">
              <controlPr defaultSize="0" autoFill="0" autoLine="0" autoPict="0">
                <anchor moveWithCells="1">
                  <from>
                    <xdr:col>6</xdr:col>
                    <xdr:colOff>76200</xdr:colOff>
                    <xdr:row>63</xdr:row>
                    <xdr:rowOff>19050</xdr:rowOff>
                  </from>
                  <to>
                    <xdr:col>6</xdr:col>
                    <xdr:colOff>323850</xdr:colOff>
                    <xdr:row>64</xdr:row>
                    <xdr:rowOff>19050</xdr:rowOff>
                  </to>
                </anchor>
              </controlPr>
            </control>
          </mc:Choice>
        </mc:AlternateContent>
        <mc:AlternateContent xmlns:mc="http://schemas.openxmlformats.org/markup-compatibility/2006">
          <mc:Choice Requires="x14">
            <control shapeId="18529" r:id="rId49" name="Check Box 97">
              <controlPr defaultSize="0" autoFill="0" autoLine="0" autoPict="0">
                <anchor moveWithCells="1">
                  <from>
                    <xdr:col>6</xdr:col>
                    <xdr:colOff>76200</xdr:colOff>
                    <xdr:row>63</xdr:row>
                    <xdr:rowOff>19050</xdr:rowOff>
                  </from>
                  <to>
                    <xdr:col>6</xdr:col>
                    <xdr:colOff>323850</xdr:colOff>
                    <xdr:row>64</xdr:row>
                    <xdr:rowOff>19050</xdr:rowOff>
                  </to>
                </anchor>
              </controlPr>
            </control>
          </mc:Choice>
        </mc:AlternateContent>
        <mc:AlternateContent xmlns:mc="http://schemas.openxmlformats.org/markup-compatibility/2006">
          <mc:Choice Requires="x14">
            <control shapeId="18532" r:id="rId50" name="Check Box 100">
              <controlPr defaultSize="0" autoFill="0" autoLine="0" autoPict="0">
                <anchor moveWithCells="1">
                  <from>
                    <xdr:col>6</xdr:col>
                    <xdr:colOff>76200</xdr:colOff>
                    <xdr:row>64</xdr:row>
                    <xdr:rowOff>19050</xdr:rowOff>
                  </from>
                  <to>
                    <xdr:col>6</xdr:col>
                    <xdr:colOff>323850</xdr:colOff>
                    <xdr:row>65</xdr:row>
                    <xdr:rowOff>19050</xdr:rowOff>
                  </to>
                </anchor>
              </controlPr>
            </control>
          </mc:Choice>
        </mc:AlternateContent>
        <mc:AlternateContent xmlns:mc="http://schemas.openxmlformats.org/markup-compatibility/2006">
          <mc:Choice Requires="x14">
            <control shapeId="18533" r:id="rId51" name="Check Box 101">
              <controlPr defaultSize="0" autoFill="0" autoLine="0" autoPict="0">
                <anchor moveWithCells="1">
                  <from>
                    <xdr:col>6</xdr:col>
                    <xdr:colOff>76200</xdr:colOff>
                    <xdr:row>64</xdr:row>
                    <xdr:rowOff>19050</xdr:rowOff>
                  </from>
                  <to>
                    <xdr:col>6</xdr:col>
                    <xdr:colOff>323850</xdr:colOff>
                    <xdr:row>65</xdr:row>
                    <xdr:rowOff>19050</xdr:rowOff>
                  </to>
                </anchor>
              </controlPr>
            </control>
          </mc:Choice>
        </mc:AlternateContent>
        <mc:AlternateContent xmlns:mc="http://schemas.openxmlformats.org/markup-compatibility/2006">
          <mc:Choice Requires="x14">
            <control shapeId="18536" r:id="rId52" name="Check Box 104">
              <controlPr defaultSize="0" autoFill="0" autoLine="0" autoPict="0">
                <anchor moveWithCells="1">
                  <from>
                    <xdr:col>6</xdr:col>
                    <xdr:colOff>76200</xdr:colOff>
                    <xdr:row>65</xdr:row>
                    <xdr:rowOff>19050</xdr:rowOff>
                  </from>
                  <to>
                    <xdr:col>6</xdr:col>
                    <xdr:colOff>323850</xdr:colOff>
                    <xdr:row>66</xdr:row>
                    <xdr:rowOff>19050</xdr:rowOff>
                  </to>
                </anchor>
              </controlPr>
            </control>
          </mc:Choice>
        </mc:AlternateContent>
        <mc:AlternateContent xmlns:mc="http://schemas.openxmlformats.org/markup-compatibility/2006">
          <mc:Choice Requires="x14">
            <control shapeId="18537" r:id="rId53" name="Check Box 105">
              <controlPr defaultSize="0" autoFill="0" autoLine="0" autoPict="0">
                <anchor moveWithCells="1">
                  <from>
                    <xdr:col>6</xdr:col>
                    <xdr:colOff>76200</xdr:colOff>
                    <xdr:row>65</xdr:row>
                    <xdr:rowOff>19050</xdr:rowOff>
                  </from>
                  <to>
                    <xdr:col>6</xdr:col>
                    <xdr:colOff>323850</xdr:colOff>
                    <xdr:row>66</xdr:row>
                    <xdr:rowOff>19050</xdr:rowOff>
                  </to>
                </anchor>
              </controlPr>
            </control>
          </mc:Choice>
        </mc:AlternateContent>
        <mc:AlternateContent xmlns:mc="http://schemas.openxmlformats.org/markup-compatibility/2006">
          <mc:Choice Requires="x14">
            <control shapeId="18545" r:id="rId54" name="Check Box 113">
              <controlPr defaultSize="0" autoFill="0" autoLine="0" autoPict="0">
                <anchor moveWithCells="1">
                  <from>
                    <xdr:col>6</xdr:col>
                    <xdr:colOff>76200</xdr:colOff>
                    <xdr:row>82</xdr:row>
                    <xdr:rowOff>0</xdr:rowOff>
                  </from>
                  <to>
                    <xdr:col>6</xdr:col>
                    <xdr:colOff>323850</xdr:colOff>
                    <xdr:row>83</xdr:row>
                    <xdr:rowOff>0</xdr:rowOff>
                  </to>
                </anchor>
              </controlPr>
            </control>
          </mc:Choice>
        </mc:AlternateContent>
        <mc:AlternateContent xmlns:mc="http://schemas.openxmlformats.org/markup-compatibility/2006">
          <mc:Choice Requires="x14">
            <control shapeId="18560" r:id="rId55" name="Check Box 128">
              <controlPr defaultSize="0" autoFill="0" autoLine="0" autoPict="0">
                <anchor moveWithCells="1">
                  <from>
                    <xdr:col>6</xdr:col>
                    <xdr:colOff>76200</xdr:colOff>
                    <xdr:row>111</xdr:row>
                    <xdr:rowOff>0</xdr:rowOff>
                  </from>
                  <to>
                    <xdr:col>6</xdr:col>
                    <xdr:colOff>323850</xdr:colOff>
                    <xdr:row>112</xdr:row>
                    <xdr:rowOff>0</xdr:rowOff>
                  </to>
                </anchor>
              </controlPr>
            </control>
          </mc:Choice>
        </mc:AlternateContent>
        <mc:AlternateContent xmlns:mc="http://schemas.openxmlformats.org/markup-compatibility/2006">
          <mc:Choice Requires="x14">
            <control shapeId="18566" r:id="rId56" name="Check Box 134">
              <controlPr defaultSize="0" autoFill="0" autoLine="0" autoPict="0">
                <anchor moveWithCells="1">
                  <from>
                    <xdr:col>6</xdr:col>
                    <xdr:colOff>76200</xdr:colOff>
                    <xdr:row>55</xdr:row>
                    <xdr:rowOff>19050</xdr:rowOff>
                  </from>
                  <to>
                    <xdr:col>6</xdr:col>
                    <xdr:colOff>323850</xdr:colOff>
                    <xdr:row>56</xdr:row>
                    <xdr:rowOff>19050</xdr:rowOff>
                  </to>
                </anchor>
              </controlPr>
            </control>
          </mc:Choice>
        </mc:AlternateContent>
        <mc:AlternateContent xmlns:mc="http://schemas.openxmlformats.org/markup-compatibility/2006">
          <mc:Choice Requires="x14">
            <control shapeId="18567" r:id="rId57" name="Check Box 135">
              <controlPr defaultSize="0" autoFill="0" autoLine="0" autoPict="0">
                <anchor moveWithCells="1">
                  <from>
                    <xdr:col>6</xdr:col>
                    <xdr:colOff>76200</xdr:colOff>
                    <xdr:row>55</xdr:row>
                    <xdr:rowOff>19050</xdr:rowOff>
                  </from>
                  <to>
                    <xdr:col>6</xdr:col>
                    <xdr:colOff>323850</xdr:colOff>
                    <xdr:row>56</xdr:row>
                    <xdr:rowOff>19050</xdr:rowOff>
                  </to>
                </anchor>
              </controlPr>
            </control>
          </mc:Choice>
        </mc:AlternateContent>
        <mc:AlternateContent xmlns:mc="http://schemas.openxmlformats.org/markup-compatibility/2006">
          <mc:Choice Requires="x14">
            <control shapeId="18568" r:id="rId58" name="Check Box 136">
              <controlPr defaultSize="0" autoFill="0" autoLine="0" autoPict="0">
                <anchor moveWithCells="1">
                  <from>
                    <xdr:col>6</xdr:col>
                    <xdr:colOff>76200</xdr:colOff>
                    <xdr:row>36</xdr:row>
                    <xdr:rowOff>19050</xdr:rowOff>
                  </from>
                  <to>
                    <xdr:col>6</xdr:col>
                    <xdr:colOff>323850</xdr:colOff>
                    <xdr:row>37</xdr:row>
                    <xdr:rowOff>19050</xdr:rowOff>
                  </to>
                </anchor>
              </controlPr>
            </control>
          </mc:Choice>
        </mc:AlternateContent>
        <mc:AlternateContent xmlns:mc="http://schemas.openxmlformats.org/markup-compatibility/2006">
          <mc:Choice Requires="x14">
            <control shapeId="18569" r:id="rId59" name="Check Box 137">
              <controlPr defaultSize="0" autoFill="0" autoLine="0" autoPict="0">
                <anchor moveWithCells="1">
                  <from>
                    <xdr:col>6</xdr:col>
                    <xdr:colOff>76200</xdr:colOff>
                    <xdr:row>36</xdr:row>
                    <xdr:rowOff>19050</xdr:rowOff>
                  </from>
                  <to>
                    <xdr:col>6</xdr:col>
                    <xdr:colOff>323850</xdr:colOff>
                    <xdr:row>37</xdr:row>
                    <xdr:rowOff>19050</xdr:rowOff>
                  </to>
                </anchor>
              </controlPr>
            </control>
          </mc:Choice>
        </mc:AlternateContent>
        <mc:AlternateContent xmlns:mc="http://schemas.openxmlformats.org/markup-compatibility/2006">
          <mc:Choice Requires="x14">
            <control shapeId="18570" r:id="rId60" name="Check Box 138">
              <controlPr defaultSize="0" autoFill="0" autoLine="0" autoPict="0">
                <anchor moveWithCells="1">
                  <from>
                    <xdr:col>6</xdr:col>
                    <xdr:colOff>76200</xdr:colOff>
                    <xdr:row>37</xdr:row>
                    <xdr:rowOff>19050</xdr:rowOff>
                  </from>
                  <to>
                    <xdr:col>6</xdr:col>
                    <xdr:colOff>323850</xdr:colOff>
                    <xdr:row>38</xdr:row>
                    <xdr:rowOff>19050</xdr:rowOff>
                  </to>
                </anchor>
              </controlPr>
            </control>
          </mc:Choice>
        </mc:AlternateContent>
        <mc:AlternateContent xmlns:mc="http://schemas.openxmlformats.org/markup-compatibility/2006">
          <mc:Choice Requires="x14">
            <control shapeId="18571" r:id="rId61" name="Check Box 139">
              <controlPr defaultSize="0" autoFill="0" autoLine="0" autoPict="0">
                <anchor moveWithCells="1">
                  <from>
                    <xdr:col>6</xdr:col>
                    <xdr:colOff>76200</xdr:colOff>
                    <xdr:row>37</xdr:row>
                    <xdr:rowOff>19050</xdr:rowOff>
                  </from>
                  <to>
                    <xdr:col>6</xdr:col>
                    <xdr:colOff>323850</xdr:colOff>
                    <xdr:row>38</xdr:row>
                    <xdr:rowOff>19050</xdr:rowOff>
                  </to>
                </anchor>
              </controlPr>
            </control>
          </mc:Choice>
        </mc:AlternateContent>
        <mc:AlternateContent xmlns:mc="http://schemas.openxmlformats.org/markup-compatibility/2006">
          <mc:Choice Requires="x14">
            <control shapeId="18572" r:id="rId62" name="Check Box 140">
              <controlPr defaultSize="0" autoFill="0" autoLine="0" autoPict="0">
                <anchor moveWithCells="1">
                  <from>
                    <xdr:col>6</xdr:col>
                    <xdr:colOff>76200</xdr:colOff>
                    <xdr:row>50</xdr:row>
                    <xdr:rowOff>19050</xdr:rowOff>
                  </from>
                  <to>
                    <xdr:col>6</xdr:col>
                    <xdr:colOff>323850</xdr:colOff>
                    <xdr:row>51</xdr:row>
                    <xdr:rowOff>19050</xdr:rowOff>
                  </to>
                </anchor>
              </controlPr>
            </control>
          </mc:Choice>
        </mc:AlternateContent>
        <mc:AlternateContent xmlns:mc="http://schemas.openxmlformats.org/markup-compatibility/2006">
          <mc:Choice Requires="x14">
            <control shapeId="18573" r:id="rId63" name="Check Box 141">
              <controlPr defaultSize="0" autoFill="0" autoLine="0" autoPict="0">
                <anchor moveWithCells="1">
                  <from>
                    <xdr:col>6</xdr:col>
                    <xdr:colOff>76200</xdr:colOff>
                    <xdr:row>50</xdr:row>
                    <xdr:rowOff>19050</xdr:rowOff>
                  </from>
                  <to>
                    <xdr:col>6</xdr:col>
                    <xdr:colOff>323850</xdr:colOff>
                    <xdr:row>51</xdr:row>
                    <xdr:rowOff>19050</xdr:rowOff>
                  </to>
                </anchor>
              </controlPr>
            </control>
          </mc:Choice>
        </mc:AlternateContent>
        <mc:AlternateContent xmlns:mc="http://schemas.openxmlformats.org/markup-compatibility/2006">
          <mc:Choice Requires="x14">
            <control shapeId="18574" r:id="rId64" name="Check Box 142">
              <controlPr defaultSize="0" autoFill="0" autoLine="0" autoPict="0">
                <anchor moveWithCells="1">
                  <from>
                    <xdr:col>6</xdr:col>
                    <xdr:colOff>76200</xdr:colOff>
                    <xdr:row>51</xdr:row>
                    <xdr:rowOff>19050</xdr:rowOff>
                  </from>
                  <to>
                    <xdr:col>6</xdr:col>
                    <xdr:colOff>323850</xdr:colOff>
                    <xdr:row>52</xdr:row>
                    <xdr:rowOff>19050</xdr:rowOff>
                  </to>
                </anchor>
              </controlPr>
            </control>
          </mc:Choice>
        </mc:AlternateContent>
        <mc:AlternateContent xmlns:mc="http://schemas.openxmlformats.org/markup-compatibility/2006">
          <mc:Choice Requires="x14">
            <control shapeId="18575" r:id="rId65" name="Check Box 143">
              <controlPr defaultSize="0" autoFill="0" autoLine="0" autoPict="0">
                <anchor moveWithCells="1">
                  <from>
                    <xdr:col>6</xdr:col>
                    <xdr:colOff>76200</xdr:colOff>
                    <xdr:row>51</xdr:row>
                    <xdr:rowOff>19050</xdr:rowOff>
                  </from>
                  <to>
                    <xdr:col>6</xdr:col>
                    <xdr:colOff>323850</xdr:colOff>
                    <xdr:row>52</xdr:row>
                    <xdr:rowOff>19050</xdr:rowOff>
                  </to>
                </anchor>
              </controlPr>
            </control>
          </mc:Choice>
        </mc:AlternateContent>
        <mc:AlternateContent xmlns:mc="http://schemas.openxmlformats.org/markup-compatibility/2006">
          <mc:Choice Requires="x14">
            <control shapeId="18576" r:id="rId66" name="Check Box 144">
              <controlPr defaultSize="0" autoFill="0" autoLine="0" autoPict="0">
                <anchor moveWithCells="1">
                  <from>
                    <xdr:col>6</xdr:col>
                    <xdr:colOff>76200</xdr:colOff>
                    <xdr:row>33</xdr:row>
                    <xdr:rowOff>19050</xdr:rowOff>
                  </from>
                  <to>
                    <xdr:col>6</xdr:col>
                    <xdr:colOff>323850</xdr:colOff>
                    <xdr:row>34</xdr:row>
                    <xdr:rowOff>19050</xdr:rowOff>
                  </to>
                </anchor>
              </controlPr>
            </control>
          </mc:Choice>
        </mc:AlternateContent>
        <mc:AlternateContent xmlns:mc="http://schemas.openxmlformats.org/markup-compatibility/2006">
          <mc:Choice Requires="x14">
            <control shapeId="18577" r:id="rId67" name="Check Box 145">
              <controlPr defaultSize="0" autoFill="0" autoLine="0" autoPict="0">
                <anchor moveWithCells="1">
                  <from>
                    <xdr:col>6</xdr:col>
                    <xdr:colOff>76200</xdr:colOff>
                    <xdr:row>33</xdr:row>
                    <xdr:rowOff>19050</xdr:rowOff>
                  </from>
                  <to>
                    <xdr:col>6</xdr:col>
                    <xdr:colOff>323850</xdr:colOff>
                    <xdr:row>34</xdr:row>
                    <xdr:rowOff>19050</xdr:rowOff>
                  </to>
                </anchor>
              </controlPr>
            </control>
          </mc:Choice>
        </mc:AlternateContent>
        <mc:AlternateContent xmlns:mc="http://schemas.openxmlformats.org/markup-compatibility/2006">
          <mc:Choice Requires="x14">
            <control shapeId="18608" r:id="rId68" name="Check Box 176">
              <controlPr defaultSize="0" autoFill="0" autoLine="0" autoPict="0">
                <anchor moveWithCells="1">
                  <from>
                    <xdr:col>6</xdr:col>
                    <xdr:colOff>76200</xdr:colOff>
                    <xdr:row>83</xdr:row>
                    <xdr:rowOff>171450</xdr:rowOff>
                  </from>
                  <to>
                    <xdr:col>6</xdr:col>
                    <xdr:colOff>323850</xdr:colOff>
                    <xdr:row>84</xdr:row>
                    <xdr:rowOff>152400</xdr:rowOff>
                  </to>
                </anchor>
              </controlPr>
            </control>
          </mc:Choice>
        </mc:AlternateContent>
        <mc:AlternateContent xmlns:mc="http://schemas.openxmlformats.org/markup-compatibility/2006">
          <mc:Choice Requires="x14">
            <control shapeId="18609" r:id="rId69" name="Check Box 177">
              <controlPr defaultSize="0" autoFill="0" autoLine="0" autoPict="0">
                <anchor moveWithCells="1">
                  <from>
                    <xdr:col>6</xdr:col>
                    <xdr:colOff>76200</xdr:colOff>
                    <xdr:row>93</xdr:row>
                    <xdr:rowOff>0</xdr:rowOff>
                  </from>
                  <to>
                    <xdr:col>6</xdr:col>
                    <xdr:colOff>323850</xdr:colOff>
                    <xdr:row>94</xdr:row>
                    <xdr:rowOff>0</xdr:rowOff>
                  </to>
                </anchor>
              </controlPr>
            </control>
          </mc:Choice>
        </mc:AlternateContent>
        <mc:AlternateContent xmlns:mc="http://schemas.openxmlformats.org/markup-compatibility/2006">
          <mc:Choice Requires="x14">
            <control shapeId="18615" r:id="rId70" name="Check Box 183">
              <controlPr defaultSize="0" autoFill="0" autoLine="0" autoPict="0">
                <anchor moveWithCells="1">
                  <from>
                    <xdr:col>6</xdr:col>
                    <xdr:colOff>76200</xdr:colOff>
                    <xdr:row>97</xdr:row>
                    <xdr:rowOff>19050</xdr:rowOff>
                  </from>
                  <to>
                    <xdr:col>6</xdr:col>
                    <xdr:colOff>323850</xdr:colOff>
                    <xdr:row>98</xdr:row>
                    <xdr:rowOff>19050</xdr:rowOff>
                  </to>
                </anchor>
              </controlPr>
            </control>
          </mc:Choice>
        </mc:AlternateContent>
        <mc:AlternateContent xmlns:mc="http://schemas.openxmlformats.org/markup-compatibility/2006">
          <mc:Choice Requires="x14">
            <control shapeId="18616" r:id="rId71" name="Check Box 184">
              <controlPr defaultSize="0" autoFill="0" autoLine="0" autoPict="0">
                <anchor moveWithCells="1">
                  <from>
                    <xdr:col>6</xdr:col>
                    <xdr:colOff>76200</xdr:colOff>
                    <xdr:row>97</xdr:row>
                    <xdr:rowOff>19050</xdr:rowOff>
                  </from>
                  <to>
                    <xdr:col>6</xdr:col>
                    <xdr:colOff>323850</xdr:colOff>
                    <xdr:row>98</xdr:row>
                    <xdr:rowOff>19050</xdr:rowOff>
                  </to>
                </anchor>
              </controlPr>
            </control>
          </mc:Choice>
        </mc:AlternateContent>
        <mc:AlternateContent xmlns:mc="http://schemas.openxmlformats.org/markup-compatibility/2006">
          <mc:Choice Requires="x14">
            <control shapeId="18617" r:id="rId72" name="Check Box 185">
              <controlPr defaultSize="0" autoFill="0" autoLine="0" autoPict="0">
                <anchor moveWithCells="1">
                  <from>
                    <xdr:col>6</xdr:col>
                    <xdr:colOff>76200</xdr:colOff>
                    <xdr:row>99</xdr:row>
                    <xdr:rowOff>19050</xdr:rowOff>
                  </from>
                  <to>
                    <xdr:col>6</xdr:col>
                    <xdr:colOff>323850</xdr:colOff>
                    <xdr:row>100</xdr:row>
                    <xdr:rowOff>19050</xdr:rowOff>
                  </to>
                </anchor>
              </controlPr>
            </control>
          </mc:Choice>
        </mc:AlternateContent>
        <mc:AlternateContent xmlns:mc="http://schemas.openxmlformats.org/markup-compatibility/2006">
          <mc:Choice Requires="x14">
            <control shapeId="18618" r:id="rId73" name="Check Box 186">
              <controlPr defaultSize="0" autoFill="0" autoLine="0" autoPict="0">
                <anchor moveWithCells="1">
                  <from>
                    <xdr:col>6</xdr:col>
                    <xdr:colOff>76200</xdr:colOff>
                    <xdr:row>99</xdr:row>
                    <xdr:rowOff>19050</xdr:rowOff>
                  </from>
                  <to>
                    <xdr:col>6</xdr:col>
                    <xdr:colOff>323850</xdr:colOff>
                    <xdr:row>100</xdr:row>
                    <xdr:rowOff>19050</xdr:rowOff>
                  </to>
                </anchor>
              </controlPr>
            </control>
          </mc:Choice>
        </mc:AlternateContent>
        <mc:AlternateContent xmlns:mc="http://schemas.openxmlformats.org/markup-compatibility/2006">
          <mc:Choice Requires="x14">
            <control shapeId="18619" r:id="rId74" name="Check Box 187">
              <controlPr defaultSize="0" autoFill="0" autoLine="0" autoPict="0">
                <anchor moveWithCells="1">
                  <from>
                    <xdr:col>6</xdr:col>
                    <xdr:colOff>76200</xdr:colOff>
                    <xdr:row>98</xdr:row>
                    <xdr:rowOff>19050</xdr:rowOff>
                  </from>
                  <to>
                    <xdr:col>6</xdr:col>
                    <xdr:colOff>323850</xdr:colOff>
                    <xdr:row>99</xdr:row>
                    <xdr:rowOff>19050</xdr:rowOff>
                  </to>
                </anchor>
              </controlPr>
            </control>
          </mc:Choice>
        </mc:AlternateContent>
        <mc:AlternateContent xmlns:mc="http://schemas.openxmlformats.org/markup-compatibility/2006">
          <mc:Choice Requires="x14">
            <control shapeId="18620" r:id="rId75" name="Check Box 188">
              <controlPr defaultSize="0" autoFill="0" autoLine="0" autoPict="0">
                <anchor moveWithCells="1">
                  <from>
                    <xdr:col>6</xdr:col>
                    <xdr:colOff>76200</xdr:colOff>
                    <xdr:row>98</xdr:row>
                    <xdr:rowOff>19050</xdr:rowOff>
                  </from>
                  <to>
                    <xdr:col>6</xdr:col>
                    <xdr:colOff>323850</xdr:colOff>
                    <xdr:row>99</xdr:row>
                    <xdr:rowOff>19050</xdr:rowOff>
                  </to>
                </anchor>
              </controlPr>
            </control>
          </mc:Choice>
        </mc:AlternateContent>
        <mc:AlternateContent xmlns:mc="http://schemas.openxmlformats.org/markup-compatibility/2006">
          <mc:Choice Requires="x14">
            <control shapeId="18621" r:id="rId76" name="Check Box 189">
              <controlPr defaultSize="0" autoFill="0" autoLine="0" autoPict="0">
                <anchor moveWithCells="1">
                  <from>
                    <xdr:col>6</xdr:col>
                    <xdr:colOff>76200</xdr:colOff>
                    <xdr:row>101</xdr:row>
                    <xdr:rowOff>19050</xdr:rowOff>
                  </from>
                  <to>
                    <xdr:col>6</xdr:col>
                    <xdr:colOff>323850</xdr:colOff>
                    <xdr:row>102</xdr:row>
                    <xdr:rowOff>19050</xdr:rowOff>
                  </to>
                </anchor>
              </controlPr>
            </control>
          </mc:Choice>
        </mc:AlternateContent>
        <mc:AlternateContent xmlns:mc="http://schemas.openxmlformats.org/markup-compatibility/2006">
          <mc:Choice Requires="x14">
            <control shapeId="18623" r:id="rId77" name="Check Box 191">
              <controlPr defaultSize="0" autoFill="0" autoLine="0" autoPict="0">
                <anchor moveWithCells="1">
                  <from>
                    <xdr:col>6</xdr:col>
                    <xdr:colOff>76200</xdr:colOff>
                    <xdr:row>102</xdr:row>
                    <xdr:rowOff>19050</xdr:rowOff>
                  </from>
                  <to>
                    <xdr:col>6</xdr:col>
                    <xdr:colOff>323850</xdr:colOff>
                    <xdr:row>103</xdr:row>
                    <xdr:rowOff>19050</xdr:rowOff>
                  </to>
                </anchor>
              </controlPr>
            </control>
          </mc:Choice>
        </mc:AlternateContent>
        <mc:AlternateContent xmlns:mc="http://schemas.openxmlformats.org/markup-compatibility/2006">
          <mc:Choice Requires="x14">
            <control shapeId="18624" r:id="rId78" name="Check Box 192">
              <controlPr defaultSize="0" autoFill="0" autoLine="0" autoPict="0">
                <anchor moveWithCells="1">
                  <from>
                    <xdr:col>6</xdr:col>
                    <xdr:colOff>76200</xdr:colOff>
                    <xdr:row>102</xdr:row>
                    <xdr:rowOff>19050</xdr:rowOff>
                  </from>
                  <to>
                    <xdr:col>6</xdr:col>
                    <xdr:colOff>323850</xdr:colOff>
                    <xdr:row>103</xdr:row>
                    <xdr:rowOff>19050</xdr:rowOff>
                  </to>
                </anchor>
              </controlPr>
            </control>
          </mc:Choice>
        </mc:AlternateContent>
        <mc:AlternateContent xmlns:mc="http://schemas.openxmlformats.org/markup-compatibility/2006">
          <mc:Choice Requires="x14">
            <control shapeId="18625" r:id="rId79" name="Check Box 193">
              <controlPr defaultSize="0" autoFill="0" autoLine="0" autoPict="0">
                <anchor moveWithCells="1">
                  <from>
                    <xdr:col>6</xdr:col>
                    <xdr:colOff>76200</xdr:colOff>
                    <xdr:row>103</xdr:row>
                    <xdr:rowOff>19050</xdr:rowOff>
                  </from>
                  <to>
                    <xdr:col>6</xdr:col>
                    <xdr:colOff>323850</xdr:colOff>
                    <xdr:row>104</xdr:row>
                    <xdr:rowOff>19050</xdr:rowOff>
                  </to>
                </anchor>
              </controlPr>
            </control>
          </mc:Choice>
        </mc:AlternateContent>
        <mc:AlternateContent xmlns:mc="http://schemas.openxmlformats.org/markup-compatibility/2006">
          <mc:Choice Requires="x14">
            <control shapeId="18626" r:id="rId80" name="Check Box 194">
              <controlPr defaultSize="0" autoFill="0" autoLine="0" autoPict="0">
                <anchor moveWithCells="1">
                  <from>
                    <xdr:col>6</xdr:col>
                    <xdr:colOff>76200</xdr:colOff>
                    <xdr:row>103</xdr:row>
                    <xdr:rowOff>19050</xdr:rowOff>
                  </from>
                  <to>
                    <xdr:col>6</xdr:col>
                    <xdr:colOff>323850</xdr:colOff>
                    <xdr:row>104</xdr:row>
                    <xdr:rowOff>19050</xdr:rowOff>
                  </to>
                </anchor>
              </controlPr>
            </control>
          </mc:Choice>
        </mc:AlternateContent>
        <mc:AlternateContent xmlns:mc="http://schemas.openxmlformats.org/markup-compatibility/2006">
          <mc:Choice Requires="x14">
            <control shapeId="18627" r:id="rId81" name="Check Box 195">
              <controlPr defaultSize="0" autoFill="0" autoLine="0" autoPict="0">
                <anchor moveWithCells="1">
                  <from>
                    <xdr:col>6</xdr:col>
                    <xdr:colOff>76200</xdr:colOff>
                    <xdr:row>104</xdr:row>
                    <xdr:rowOff>19050</xdr:rowOff>
                  </from>
                  <to>
                    <xdr:col>6</xdr:col>
                    <xdr:colOff>323850</xdr:colOff>
                    <xdr:row>105</xdr:row>
                    <xdr:rowOff>19050</xdr:rowOff>
                  </to>
                </anchor>
              </controlPr>
            </control>
          </mc:Choice>
        </mc:AlternateContent>
        <mc:AlternateContent xmlns:mc="http://schemas.openxmlformats.org/markup-compatibility/2006">
          <mc:Choice Requires="x14">
            <control shapeId="18628" r:id="rId82" name="Check Box 196">
              <controlPr defaultSize="0" autoFill="0" autoLine="0" autoPict="0">
                <anchor moveWithCells="1">
                  <from>
                    <xdr:col>6</xdr:col>
                    <xdr:colOff>76200</xdr:colOff>
                    <xdr:row>104</xdr:row>
                    <xdr:rowOff>19050</xdr:rowOff>
                  </from>
                  <to>
                    <xdr:col>6</xdr:col>
                    <xdr:colOff>323850</xdr:colOff>
                    <xdr:row>105</xdr:row>
                    <xdr:rowOff>19050</xdr:rowOff>
                  </to>
                </anchor>
              </controlPr>
            </control>
          </mc:Choice>
        </mc:AlternateContent>
        <mc:AlternateContent xmlns:mc="http://schemas.openxmlformats.org/markup-compatibility/2006">
          <mc:Choice Requires="x14">
            <control shapeId="18629" r:id="rId83" name="Check Box 197">
              <controlPr defaultSize="0" autoFill="0" autoLine="0" autoPict="0">
                <anchor moveWithCells="1">
                  <from>
                    <xdr:col>6</xdr:col>
                    <xdr:colOff>76200</xdr:colOff>
                    <xdr:row>105</xdr:row>
                    <xdr:rowOff>19050</xdr:rowOff>
                  </from>
                  <to>
                    <xdr:col>6</xdr:col>
                    <xdr:colOff>323850</xdr:colOff>
                    <xdr:row>106</xdr:row>
                    <xdr:rowOff>19050</xdr:rowOff>
                  </to>
                </anchor>
              </controlPr>
            </control>
          </mc:Choice>
        </mc:AlternateContent>
        <mc:AlternateContent xmlns:mc="http://schemas.openxmlformats.org/markup-compatibility/2006">
          <mc:Choice Requires="x14">
            <control shapeId="18630" r:id="rId84" name="Check Box 198">
              <controlPr defaultSize="0" autoFill="0" autoLine="0" autoPict="0">
                <anchor moveWithCells="1">
                  <from>
                    <xdr:col>6</xdr:col>
                    <xdr:colOff>76200</xdr:colOff>
                    <xdr:row>105</xdr:row>
                    <xdr:rowOff>19050</xdr:rowOff>
                  </from>
                  <to>
                    <xdr:col>6</xdr:col>
                    <xdr:colOff>323850</xdr:colOff>
                    <xdr:row>106</xdr:row>
                    <xdr:rowOff>19050</xdr:rowOff>
                  </to>
                </anchor>
              </controlPr>
            </control>
          </mc:Choice>
        </mc:AlternateContent>
        <mc:AlternateContent xmlns:mc="http://schemas.openxmlformats.org/markup-compatibility/2006">
          <mc:Choice Requires="x14">
            <control shapeId="18651" r:id="rId85" name="Check Box 219">
              <controlPr defaultSize="0" autoFill="0" autoLine="0" autoPict="0">
                <anchor moveWithCells="1">
                  <from>
                    <xdr:col>6</xdr:col>
                    <xdr:colOff>76200</xdr:colOff>
                    <xdr:row>68</xdr:row>
                    <xdr:rowOff>19050</xdr:rowOff>
                  </from>
                  <to>
                    <xdr:col>6</xdr:col>
                    <xdr:colOff>323850</xdr:colOff>
                    <xdr:row>69</xdr:row>
                    <xdr:rowOff>19050</xdr:rowOff>
                  </to>
                </anchor>
              </controlPr>
            </control>
          </mc:Choice>
        </mc:AlternateContent>
        <mc:AlternateContent xmlns:mc="http://schemas.openxmlformats.org/markup-compatibility/2006">
          <mc:Choice Requires="x14">
            <control shapeId="18652" r:id="rId86" name="Check Box 220">
              <controlPr defaultSize="0" autoFill="0" autoLine="0" autoPict="0">
                <anchor moveWithCells="1">
                  <from>
                    <xdr:col>6</xdr:col>
                    <xdr:colOff>76200</xdr:colOff>
                    <xdr:row>68</xdr:row>
                    <xdr:rowOff>19050</xdr:rowOff>
                  </from>
                  <to>
                    <xdr:col>6</xdr:col>
                    <xdr:colOff>323850</xdr:colOff>
                    <xdr:row>69</xdr:row>
                    <xdr:rowOff>19050</xdr:rowOff>
                  </to>
                </anchor>
              </controlPr>
            </control>
          </mc:Choice>
        </mc:AlternateContent>
        <mc:AlternateContent xmlns:mc="http://schemas.openxmlformats.org/markup-compatibility/2006">
          <mc:Choice Requires="x14">
            <control shapeId="18655" r:id="rId87" name="Check Box 223">
              <controlPr defaultSize="0" autoFill="0" autoLine="0" autoPict="0">
                <anchor moveWithCells="1">
                  <from>
                    <xdr:col>6</xdr:col>
                    <xdr:colOff>76200</xdr:colOff>
                    <xdr:row>94</xdr:row>
                    <xdr:rowOff>0</xdr:rowOff>
                  </from>
                  <to>
                    <xdr:col>6</xdr:col>
                    <xdr:colOff>323850</xdr:colOff>
                    <xdr:row>95</xdr:row>
                    <xdr:rowOff>0</xdr:rowOff>
                  </to>
                </anchor>
              </controlPr>
            </control>
          </mc:Choice>
        </mc:AlternateContent>
        <mc:AlternateContent xmlns:mc="http://schemas.openxmlformats.org/markup-compatibility/2006">
          <mc:Choice Requires="x14">
            <control shapeId="18656" r:id="rId88" name="Check Box 224">
              <controlPr defaultSize="0" autoFill="0" autoLine="0" autoPict="0">
                <anchor moveWithCells="1">
                  <from>
                    <xdr:col>6</xdr:col>
                    <xdr:colOff>76200</xdr:colOff>
                    <xdr:row>110</xdr:row>
                    <xdr:rowOff>0</xdr:rowOff>
                  </from>
                  <to>
                    <xdr:col>6</xdr:col>
                    <xdr:colOff>323850</xdr:colOff>
                    <xdr:row>111</xdr:row>
                    <xdr:rowOff>0</xdr:rowOff>
                  </to>
                </anchor>
              </controlPr>
            </control>
          </mc:Choice>
        </mc:AlternateContent>
        <mc:AlternateContent xmlns:mc="http://schemas.openxmlformats.org/markup-compatibility/2006">
          <mc:Choice Requires="x14">
            <control shapeId="18667" r:id="rId89" name="Check Box 235">
              <controlPr defaultSize="0" autoFill="0" autoLine="0" autoPict="0">
                <anchor moveWithCells="1">
                  <from>
                    <xdr:col>6</xdr:col>
                    <xdr:colOff>76200</xdr:colOff>
                    <xdr:row>72</xdr:row>
                    <xdr:rowOff>19050</xdr:rowOff>
                  </from>
                  <to>
                    <xdr:col>6</xdr:col>
                    <xdr:colOff>323850</xdr:colOff>
                    <xdr:row>73</xdr:row>
                    <xdr:rowOff>19050</xdr:rowOff>
                  </to>
                </anchor>
              </controlPr>
            </control>
          </mc:Choice>
        </mc:AlternateContent>
        <mc:AlternateContent xmlns:mc="http://schemas.openxmlformats.org/markup-compatibility/2006">
          <mc:Choice Requires="x14">
            <control shapeId="18668" r:id="rId90" name="Check Box 236">
              <controlPr defaultSize="0" autoFill="0" autoLine="0" autoPict="0">
                <anchor moveWithCells="1">
                  <from>
                    <xdr:col>6</xdr:col>
                    <xdr:colOff>76200</xdr:colOff>
                    <xdr:row>72</xdr:row>
                    <xdr:rowOff>19050</xdr:rowOff>
                  </from>
                  <to>
                    <xdr:col>6</xdr:col>
                    <xdr:colOff>323850</xdr:colOff>
                    <xdr:row>73</xdr:row>
                    <xdr:rowOff>19050</xdr:rowOff>
                  </to>
                </anchor>
              </controlPr>
            </control>
          </mc:Choice>
        </mc:AlternateContent>
        <mc:AlternateContent xmlns:mc="http://schemas.openxmlformats.org/markup-compatibility/2006">
          <mc:Choice Requires="x14">
            <control shapeId="18669" r:id="rId91" name="Check Box 237">
              <controlPr defaultSize="0" autoFill="0" autoLine="0" autoPict="0">
                <anchor moveWithCells="1">
                  <from>
                    <xdr:col>6</xdr:col>
                    <xdr:colOff>76200</xdr:colOff>
                    <xdr:row>74</xdr:row>
                    <xdr:rowOff>19050</xdr:rowOff>
                  </from>
                  <to>
                    <xdr:col>6</xdr:col>
                    <xdr:colOff>323850</xdr:colOff>
                    <xdr:row>75</xdr:row>
                    <xdr:rowOff>19050</xdr:rowOff>
                  </to>
                </anchor>
              </controlPr>
            </control>
          </mc:Choice>
        </mc:AlternateContent>
        <mc:AlternateContent xmlns:mc="http://schemas.openxmlformats.org/markup-compatibility/2006">
          <mc:Choice Requires="x14">
            <control shapeId="18670" r:id="rId92" name="Check Box 238">
              <controlPr defaultSize="0" autoFill="0" autoLine="0" autoPict="0">
                <anchor moveWithCells="1">
                  <from>
                    <xdr:col>6</xdr:col>
                    <xdr:colOff>76200</xdr:colOff>
                    <xdr:row>74</xdr:row>
                    <xdr:rowOff>19050</xdr:rowOff>
                  </from>
                  <to>
                    <xdr:col>6</xdr:col>
                    <xdr:colOff>323850</xdr:colOff>
                    <xdr:row>75</xdr:row>
                    <xdr:rowOff>19050</xdr:rowOff>
                  </to>
                </anchor>
              </controlPr>
            </control>
          </mc:Choice>
        </mc:AlternateContent>
        <mc:AlternateContent xmlns:mc="http://schemas.openxmlformats.org/markup-compatibility/2006">
          <mc:Choice Requires="x14">
            <control shapeId="18671" r:id="rId93" name="Check Box 239">
              <controlPr defaultSize="0" autoFill="0" autoLine="0" autoPict="0">
                <anchor moveWithCells="1">
                  <from>
                    <xdr:col>6</xdr:col>
                    <xdr:colOff>76200</xdr:colOff>
                    <xdr:row>73</xdr:row>
                    <xdr:rowOff>19050</xdr:rowOff>
                  </from>
                  <to>
                    <xdr:col>6</xdr:col>
                    <xdr:colOff>323850</xdr:colOff>
                    <xdr:row>74</xdr:row>
                    <xdr:rowOff>19050</xdr:rowOff>
                  </to>
                </anchor>
              </controlPr>
            </control>
          </mc:Choice>
        </mc:AlternateContent>
        <mc:AlternateContent xmlns:mc="http://schemas.openxmlformats.org/markup-compatibility/2006">
          <mc:Choice Requires="x14">
            <control shapeId="18672" r:id="rId94" name="Check Box 240">
              <controlPr defaultSize="0" autoFill="0" autoLine="0" autoPict="0">
                <anchor moveWithCells="1">
                  <from>
                    <xdr:col>6</xdr:col>
                    <xdr:colOff>76200</xdr:colOff>
                    <xdr:row>73</xdr:row>
                    <xdr:rowOff>19050</xdr:rowOff>
                  </from>
                  <to>
                    <xdr:col>6</xdr:col>
                    <xdr:colOff>323850</xdr:colOff>
                    <xdr:row>74</xdr:row>
                    <xdr:rowOff>19050</xdr:rowOff>
                  </to>
                </anchor>
              </controlPr>
            </control>
          </mc:Choice>
        </mc:AlternateContent>
        <mc:AlternateContent xmlns:mc="http://schemas.openxmlformats.org/markup-compatibility/2006">
          <mc:Choice Requires="x14">
            <control shapeId="18673" r:id="rId95" name="Check Box 241">
              <controlPr defaultSize="0" autoFill="0" autoLine="0" autoPict="0">
                <anchor moveWithCells="1">
                  <from>
                    <xdr:col>6</xdr:col>
                    <xdr:colOff>76200</xdr:colOff>
                    <xdr:row>76</xdr:row>
                    <xdr:rowOff>19050</xdr:rowOff>
                  </from>
                  <to>
                    <xdr:col>6</xdr:col>
                    <xdr:colOff>323850</xdr:colOff>
                    <xdr:row>77</xdr:row>
                    <xdr:rowOff>19050</xdr:rowOff>
                  </to>
                </anchor>
              </controlPr>
            </control>
          </mc:Choice>
        </mc:AlternateContent>
        <mc:AlternateContent xmlns:mc="http://schemas.openxmlformats.org/markup-compatibility/2006">
          <mc:Choice Requires="x14">
            <control shapeId="18674" r:id="rId96" name="Check Box 242">
              <controlPr defaultSize="0" autoFill="0" autoLine="0" autoPict="0">
                <anchor moveWithCells="1">
                  <from>
                    <xdr:col>6</xdr:col>
                    <xdr:colOff>76200</xdr:colOff>
                    <xdr:row>76</xdr:row>
                    <xdr:rowOff>19050</xdr:rowOff>
                  </from>
                  <to>
                    <xdr:col>6</xdr:col>
                    <xdr:colOff>323850</xdr:colOff>
                    <xdr:row>77</xdr:row>
                    <xdr:rowOff>19050</xdr:rowOff>
                  </to>
                </anchor>
              </controlPr>
            </control>
          </mc:Choice>
        </mc:AlternateContent>
        <mc:AlternateContent xmlns:mc="http://schemas.openxmlformats.org/markup-compatibility/2006">
          <mc:Choice Requires="x14">
            <control shapeId="18675" r:id="rId97" name="Check Box 243">
              <controlPr defaultSize="0" autoFill="0" autoLine="0" autoPict="0">
                <anchor moveWithCells="1">
                  <from>
                    <xdr:col>6</xdr:col>
                    <xdr:colOff>76200</xdr:colOff>
                    <xdr:row>77</xdr:row>
                    <xdr:rowOff>19050</xdr:rowOff>
                  </from>
                  <to>
                    <xdr:col>6</xdr:col>
                    <xdr:colOff>323850</xdr:colOff>
                    <xdr:row>78</xdr:row>
                    <xdr:rowOff>19050</xdr:rowOff>
                  </to>
                </anchor>
              </controlPr>
            </control>
          </mc:Choice>
        </mc:AlternateContent>
        <mc:AlternateContent xmlns:mc="http://schemas.openxmlformats.org/markup-compatibility/2006">
          <mc:Choice Requires="x14">
            <control shapeId="18676" r:id="rId98" name="Check Box 244">
              <controlPr defaultSize="0" autoFill="0" autoLine="0" autoPict="0">
                <anchor moveWithCells="1">
                  <from>
                    <xdr:col>6</xdr:col>
                    <xdr:colOff>76200</xdr:colOff>
                    <xdr:row>77</xdr:row>
                    <xdr:rowOff>19050</xdr:rowOff>
                  </from>
                  <to>
                    <xdr:col>6</xdr:col>
                    <xdr:colOff>323850</xdr:colOff>
                    <xdr:row>78</xdr:row>
                    <xdr:rowOff>19050</xdr:rowOff>
                  </to>
                </anchor>
              </controlPr>
            </control>
          </mc:Choice>
        </mc:AlternateContent>
        <mc:AlternateContent xmlns:mc="http://schemas.openxmlformats.org/markup-compatibility/2006">
          <mc:Choice Requires="x14">
            <control shapeId="18677" r:id="rId99" name="Check Box 245">
              <controlPr defaultSize="0" autoFill="0" autoLine="0" autoPict="0">
                <anchor moveWithCells="1">
                  <from>
                    <xdr:col>6</xdr:col>
                    <xdr:colOff>76200</xdr:colOff>
                    <xdr:row>78</xdr:row>
                    <xdr:rowOff>19050</xdr:rowOff>
                  </from>
                  <to>
                    <xdr:col>6</xdr:col>
                    <xdr:colOff>323850</xdr:colOff>
                    <xdr:row>79</xdr:row>
                    <xdr:rowOff>19050</xdr:rowOff>
                  </to>
                </anchor>
              </controlPr>
            </control>
          </mc:Choice>
        </mc:AlternateContent>
        <mc:AlternateContent xmlns:mc="http://schemas.openxmlformats.org/markup-compatibility/2006">
          <mc:Choice Requires="x14">
            <control shapeId="18678" r:id="rId100" name="Check Box 246">
              <controlPr defaultSize="0" autoFill="0" autoLine="0" autoPict="0">
                <anchor moveWithCells="1">
                  <from>
                    <xdr:col>6</xdr:col>
                    <xdr:colOff>76200</xdr:colOff>
                    <xdr:row>78</xdr:row>
                    <xdr:rowOff>19050</xdr:rowOff>
                  </from>
                  <to>
                    <xdr:col>6</xdr:col>
                    <xdr:colOff>323850</xdr:colOff>
                    <xdr:row>79</xdr:row>
                    <xdr:rowOff>19050</xdr:rowOff>
                  </to>
                </anchor>
              </controlPr>
            </control>
          </mc:Choice>
        </mc:AlternateContent>
        <mc:AlternateContent xmlns:mc="http://schemas.openxmlformats.org/markup-compatibility/2006">
          <mc:Choice Requires="x14">
            <control shapeId="18695" r:id="rId101" name="Check Box 263">
              <controlPr defaultSize="0" autoFill="0" autoLine="0" autoPict="0">
                <anchor moveWithCells="1">
                  <from>
                    <xdr:col>6</xdr:col>
                    <xdr:colOff>76200</xdr:colOff>
                    <xdr:row>38</xdr:row>
                    <xdr:rowOff>19050</xdr:rowOff>
                  </from>
                  <to>
                    <xdr:col>6</xdr:col>
                    <xdr:colOff>323850</xdr:colOff>
                    <xdr:row>39</xdr:row>
                    <xdr:rowOff>19050</xdr:rowOff>
                  </to>
                </anchor>
              </controlPr>
            </control>
          </mc:Choice>
        </mc:AlternateContent>
        <mc:AlternateContent xmlns:mc="http://schemas.openxmlformats.org/markup-compatibility/2006">
          <mc:Choice Requires="x14">
            <control shapeId="18696" r:id="rId102" name="Check Box 264">
              <controlPr defaultSize="0" autoFill="0" autoLine="0" autoPict="0">
                <anchor moveWithCells="1">
                  <from>
                    <xdr:col>6</xdr:col>
                    <xdr:colOff>76200</xdr:colOff>
                    <xdr:row>38</xdr:row>
                    <xdr:rowOff>19050</xdr:rowOff>
                  </from>
                  <to>
                    <xdr:col>6</xdr:col>
                    <xdr:colOff>323850</xdr:colOff>
                    <xdr:row>39</xdr:row>
                    <xdr:rowOff>19050</xdr:rowOff>
                  </to>
                </anchor>
              </controlPr>
            </control>
          </mc:Choice>
        </mc:AlternateContent>
        <mc:AlternateContent xmlns:mc="http://schemas.openxmlformats.org/markup-compatibility/2006">
          <mc:Choice Requires="x14">
            <control shapeId="18697" r:id="rId103" name="Check Box 265">
              <controlPr defaultSize="0" autoFill="0" autoLine="0" autoPict="0">
                <anchor moveWithCells="1">
                  <from>
                    <xdr:col>6</xdr:col>
                    <xdr:colOff>76200</xdr:colOff>
                    <xdr:row>52</xdr:row>
                    <xdr:rowOff>19050</xdr:rowOff>
                  </from>
                  <to>
                    <xdr:col>6</xdr:col>
                    <xdr:colOff>323850</xdr:colOff>
                    <xdr:row>53</xdr:row>
                    <xdr:rowOff>19050</xdr:rowOff>
                  </to>
                </anchor>
              </controlPr>
            </control>
          </mc:Choice>
        </mc:AlternateContent>
        <mc:AlternateContent xmlns:mc="http://schemas.openxmlformats.org/markup-compatibility/2006">
          <mc:Choice Requires="x14">
            <control shapeId="18698" r:id="rId104" name="Check Box 266">
              <controlPr defaultSize="0" autoFill="0" autoLine="0" autoPict="0">
                <anchor moveWithCells="1">
                  <from>
                    <xdr:col>6</xdr:col>
                    <xdr:colOff>76200</xdr:colOff>
                    <xdr:row>52</xdr:row>
                    <xdr:rowOff>19050</xdr:rowOff>
                  </from>
                  <to>
                    <xdr:col>6</xdr:col>
                    <xdr:colOff>323850</xdr:colOff>
                    <xdr:row>53</xdr:row>
                    <xdr:rowOff>19050</xdr:rowOff>
                  </to>
                </anchor>
              </controlPr>
            </control>
          </mc:Choice>
        </mc:AlternateContent>
        <mc:AlternateContent xmlns:mc="http://schemas.openxmlformats.org/markup-compatibility/2006">
          <mc:Choice Requires="x14">
            <control shapeId="18699" r:id="rId105" name="Check Box 267">
              <controlPr defaultSize="0" autoFill="0" autoLine="0" autoPict="0">
                <anchor moveWithCells="1">
                  <from>
                    <xdr:col>6</xdr:col>
                    <xdr:colOff>76200</xdr:colOff>
                    <xdr:row>69</xdr:row>
                    <xdr:rowOff>19050</xdr:rowOff>
                  </from>
                  <to>
                    <xdr:col>6</xdr:col>
                    <xdr:colOff>323850</xdr:colOff>
                    <xdr:row>70</xdr:row>
                    <xdr:rowOff>19050</xdr:rowOff>
                  </to>
                </anchor>
              </controlPr>
            </control>
          </mc:Choice>
        </mc:AlternateContent>
        <mc:AlternateContent xmlns:mc="http://schemas.openxmlformats.org/markup-compatibility/2006">
          <mc:Choice Requires="x14">
            <control shapeId="18700" r:id="rId106" name="Check Box 268">
              <controlPr defaultSize="0" autoFill="0" autoLine="0" autoPict="0">
                <anchor moveWithCells="1">
                  <from>
                    <xdr:col>6</xdr:col>
                    <xdr:colOff>76200</xdr:colOff>
                    <xdr:row>69</xdr:row>
                    <xdr:rowOff>19050</xdr:rowOff>
                  </from>
                  <to>
                    <xdr:col>6</xdr:col>
                    <xdr:colOff>323850</xdr:colOff>
                    <xdr:row>70</xdr:row>
                    <xdr:rowOff>19050</xdr:rowOff>
                  </to>
                </anchor>
              </controlPr>
            </control>
          </mc:Choice>
        </mc:AlternateContent>
        <mc:AlternateContent xmlns:mc="http://schemas.openxmlformats.org/markup-compatibility/2006">
          <mc:Choice Requires="x14">
            <control shapeId="18701" r:id="rId107" name="Check Box 269">
              <controlPr defaultSize="0" autoFill="0" autoLine="0" autoPict="0">
                <anchor moveWithCells="1">
                  <from>
                    <xdr:col>6</xdr:col>
                    <xdr:colOff>76200</xdr:colOff>
                    <xdr:row>79</xdr:row>
                    <xdr:rowOff>19050</xdr:rowOff>
                  </from>
                  <to>
                    <xdr:col>6</xdr:col>
                    <xdr:colOff>323850</xdr:colOff>
                    <xdr:row>80</xdr:row>
                    <xdr:rowOff>19050</xdr:rowOff>
                  </to>
                </anchor>
              </controlPr>
            </control>
          </mc:Choice>
        </mc:AlternateContent>
        <mc:AlternateContent xmlns:mc="http://schemas.openxmlformats.org/markup-compatibility/2006">
          <mc:Choice Requires="x14">
            <control shapeId="18702" r:id="rId108" name="Check Box 270">
              <controlPr defaultSize="0" autoFill="0" autoLine="0" autoPict="0">
                <anchor moveWithCells="1">
                  <from>
                    <xdr:col>6</xdr:col>
                    <xdr:colOff>76200</xdr:colOff>
                    <xdr:row>79</xdr:row>
                    <xdr:rowOff>19050</xdr:rowOff>
                  </from>
                  <to>
                    <xdr:col>6</xdr:col>
                    <xdr:colOff>323850</xdr:colOff>
                    <xdr:row>80</xdr:row>
                    <xdr:rowOff>19050</xdr:rowOff>
                  </to>
                </anchor>
              </controlPr>
            </control>
          </mc:Choice>
        </mc:AlternateContent>
        <mc:AlternateContent xmlns:mc="http://schemas.openxmlformats.org/markup-compatibility/2006">
          <mc:Choice Requires="x14">
            <control shapeId="18703" r:id="rId109" name="Check Box 271">
              <controlPr defaultSize="0" autoFill="0" autoLine="0" autoPict="0">
                <anchor moveWithCells="1">
                  <from>
                    <xdr:col>6</xdr:col>
                    <xdr:colOff>76200</xdr:colOff>
                    <xdr:row>106</xdr:row>
                    <xdr:rowOff>19050</xdr:rowOff>
                  </from>
                  <to>
                    <xdr:col>6</xdr:col>
                    <xdr:colOff>323850</xdr:colOff>
                    <xdr:row>107</xdr:row>
                    <xdr:rowOff>19050</xdr:rowOff>
                  </to>
                </anchor>
              </controlPr>
            </control>
          </mc:Choice>
        </mc:AlternateContent>
        <mc:AlternateContent xmlns:mc="http://schemas.openxmlformats.org/markup-compatibility/2006">
          <mc:Choice Requires="x14">
            <control shapeId="18704" r:id="rId110" name="Check Box 272">
              <controlPr defaultSize="0" autoFill="0" autoLine="0" autoPict="0">
                <anchor moveWithCells="1">
                  <from>
                    <xdr:col>6</xdr:col>
                    <xdr:colOff>76200</xdr:colOff>
                    <xdr:row>106</xdr:row>
                    <xdr:rowOff>19050</xdr:rowOff>
                  </from>
                  <to>
                    <xdr:col>6</xdr:col>
                    <xdr:colOff>323850</xdr:colOff>
                    <xdr:row>107</xdr:row>
                    <xdr:rowOff>19050</xdr:rowOff>
                  </to>
                </anchor>
              </controlPr>
            </control>
          </mc:Choice>
        </mc:AlternateContent>
        <mc:AlternateContent xmlns:mc="http://schemas.openxmlformats.org/markup-compatibility/2006">
          <mc:Choice Requires="x14">
            <control shapeId="18705" r:id="rId111" name="Check Box 273">
              <controlPr defaultSize="0" autoFill="0" autoLine="0" autoPict="0">
                <anchor moveWithCells="1">
                  <from>
                    <xdr:col>6</xdr:col>
                    <xdr:colOff>76200</xdr:colOff>
                    <xdr:row>107</xdr:row>
                    <xdr:rowOff>19050</xdr:rowOff>
                  </from>
                  <to>
                    <xdr:col>6</xdr:col>
                    <xdr:colOff>323850</xdr:colOff>
                    <xdr:row>108</xdr:row>
                    <xdr:rowOff>19050</xdr:rowOff>
                  </to>
                </anchor>
              </controlPr>
            </control>
          </mc:Choice>
        </mc:AlternateContent>
        <mc:AlternateContent xmlns:mc="http://schemas.openxmlformats.org/markup-compatibility/2006">
          <mc:Choice Requires="x14">
            <control shapeId="18706" r:id="rId112" name="Check Box 274">
              <controlPr defaultSize="0" autoFill="0" autoLine="0" autoPict="0">
                <anchor moveWithCells="1">
                  <from>
                    <xdr:col>6</xdr:col>
                    <xdr:colOff>76200</xdr:colOff>
                    <xdr:row>107</xdr:row>
                    <xdr:rowOff>19050</xdr:rowOff>
                  </from>
                  <to>
                    <xdr:col>6</xdr:col>
                    <xdr:colOff>323850</xdr:colOff>
                    <xdr:row>108</xdr:row>
                    <xdr:rowOff>19050</xdr:rowOff>
                  </to>
                </anchor>
              </controlPr>
            </control>
          </mc:Choice>
        </mc:AlternateContent>
        <mc:AlternateContent xmlns:mc="http://schemas.openxmlformats.org/markup-compatibility/2006">
          <mc:Choice Requires="x14">
            <control shapeId="18707" r:id="rId113" name="Check Box 275">
              <controlPr defaultSize="0" autoFill="0" autoLine="0" autoPict="0">
                <anchor moveWithCells="1">
                  <from>
                    <xdr:col>6</xdr:col>
                    <xdr:colOff>76200</xdr:colOff>
                    <xdr:row>108</xdr:row>
                    <xdr:rowOff>19050</xdr:rowOff>
                  </from>
                  <to>
                    <xdr:col>6</xdr:col>
                    <xdr:colOff>323850</xdr:colOff>
                    <xdr:row>109</xdr:row>
                    <xdr:rowOff>19050</xdr:rowOff>
                  </to>
                </anchor>
              </controlPr>
            </control>
          </mc:Choice>
        </mc:AlternateContent>
        <mc:AlternateContent xmlns:mc="http://schemas.openxmlformats.org/markup-compatibility/2006">
          <mc:Choice Requires="x14">
            <control shapeId="18708" r:id="rId114" name="Check Box 276">
              <controlPr defaultSize="0" autoFill="0" autoLine="0" autoPict="0">
                <anchor moveWithCells="1">
                  <from>
                    <xdr:col>6</xdr:col>
                    <xdr:colOff>76200</xdr:colOff>
                    <xdr:row>108</xdr:row>
                    <xdr:rowOff>19050</xdr:rowOff>
                  </from>
                  <to>
                    <xdr:col>6</xdr:col>
                    <xdr:colOff>323850</xdr:colOff>
                    <xdr:row>109</xdr:row>
                    <xdr:rowOff>19050</xdr:rowOff>
                  </to>
                </anchor>
              </controlPr>
            </control>
          </mc:Choice>
        </mc:AlternateContent>
        <mc:AlternateContent xmlns:mc="http://schemas.openxmlformats.org/markup-compatibility/2006">
          <mc:Choice Requires="x14">
            <control shapeId="18711" r:id="rId115" name="Check Box 279">
              <controlPr defaultSize="0" autoFill="0" autoLine="0" autoPict="0">
                <anchor moveWithCells="1">
                  <from>
                    <xdr:col>6</xdr:col>
                    <xdr:colOff>76200</xdr:colOff>
                    <xdr:row>44</xdr:row>
                    <xdr:rowOff>19050</xdr:rowOff>
                  </from>
                  <to>
                    <xdr:col>6</xdr:col>
                    <xdr:colOff>323850</xdr:colOff>
                    <xdr:row>45</xdr:row>
                    <xdr:rowOff>19050</xdr:rowOff>
                  </to>
                </anchor>
              </controlPr>
            </control>
          </mc:Choice>
        </mc:AlternateContent>
        <mc:AlternateContent xmlns:mc="http://schemas.openxmlformats.org/markup-compatibility/2006">
          <mc:Choice Requires="x14">
            <control shapeId="18712" r:id="rId116" name="Check Box 280">
              <controlPr defaultSize="0" autoFill="0" autoLine="0" autoPict="0">
                <anchor moveWithCells="1">
                  <from>
                    <xdr:col>6</xdr:col>
                    <xdr:colOff>76200</xdr:colOff>
                    <xdr:row>44</xdr:row>
                    <xdr:rowOff>19050</xdr:rowOff>
                  </from>
                  <to>
                    <xdr:col>6</xdr:col>
                    <xdr:colOff>323850</xdr:colOff>
                    <xdr:row>45</xdr:row>
                    <xdr:rowOff>19050</xdr:rowOff>
                  </to>
                </anchor>
              </controlPr>
            </control>
          </mc:Choice>
        </mc:AlternateContent>
        <mc:AlternateContent xmlns:mc="http://schemas.openxmlformats.org/markup-compatibility/2006">
          <mc:Choice Requires="x14">
            <control shapeId="18717" r:id="rId117" name="Check Box 285">
              <controlPr defaultSize="0" autoFill="0" autoLine="0" autoPict="0">
                <anchor moveWithCells="1">
                  <from>
                    <xdr:col>6</xdr:col>
                    <xdr:colOff>76200</xdr:colOff>
                    <xdr:row>61</xdr:row>
                    <xdr:rowOff>19050</xdr:rowOff>
                  </from>
                  <to>
                    <xdr:col>6</xdr:col>
                    <xdr:colOff>323850</xdr:colOff>
                    <xdr:row>62</xdr:row>
                    <xdr:rowOff>19050</xdr:rowOff>
                  </to>
                </anchor>
              </controlPr>
            </control>
          </mc:Choice>
        </mc:AlternateContent>
        <mc:AlternateContent xmlns:mc="http://schemas.openxmlformats.org/markup-compatibility/2006">
          <mc:Choice Requires="x14">
            <control shapeId="18718" r:id="rId118" name="Check Box 286">
              <controlPr defaultSize="0" autoFill="0" autoLine="0" autoPict="0">
                <anchor moveWithCells="1">
                  <from>
                    <xdr:col>6</xdr:col>
                    <xdr:colOff>76200</xdr:colOff>
                    <xdr:row>61</xdr:row>
                    <xdr:rowOff>19050</xdr:rowOff>
                  </from>
                  <to>
                    <xdr:col>6</xdr:col>
                    <xdr:colOff>323850</xdr:colOff>
                    <xdr:row>62</xdr:row>
                    <xdr:rowOff>19050</xdr:rowOff>
                  </to>
                </anchor>
              </controlPr>
            </control>
          </mc:Choice>
        </mc:AlternateContent>
        <mc:AlternateContent xmlns:mc="http://schemas.openxmlformats.org/markup-compatibility/2006">
          <mc:Choice Requires="x14">
            <control shapeId="18719" r:id="rId119" name="Check Box 287">
              <controlPr defaultSize="0" autoFill="0" autoLine="0" autoPict="0">
                <anchor moveWithCells="1">
                  <from>
                    <xdr:col>6</xdr:col>
                    <xdr:colOff>76200</xdr:colOff>
                    <xdr:row>75</xdr:row>
                    <xdr:rowOff>19050</xdr:rowOff>
                  </from>
                  <to>
                    <xdr:col>6</xdr:col>
                    <xdr:colOff>323850</xdr:colOff>
                    <xdr:row>76</xdr:row>
                    <xdr:rowOff>19050</xdr:rowOff>
                  </to>
                </anchor>
              </controlPr>
            </control>
          </mc:Choice>
        </mc:AlternateContent>
        <mc:AlternateContent xmlns:mc="http://schemas.openxmlformats.org/markup-compatibility/2006">
          <mc:Choice Requires="x14">
            <control shapeId="18720" r:id="rId120" name="Check Box 288">
              <controlPr defaultSize="0" autoFill="0" autoLine="0" autoPict="0">
                <anchor moveWithCells="1">
                  <from>
                    <xdr:col>6</xdr:col>
                    <xdr:colOff>76200</xdr:colOff>
                    <xdr:row>75</xdr:row>
                    <xdr:rowOff>19050</xdr:rowOff>
                  </from>
                  <to>
                    <xdr:col>6</xdr:col>
                    <xdr:colOff>323850</xdr:colOff>
                    <xdr:row>76</xdr:row>
                    <xdr:rowOff>19050</xdr:rowOff>
                  </to>
                </anchor>
              </controlPr>
            </control>
          </mc:Choice>
        </mc:AlternateContent>
        <mc:AlternateContent xmlns:mc="http://schemas.openxmlformats.org/markup-compatibility/2006">
          <mc:Choice Requires="x14">
            <control shapeId="18721" r:id="rId121" name="Check Box 289">
              <controlPr defaultSize="0" autoFill="0" autoLine="0" autoPict="0">
                <anchor moveWithCells="1">
                  <from>
                    <xdr:col>6</xdr:col>
                    <xdr:colOff>76200</xdr:colOff>
                    <xdr:row>28</xdr:row>
                    <xdr:rowOff>19050</xdr:rowOff>
                  </from>
                  <to>
                    <xdr:col>6</xdr:col>
                    <xdr:colOff>323850</xdr:colOff>
                    <xdr:row>29</xdr:row>
                    <xdr:rowOff>19050</xdr:rowOff>
                  </to>
                </anchor>
              </controlPr>
            </control>
          </mc:Choice>
        </mc:AlternateContent>
        <mc:AlternateContent xmlns:mc="http://schemas.openxmlformats.org/markup-compatibility/2006">
          <mc:Choice Requires="x14">
            <control shapeId="18722" r:id="rId122" name="Check Box 290">
              <controlPr defaultSize="0" autoFill="0" autoLine="0" autoPict="0">
                <anchor moveWithCells="1">
                  <from>
                    <xdr:col>6</xdr:col>
                    <xdr:colOff>76200</xdr:colOff>
                    <xdr:row>28</xdr:row>
                    <xdr:rowOff>19050</xdr:rowOff>
                  </from>
                  <to>
                    <xdr:col>6</xdr:col>
                    <xdr:colOff>323850</xdr:colOff>
                    <xdr:row>29</xdr:row>
                    <xdr:rowOff>19050</xdr:rowOff>
                  </to>
                </anchor>
              </controlPr>
            </control>
          </mc:Choice>
        </mc:AlternateContent>
        <mc:AlternateContent xmlns:mc="http://schemas.openxmlformats.org/markup-compatibility/2006">
          <mc:Choice Requires="x14">
            <control shapeId="18723" r:id="rId123" name="Check Box 291">
              <controlPr defaultSize="0" autoFill="0" autoLine="0" autoPict="0">
                <anchor moveWithCells="1">
                  <from>
                    <xdr:col>6</xdr:col>
                    <xdr:colOff>76200</xdr:colOff>
                    <xdr:row>30</xdr:row>
                    <xdr:rowOff>19050</xdr:rowOff>
                  </from>
                  <to>
                    <xdr:col>6</xdr:col>
                    <xdr:colOff>323850</xdr:colOff>
                    <xdr:row>31</xdr:row>
                    <xdr:rowOff>19050</xdr:rowOff>
                  </to>
                </anchor>
              </controlPr>
            </control>
          </mc:Choice>
        </mc:AlternateContent>
        <mc:AlternateContent xmlns:mc="http://schemas.openxmlformats.org/markup-compatibility/2006">
          <mc:Choice Requires="x14">
            <control shapeId="18724" r:id="rId124" name="Check Box 292">
              <controlPr defaultSize="0" autoFill="0" autoLine="0" autoPict="0">
                <anchor moveWithCells="1">
                  <from>
                    <xdr:col>6</xdr:col>
                    <xdr:colOff>76200</xdr:colOff>
                    <xdr:row>30</xdr:row>
                    <xdr:rowOff>19050</xdr:rowOff>
                  </from>
                  <to>
                    <xdr:col>6</xdr:col>
                    <xdr:colOff>323850</xdr:colOff>
                    <xdr:row>31</xdr:row>
                    <xdr:rowOff>19050</xdr:rowOff>
                  </to>
                </anchor>
              </controlPr>
            </control>
          </mc:Choice>
        </mc:AlternateContent>
        <mc:AlternateContent xmlns:mc="http://schemas.openxmlformats.org/markup-compatibility/2006">
          <mc:Choice Requires="x14">
            <control shapeId="18727" r:id="rId125" name="Check Box 295">
              <controlPr defaultSize="0" autoFill="0" autoLine="0" autoPict="0">
                <anchor moveWithCells="1">
                  <from>
                    <xdr:col>6</xdr:col>
                    <xdr:colOff>76200</xdr:colOff>
                    <xdr:row>100</xdr:row>
                    <xdr:rowOff>19050</xdr:rowOff>
                  </from>
                  <to>
                    <xdr:col>6</xdr:col>
                    <xdr:colOff>323850</xdr:colOff>
                    <xdr:row>101</xdr:row>
                    <xdr:rowOff>19050</xdr:rowOff>
                  </to>
                </anchor>
              </controlPr>
            </control>
          </mc:Choice>
        </mc:AlternateContent>
        <mc:AlternateContent xmlns:mc="http://schemas.openxmlformats.org/markup-compatibility/2006">
          <mc:Choice Requires="x14">
            <control shapeId="18728" r:id="rId126" name="Check Box 296">
              <controlPr defaultSize="0" autoFill="0" autoLine="0" autoPict="0">
                <anchor moveWithCells="1">
                  <from>
                    <xdr:col>6</xdr:col>
                    <xdr:colOff>76200</xdr:colOff>
                    <xdr:row>100</xdr:row>
                    <xdr:rowOff>19050</xdr:rowOff>
                  </from>
                  <to>
                    <xdr:col>6</xdr:col>
                    <xdr:colOff>323850</xdr:colOff>
                    <xdr:row>101</xdr:row>
                    <xdr:rowOff>19050</xdr:rowOff>
                  </to>
                </anchor>
              </controlPr>
            </control>
          </mc:Choice>
        </mc:AlternateContent>
        <mc:AlternateContent xmlns:mc="http://schemas.openxmlformats.org/markup-compatibility/2006">
          <mc:Choice Requires="x14">
            <control shapeId="18732" r:id="rId127" name="Check Box 300">
              <controlPr defaultSize="0" autoFill="0" autoLine="0" autoPict="0">
                <anchor moveWithCells="1">
                  <from>
                    <xdr:col>6</xdr:col>
                    <xdr:colOff>76200</xdr:colOff>
                    <xdr:row>81</xdr:row>
                    <xdr:rowOff>0</xdr:rowOff>
                  </from>
                  <to>
                    <xdr:col>6</xdr:col>
                    <xdr:colOff>323850</xdr:colOff>
                    <xdr:row>82</xdr:row>
                    <xdr:rowOff>0</xdr:rowOff>
                  </to>
                </anchor>
              </controlPr>
            </control>
          </mc:Choice>
        </mc:AlternateContent>
        <mc:AlternateContent xmlns:mc="http://schemas.openxmlformats.org/markup-compatibility/2006">
          <mc:Choice Requires="x14">
            <control shapeId="18734" r:id="rId128" name="Check Box 302">
              <controlPr defaultSize="0" autoFill="0" autoLine="0" autoPict="0">
                <anchor moveWithCells="1">
                  <from>
                    <xdr:col>6</xdr:col>
                    <xdr:colOff>76200</xdr:colOff>
                    <xdr:row>86</xdr:row>
                    <xdr:rowOff>0</xdr:rowOff>
                  </from>
                  <to>
                    <xdr:col>6</xdr:col>
                    <xdr:colOff>323850</xdr:colOff>
                    <xdr:row>87</xdr:row>
                    <xdr:rowOff>0</xdr:rowOff>
                  </to>
                </anchor>
              </controlPr>
            </control>
          </mc:Choice>
        </mc:AlternateContent>
        <mc:AlternateContent xmlns:mc="http://schemas.openxmlformats.org/markup-compatibility/2006">
          <mc:Choice Requires="x14">
            <control shapeId="18735" r:id="rId129" name="Check Box 303">
              <controlPr defaultSize="0" autoFill="0" autoLine="0" autoPict="0">
                <anchor moveWithCells="1">
                  <from>
                    <xdr:col>6</xdr:col>
                    <xdr:colOff>76200</xdr:colOff>
                    <xdr:row>88</xdr:row>
                    <xdr:rowOff>19050</xdr:rowOff>
                  </from>
                  <to>
                    <xdr:col>6</xdr:col>
                    <xdr:colOff>323850</xdr:colOff>
                    <xdr:row>89</xdr:row>
                    <xdr:rowOff>19050</xdr:rowOff>
                  </to>
                </anchor>
              </controlPr>
            </control>
          </mc:Choice>
        </mc:AlternateContent>
        <mc:AlternateContent xmlns:mc="http://schemas.openxmlformats.org/markup-compatibility/2006">
          <mc:Choice Requires="x14">
            <control shapeId="18736" r:id="rId130" name="Check Box 304">
              <controlPr defaultSize="0" autoFill="0" autoLine="0" autoPict="0">
                <anchor moveWithCells="1">
                  <from>
                    <xdr:col>6</xdr:col>
                    <xdr:colOff>76200</xdr:colOff>
                    <xdr:row>88</xdr:row>
                    <xdr:rowOff>19050</xdr:rowOff>
                  </from>
                  <to>
                    <xdr:col>6</xdr:col>
                    <xdr:colOff>323850</xdr:colOff>
                    <xdr:row>89</xdr:row>
                    <xdr:rowOff>19050</xdr:rowOff>
                  </to>
                </anchor>
              </controlPr>
            </control>
          </mc:Choice>
        </mc:AlternateContent>
        <mc:AlternateContent xmlns:mc="http://schemas.openxmlformats.org/markup-compatibility/2006">
          <mc:Choice Requires="x14">
            <control shapeId="18737" r:id="rId131" name="Check Box 305">
              <controlPr defaultSize="0" autoFill="0" autoLine="0" autoPict="0">
                <anchor moveWithCells="1">
                  <from>
                    <xdr:col>6</xdr:col>
                    <xdr:colOff>76200</xdr:colOff>
                    <xdr:row>87</xdr:row>
                    <xdr:rowOff>19050</xdr:rowOff>
                  </from>
                  <to>
                    <xdr:col>6</xdr:col>
                    <xdr:colOff>323850</xdr:colOff>
                    <xdr:row>88</xdr:row>
                    <xdr:rowOff>19050</xdr:rowOff>
                  </to>
                </anchor>
              </controlPr>
            </control>
          </mc:Choice>
        </mc:AlternateContent>
        <mc:AlternateContent xmlns:mc="http://schemas.openxmlformats.org/markup-compatibility/2006">
          <mc:Choice Requires="x14">
            <control shapeId="18738" r:id="rId132" name="Check Box 306">
              <controlPr defaultSize="0" autoFill="0" autoLine="0" autoPict="0">
                <anchor moveWithCells="1">
                  <from>
                    <xdr:col>6</xdr:col>
                    <xdr:colOff>76200</xdr:colOff>
                    <xdr:row>87</xdr:row>
                    <xdr:rowOff>19050</xdr:rowOff>
                  </from>
                  <to>
                    <xdr:col>6</xdr:col>
                    <xdr:colOff>323850</xdr:colOff>
                    <xdr:row>88</xdr:row>
                    <xdr:rowOff>19050</xdr:rowOff>
                  </to>
                </anchor>
              </controlPr>
            </control>
          </mc:Choice>
        </mc:AlternateContent>
        <mc:AlternateContent xmlns:mc="http://schemas.openxmlformats.org/markup-compatibility/2006">
          <mc:Choice Requires="x14">
            <control shapeId="18741" r:id="rId133" name="Check Box 309">
              <controlPr defaultSize="0" autoFill="0" autoLine="0" autoPict="0">
                <anchor moveWithCells="1">
                  <from>
                    <xdr:col>6</xdr:col>
                    <xdr:colOff>76200</xdr:colOff>
                    <xdr:row>90</xdr:row>
                    <xdr:rowOff>19050</xdr:rowOff>
                  </from>
                  <to>
                    <xdr:col>6</xdr:col>
                    <xdr:colOff>323850</xdr:colOff>
                    <xdr:row>91</xdr:row>
                    <xdr:rowOff>19050</xdr:rowOff>
                  </to>
                </anchor>
              </controlPr>
            </control>
          </mc:Choice>
        </mc:AlternateContent>
        <mc:AlternateContent xmlns:mc="http://schemas.openxmlformats.org/markup-compatibility/2006">
          <mc:Choice Requires="x14">
            <control shapeId="18742" r:id="rId134" name="Check Box 310">
              <controlPr defaultSize="0" autoFill="0" autoLine="0" autoPict="0">
                <anchor moveWithCells="1">
                  <from>
                    <xdr:col>6</xdr:col>
                    <xdr:colOff>76200</xdr:colOff>
                    <xdr:row>90</xdr:row>
                    <xdr:rowOff>19050</xdr:rowOff>
                  </from>
                  <to>
                    <xdr:col>6</xdr:col>
                    <xdr:colOff>323850</xdr:colOff>
                    <xdr:row>91</xdr:row>
                    <xdr:rowOff>19050</xdr:rowOff>
                  </to>
                </anchor>
              </controlPr>
            </control>
          </mc:Choice>
        </mc:AlternateContent>
        <mc:AlternateContent xmlns:mc="http://schemas.openxmlformats.org/markup-compatibility/2006">
          <mc:Choice Requires="x14">
            <control shapeId="18743" r:id="rId135" name="Check Box 311">
              <controlPr defaultSize="0" autoFill="0" autoLine="0" autoPict="0">
                <anchor moveWithCells="1">
                  <from>
                    <xdr:col>6</xdr:col>
                    <xdr:colOff>76200</xdr:colOff>
                    <xdr:row>91</xdr:row>
                    <xdr:rowOff>19050</xdr:rowOff>
                  </from>
                  <to>
                    <xdr:col>6</xdr:col>
                    <xdr:colOff>323850</xdr:colOff>
                    <xdr:row>92</xdr:row>
                    <xdr:rowOff>19050</xdr:rowOff>
                  </to>
                </anchor>
              </controlPr>
            </control>
          </mc:Choice>
        </mc:AlternateContent>
        <mc:AlternateContent xmlns:mc="http://schemas.openxmlformats.org/markup-compatibility/2006">
          <mc:Choice Requires="x14">
            <control shapeId="18744" r:id="rId136" name="Check Box 312">
              <controlPr defaultSize="0" autoFill="0" autoLine="0" autoPict="0">
                <anchor moveWithCells="1">
                  <from>
                    <xdr:col>6</xdr:col>
                    <xdr:colOff>76200</xdr:colOff>
                    <xdr:row>91</xdr:row>
                    <xdr:rowOff>19050</xdr:rowOff>
                  </from>
                  <to>
                    <xdr:col>6</xdr:col>
                    <xdr:colOff>323850</xdr:colOff>
                    <xdr:row>92</xdr:row>
                    <xdr:rowOff>19050</xdr:rowOff>
                  </to>
                </anchor>
              </controlPr>
            </control>
          </mc:Choice>
        </mc:AlternateContent>
        <mc:AlternateContent xmlns:mc="http://schemas.openxmlformats.org/markup-compatibility/2006">
          <mc:Choice Requires="x14">
            <control shapeId="18745" r:id="rId137" name="Check Box 313">
              <controlPr defaultSize="0" autoFill="0" autoLine="0" autoPict="0">
                <anchor moveWithCells="1">
                  <from>
                    <xdr:col>6</xdr:col>
                    <xdr:colOff>76200</xdr:colOff>
                    <xdr:row>92</xdr:row>
                    <xdr:rowOff>19050</xdr:rowOff>
                  </from>
                  <to>
                    <xdr:col>6</xdr:col>
                    <xdr:colOff>323850</xdr:colOff>
                    <xdr:row>93</xdr:row>
                    <xdr:rowOff>19050</xdr:rowOff>
                  </to>
                </anchor>
              </controlPr>
            </control>
          </mc:Choice>
        </mc:AlternateContent>
        <mc:AlternateContent xmlns:mc="http://schemas.openxmlformats.org/markup-compatibility/2006">
          <mc:Choice Requires="x14">
            <control shapeId="18746" r:id="rId138" name="Check Box 314">
              <controlPr defaultSize="0" autoFill="0" autoLine="0" autoPict="0">
                <anchor moveWithCells="1">
                  <from>
                    <xdr:col>6</xdr:col>
                    <xdr:colOff>76200</xdr:colOff>
                    <xdr:row>92</xdr:row>
                    <xdr:rowOff>19050</xdr:rowOff>
                  </from>
                  <to>
                    <xdr:col>6</xdr:col>
                    <xdr:colOff>323850</xdr:colOff>
                    <xdr:row>93</xdr:row>
                    <xdr:rowOff>19050</xdr:rowOff>
                  </to>
                </anchor>
              </controlPr>
            </control>
          </mc:Choice>
        </mc:AlternateContent>
        <mc:AlternateContent xmlns:mc="http://schemas.openxmlformats.org/markup-compatibility/2006">
          <mc:Choice Requires="x14">
            <control shapeId="18747" r:id="rId139" name="Check Box 315">
              <controlPr defaultSize="0" autoFill="0" autoLine="0" autoPict="0">
                <anchor moveWithCells="1">
                  <from>
                    <xdr:col>6</xdr:col>
                    <xdr:colOff>76200</xdr:colOff>
                    <xdr:row>89</xdr:row>
                    <xdr:rowOff>19050</xdr:rowOff>
                  </from>
                  <to>
                    <xdr:col>6</xdr:col>
                    <xdr:colOff>323850</xdr:colOff>
                    <xdr:row>90</xdr:row>
                    <xdr:rowOff>19050</xdr:rowOff>
                  </to>
                </anchor>
              </controlPr>
            </control>
          </mc:Choice>
        </mc:AlternateContent>
        <mc:AlternateContent xmlns:mc="http://schemas.openxmlformats.org/markup-compatibility/2006">
          <mc:Choice Requires="x14">
            <control shapeId="18748" r:id="rId140" name="Check Box 316">
              <controlPr defaultSize="0" autoFill="0" autoLine="0" autoPict="0">
                <anchor moveWithCells="1">
                  <from>
                    <xdr:col>6</xdr:col>
                    <xdr:colOff>76200</xdr:colOff>
                    <xdr:row>89</xdr:row>
                    <xdr:rowOff>19050</xdr:rowOff>
                  </from>
                  <to>
                    <xdr:col>6</xdr:col>
                    <xdr:colOff>323850</xdr:colOff>
                    <xdr:row>90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2C21-C781-4708-A42E-FCBA39197AC9}">
  <sheetPr>
    <tabColor rgb="FF00B0F0"/>
  </sheetPr>
  <dimension ref="A1:S241"/>
  <sheetViews>
    <sheetView zoomScale="80" zoomScaleNormal="80" workbookViewId="0">
      <selection activeCell="E225" sqref="E225"/>
    </sheetView>
  </sheetViews>
  <sheetFormatPr defaultColWidth="9.140625" defaultRowHeight="14.25" outlineLevelRow="2" x14ac:dyDescent="0.25"/>
  <cols>
    <col min="1" max="1" width="10.7109375" style="15" customWidth="1"/>
    <col min="2" max="2" width="40.7109375" style="804" customWidth="1"/>
    <col min="3" max="3" width="12.5703125" style="13" customWidth="1"/>
    <col min="4" max="4" width="30.7109375" style="804" customWidth="1"/>
    <col min="5" max="5" width="9.42578125" style="743" customWidth="1"/>
    <col min="6" max="18" width="9.42578125" style="13" customWidth="1"/>
    <col min="19" max="16384" width="9.140625" style="13"/>
  </cols>
  <sheetData>
    <row r="1" spans="1:5" s="17" customFormat="1" ht="12.75" x14ac:dyDescent="0.2">
      <c r="B1" s="789"/>
      <c r="D1" s="1051"/>
      <c r="E1" s="743"/>
    </row>
    <row r="2" spans="1:5" s="18" customFormat="1" ht="18.75" x14ac:dyDescent="0.3">
      <c r="B2" s="790"/>
      <c r="D2" s="790"/>
      <c r="E2" s="743"/>
    </row>
    <row r="3" spans="1:5" s="17" customFormat="1" ht="25.5" x14ac:dyDescent="0.35">
      <c r="A3" s="18"/>
      <c r="B3" s="791"/>
      <c r="C3" s="20"/>
      <c r="D3" s="1052"/>
      <c r="E3" s="743"/>
    </row>
    <row r="4" spans="1:5" s="20" customFormat="1" ht="15.75" x14ac:dyDescent="0.25">
      <c r="B4" s="789"/>
      <c r="D4" s="1052"/>
      <c r="E4" s="743"/>
    </row>
    <row r="5" spans="1:5" s="17" customFormat="1" ht="12.75" x14ac:dyDescent="0.2">
      <c r="A5" s="44"/>
      <c r="B5" s="792"/>
      <c r="D5" s="1051"/>
      <c r="E5" s="743"/>
    </row>
    <row r="6" spans="1:5" s="17" customFormat="1" ht="12.75" x14ac:dyDescent="0.2">
      <c r="A6" s="44"/>
      <c r="B6" s="792"/>
      <c r="D6" s="1051"/>
      <c r="E6" s="743"/>
    </row>
    <row r="7" spans="1:5" s="20" customFormat="1" ht="15.75" x14ac:dyDescent="0.25">
      <c r="A7" s="744" t="s">
        <v>632</v>
      </c>
      <c r="B7" s="793" t="str">
        <f>'OSNOVNI PODATKI'!D1</f>
        <v>Ana Pupedan</v>
      </c>
      <c r="C7" s="54"/>
      <c r="D7" s="1053"/>
      <c r="E7" s="743"/>
    </row>
    <row r="8" spans="1:5" s="20" customFormat="1" ht="15.75" x14ac:dyDescent="0.25">
      <c r="A8" s="744"/>
      <c r="B8" s="793" t="str">
        <f>'OSNOVNI PODATKI'!D2</f>
        <v>Slovenska 1, 1000 Ljubljana</v>
      </c>
      <c r="C8" s="54"/>
      <c r="D8" s="1053"/>
      <c r="E8" s="743"/>
    </row>
    <row r="9" spans="1:5" s="20" customFormat="1" ht="15.75" x14ac:dyDescent="0.25">
      <c r="A9" s="744" t="s">
        <v>633</v>
      </c>
      <c r="B9" s="793" t="str">
        <f>'OSNOVNI PODATKI'!D3</f>
        <v>ARHITEKT d.o.o.</v>
      </c>
      <c r="C9" s="54"/>
      <c r="D9" s="1053"/>
      <c r="E9" s="743"/>
    </row>
    <row r="10" spans="1:5" s="20" customFormat="1" ht="15.75" x14ac:dyDescent="0.25">
      <c r="A10" s="744" t="s">
        <v>80</v>
      </c>
      <c r="B10" s="793" t="str">
        <f>'OSNOVNI PODATKI'!D4</f>
        <v>vilablok</v>
      </c>
      <c r="C10" s="54"/>
      <c r="D10" s="1053"/>
      <c r="E10" s="743"/>
    </row>
    <row r="11" spans="1:5" s="20" customFormat="1" ht="15.75" x14ac:dyDescent="0.25">
      <c r="A11" s="745" t="s">
        <v>81</v>
      </c>
      <c r="B11" s="794">
        <f>'OSNOVNI PODATKI'!$D$5</f>
        <v>44612</v>
      </c>
      <c r="C11" s="78"/>
      <c r="D11" s="1054"/>
      <c r="E11" s="743"/>
    </row>
    <row r="12" spans="1:5" s="20" customFormat="1" ht="15.75" x14ac:dyDescent="0.25">
      <c r="A12" s="745" t="s">
        <v>813</v>
      </c>
      <c r="B12" s="1112" t="str">
        <f>'OSNOVNI PODATKI'!D6</f>
        <v>2022-01</v>
      </c>
      <c r="C12" s="1110"/>
      <c r="D12" s="1111"/>
      <c r="E12" s="743"/>
    </row>
    <row r="13" spans="1:5" s="17" customFormat="1" ht="18.75" x14ac:dyDescent="0.3">
      <c r="A13" s="18"/>
      <c r="B13" s="790"/>
      <c r="D13" s="1051"/>
      <c r="E13" s="743"/>
    </row>
    <row r="14" spans="1:5" s="83" customFormat="1" ht="25.5" x14ac:dyDescent="0.2">
      <c r="A14" s="387" t="s">
        <v>634</v>
      </c>
      <c r="B14" s="575"/>
      <c r="C14" s="387"/>
      <c r="D14" s="575"/>
      <c r="E14" s="743"/>
    </row>
    <row r="15" spans="1:5" s="18" customFormat="1" ht="18.75" x14ac:dyDescent="0.3">
      <c r="A15" s="805"/>
      <c r="B15" s="806"/>
      <c r="C15" s="807"/>
      <c r="D15" s="1055"/>
      <c r="E15" s="743"/>
    </row>
    <row r="16" spans="1:5" ht="24.75" x14ac:dyDescent="0.25">
      <c r="A16" s="750"/>
      <c r="B16" s="752"/>
      <c r="C16" s="752" t="s">
        <v>90</v>
      </c>
      <c r="D16" s="752" t="s">
        <v>811</v>
      </c>
    </row>
    <row r="17" spans="1:5" s="372" customFormat="1" x14ac:dyDescent="0.2">
      <c r="A17" s="753" t="s">
        <v>38</v>
      </c>
      <c r="B17" s="795" t="s">
        <v>39</v>
      </c>
      <c r="C17" s="755">
        <f>C18+C21</f>
        <v>0</v>
      </c>
      <c r="D17" s="1056"/>
      <c r="E17" s="743"/>
    </row>
    <row r="18" spans="1:5" s="373" customFormat="1" ht="12.75" x14ac:dyDescent="0.2">
      <c r="A18" s="1010" t="s">
        <v>40</v>
      </c>
      <c r="B18" s="1011" t="s">
        <v>85</v>
      </c>
      <c r="C18" s="1012">
        <f>SUM(C19:C20)</f>
        <v>0</v>
      </c>
      <c r="D18" s="1019"/>
      <c r="E18" s="743"/>
    </row>
    <row r="19" spans="1:5" s="372" customFormat="1" x14ac:dyDescent="0.2">
      <c r="A19" s="757"/>
      <c r="B19" s="1006"/>
      <c r="C19" s="990">
        <v>0</v>
      </c>
      <c r="D19" s="1057"/>
      <c r="E19" s="743"/>
    </row>
    <row r="20" spans="1:5" s="372" customFormat="1" x14ac:dyDescent="0.2">
      <c r="A20" s="758"/>
      <c r="B20" s="992"/>
      <c r="C20" s="993">
        <v>0</v>
      </c>
      <c r="D20" s="1058"/>
      <c r="E20" s="743"/>
    </row>
    <row r="21" spans="1:5" s="373" customFormat="1" ht="12.75" x14ac:dyDescent="0.2">
      <c r="A21" s="1010" t="s">
        <v>41</v>
      </c>
      <c r="B21" s="1011" t="s">
        <v>86</v>
      </c>
      <c r="C21" s="1012">
        <f>SUM(C22:C23)</f>
        <v>0</v>
      </c>
      <c r="D21" s="1019"/>
      <c r="E21" s="743"/>
    </row>
    <row r="22" spans="1:5" s="372" customFormat="1" x14ac:dyDescent="0.2">
      <c r="A22" s="757"/>
      <c r="B22" s="1006"/>
      <c r="C22" s="990">
        <v>0</v>
      </c>
      <c r="D22" s="1057"/>
      <c r="E22" s="743"/>
    </row>
    <row r="23" spans="1:5" s="372" customFormat="1" x14ac:dyDescent="0.2">
      <c r="A23" s="760"/>
      <c r="B23" s="992"/>
      <c r="C23" s="993">
        <v>0</v>
      </c>
      <c r="D23" s="1058"/>
      <c r="E23" s="743"/>
    </row>
    <row r="24" spans="1:5" s="372" customFormat="1" x14ac:dyDescent="0.2">
      <c r="A24" s="762" t="s">
        <v>42</v>
      </c>
      <c r="B24" s="795" t="str">
        <f>'ARHIGRAM 5'!B21</f>
        <v>ZAGON</v>
      </c>
      <c r="C24" s="755">
        <f>+C25+C30+C35</f>
        <v>0</v>
      </c>
      <c r="D24" s="1056"/>
      <c r="E24" s="743"/>
    </row>
    <row r="25" spans="1:5" s="373" customFormat="1" ht="12.75" x14ac:dyDescent="0.2">
      <c r="A25" s="1013" t="s">
        <v>44</v>
      </c>
      <c r="B25" s="1014" t="str">
        <f>'ARHIGRAM 5'!B22</f>
        <v>ZAGON PROJEKTA</v>
      </c>
      <c r="C25" s="1012">
        <f>+C26+C27</f>
        <v>0</v>
      </c>
      <c r="D25" s="1019"/>
      <c r="E25" s="743"/>
    </row>
    <row r="26" spans="1:5" s="372" customFormat="1" x14ac:dyDescent="0.2">
      <c r="A26" s="1008" t="s">
        <v>631</v>
      </c>
      <c r="B26" s="1009"/>
      <c r="C26" s="962">
        <f>'ARHIGRAM 5'!I22</f>
        <v>0</v>
      </c>
      <c r="D26" s="1059"/>
      <c r="E26" s="743"/>
    </row>
    <row r="27" spans="1:5" s="372" customFormat="1" x14ac:dyDescent="0.2">
      <c r="A27" s="998" t="s">
        <v>268</v>
      </c>
      <c r="B27" s="999"/>
      <c r="C27" s="987">
        <f>SUM(C28:C29)</f>
        <v>0</v>
      </c>
      <c r="D27" s="1060"/>
      <c r="E27" s="743"/>
    </row>
    <row r="28" spans="1:5" s="372" customFormat="1" x14ac:dyDescent="0.2">
      <c r="A28" s="995"/>
      <c r="B28" s="1006"/>
      <c r="C28" s="990">
        <v>0</v>
      </c>
      <c r="D28" s="1057"/>
      <c r="E28" s="743"/>
    </row>
    <row r="29" spans="1:5" s="372" customFormat="1" x14ac:dyDescent="0.2">
      <c r="A29" s="758"/>
      <c r="B29" s="992"/>
      <c r="C29" s="993">
        <v>0</v>
      </c>
      <c r="D29" s="1058"/>
      <c r="E29" s="743"/>
    </row>
    <row r="30" spans="1:5" s="373" customFormat="1" ht="12.75" x14ac:dyDescent="0.2">
      <c r="A30" s="1013" t="s">
        <v>45</v>
      </c>
      <c r="B30" s="1014" t="str">
        <f>'ARHIGRAM 5'!B23</f>
        <v>ŠTUDIJA IZVEDLJIVOSTI</v>
      </c>
      <c r="C30" s="1012">
        <f>SUM(C31:C32)</f>
        <v>0</v>
      </c>
      <c r="D30" s="1019"/>
      <c r="E30" s="743"/>
    </row>
    <row r="31" spans="1:5" s="372" customFormat="1" x14ac:dyDescent="0.2">
      <c r="A31" s="1008" t="s">
        <v>631</v>
      </c>
      <c r="B31" s="1009"/>
      <c r="C31" s="962">
        <f>'ARHIGRAM 5'!I23</f>
        <v>0</v>
      </c>
      <c r="D31" s="1059"/>
      <c r="E31" s="743"/>
    </row>
    <row r="32" spans="1:5" s="372" customFormat="1" x14ac:dyDescent="0.2">
      <c r="A32" s="998" t="s">
        <v>268</v>
      </c>
      <c r="B32" s="999"/>
      <c r="C32" s="987">
        <f>SUM(C33:C34)</f>
        <v>0</v>
      </c>
      <c r="D32" s="1060"/>
      <c r="E32" s="743"/>
    </row>
    <row r="33" spans="1:8" s="372" customFormat="1" x14ac:dyDescent="0.2">
      <c r="A33" s="995"/>
      <c r="B33" s="1006"/>
      <c r="C33" s="990">
        <v>0</v>
      </c>
      <c r="D33" s="1057"/>
      <c r="E33" s="743"/>
    </row>
    <row r="34" spans="1:8" s="372" customFormat="1" x14ac:dyDescent="0.2">
      <c r="A34" s="758"/>
      <c r="B34" s="992"/>
      <c r="C34" s="993">
        <v>0</v>
      </c>
      <c r="D34" s="1058"/>
      <c r="E34" s="743"/>
    </row>
    <row r="35" spans="1:8" s="373" customFormat="1" ht="12.75" x14ac:dyDescent="0.2">
      <c r="A35" s="1013" t="s">
        <v>46</v>
      </c>
      <c r="B35" s="1014" t="str">
        <f>'ARHIGRAM 5'!B24</f>
        <v>OPREDELITEV</v>
      </c>
      <c r="C35" s="1012">
        <f>SUM(C36:C37)</f>
        <v>0</v>
      </c>
      <c r="D35" s="1019"/>
      <c r="E35" s="743"/>
    </row>
    <row r="36" spans="1:8" s="372" customFormat="1" x14ac:dyDescent="0.2">
      <c r="A36" s="1008" t="s">
        <v>631</v>
      </c>
      <c r="B36" s="1009"/>
      <c r="C36" s="962">
        <f>'ARHIGRAM 5'!I24</f>
        <v>0</v>
      </c>
      <c r="D36" s="1059"/>
      <c r="E36" s="743"/>
    </row>
    <row r="37" spans="1:8" s="372" customFormat="1" x14ac:dyDescent="0.2">
      <c r="A37" s="998" t="s">
        <v>268</v>
      </c>
      <c r="B37" s="999"/>
      <c r="C37" s="987">
        <f>SUM(C38:C39)</f>
        <v>0</v>
      </c>
      <c r="D37" s="1060"/>
      <c r="E37" s="743"/>
    </row>
    <row r="38" spans="1:8" s="372" customFormat="1" x14ac:dyDescent="0.2">
      <c r="A38" s="995"/>
      <c r="B38" s="1006"/>
      <c r="C38" s="990">
        <v>0</v>
      </c>
      <c r="D38" s="1057"/>
      <c r="E38" s="743"/>
    </row>
    <row r="39" spans="1:8" s="372" customFormat="1" x14ac:dyDescent="0.2">
      <c r="A39" s="758"/>
      <c r="B39" s="992"/>
      <c r="C39" s="993">
        <v>0</v>
      </c>
      <c r="D39" s="1058"/>
      <c r="E39" s="743"/>
    </row>
    <row r="40" spans="1:8" s="372" customFormat="1" x14ac:dyDescent="0.2">
      <c r="A40" s="765">
        <v>2</v>
      </c>
      <c r="B40" s="795" t="str">
        <f>'ARHIGRAM 5'!B25</f>
        <v>PROJEKTIRANJE</v>
      </c>
      <c r="C40" s="766">
        <f>+C41+C59+C79+C87+C111</f>
        <v>114897.60609266665</v>
      </c>
      <c r="D40" s="1061"/>
      <c r="E40" s="743"/>
    </row>
    <row r="41" spans="1:8" s="373" customFormat="1" ht="12.75" x14ac:dyDescent="0.2">
      <c r="A41" s="1013" t="s">
        <v>70</v>
      </c>
      <c r="B41" s="1014" t="str">
        <f>'ARHIGRAM 5'!B26</f>
        <v>SNOVANJE</v>
      </c>
      <c r="C41" s="1012">
        <f>+C43+C56</f>
        <v>10951.740573333333</v>
      </c>
      <c r="D41" s="1019"/>
      <c r="E41" s="743"/>
    </row>
    <row r="42" spans="1:8" s="373" customFormat="1" ht="12.75" x14ac:dyDescent="0.2">
      <c r="A42" s="994" t="s">
        <v>631</v>
      </c>
      <c r="B42" s="797"/>
      <c r="C42" s="768"/>
      <c r="D42" s="1062"/>
      <c r="E42" s="743"/>
    </row>
    <row r="43" spans="1:8" s="373" customFormat="1" ht="12.75" x14ac:dyDescent="0.2">
      <c r="A43" s="767"/>
      <c r="B43" s="798" t="str">
        <f>'ARHIGRAM 5'!B27</f>
        <v>IDEJNA ZASNOVA (IDZ):</v>
      </c>
      <c r="C43" s="769">
        <f>SUM(C44:C55)</f>
        <v>10951.740573333333</v>
      </c>
      <c r="D43" s="1063"/>
      <c r="E43" s="743"/>
    </row>
    <row r="44" spans="1:8" s="372" customFormat="1" outlineLevel="2" x14ac:dyDescent="0.2">
      <c r="A44" s="770"/>
      <c r="B44" s="988" t="str">
        <f>'ARHIGRAM 5'!B28</f>
        <v>NAČRT ARHITEKTURE</v>
      </c>
      <c r="C44" s="901">
        <f>'ARHIGRAM 5'!I28</f>
        <v>10186.407239999999</v>
      </c>
      <c r="D44" s="1064"/>
      <c r="E44" s="743"/>
      <c r="F44" s="373"/>
      <c r="G44" s="373"/>
      <c r="H44" s="373"/>
    </row>
    <row r="45" spans="1:8" s="372" customFormat="1" outlineLevel="2" x14ac:dyDescent="0.2">
      <c r="A45" s="770"/>
      <c r="B45" s="988" t="str">
        <f>'ARHIGRAM 5'!B29</f>
        <v>NAČRT ARHITEKTURE - ODPRTI PROSTOR</v>
      </c>
      <c r="C45" s="901">
        <f>'ARHIGRAM 5'!I29</f>
        <v>765.33333333333348</v>
      </c>
      <c r="D45" s="1064"/>
      <c r="E45" s="743"/>
      <c r="F45" s="373"/>
      <c r="G45" s="373"/>
      <c r="H45" s="373"/>
    </row>
    <row r="46" spans="1:8" s="372" customFormat="1" outlineLevel="2" x14ac:dyDescent="0.2">
      <c r="A46" s="770"/>
      <c r="B46" s="988" t="str">
        <f>'ARHIGRAM 5'!B30</f>
        <v>NAČRT NOTRANJE OPREME</v>
      </c>
      <c r="C46" s="901">
        <f>'ARHIGRAM 5'!I30</f>
        <v>0</v>
      </c>
      <c r="D46" s="1064"/>
      <c r="E46" s="743"/>
      <c r="F46" s="373"/>
      <c r="G46" s="373"/>
      <c r="H46" s="373"/>
    </row>
    <row r="47" spans="1:8" s="372" customFormat="1" outlineLevel="2" x14ac:dyDescent="0.2">
      <c r="A47" s="770"/>
      <c r="B47" s="988" t="str">
        <f>'ARHIGRAM 5'!B31</f>
        <v>NAČRT KRAJINSKE ARHITEKTURE</v>
      </c>
      <c r="C47" s="901">
        <f>'ARHIGRAM 5'!I31</f>
        <v>0</v>
      </c>
      <c r="D47" s="1064"/>
      <c r="E47" s="743"/>
      <c r="F47" s="373"/>
      <c r="G47" s="373"/>
      <c r="H47" s="373"/>
    </row>
    <row r="48" spans="1:8" s="372" customFormat="1" outlineLevel="2" x14ac:dyDescent="0.2">
      <c r="A48" s="770"/>
      <c r="B48" s="989" t="str">
        <f>'ARHIGRAM 5'!B32</f>
        <v>NAČRT GRADBENIH KONSTRUKCIJ</v>
      </c>
      <c r="C48" s="990"/>
      <c r="D48" s="1057"/>
      <c r="E48" s="743"/>
      <c r="F48" s="373"/>
      <c r="G48" s="373"/>
      <c r="H48" s="373"/>
    </row>
    <row r="49" spans="1:9" s="372" customFormat="1" outlineLevel="2" x14ac:dyDescent="0.2">
      <c r="A49" s="770"/>
      <c r="B49" s="989" t="str">
        <f>'ARHIGRAM 5'!B33</f>
        <v>NAČRT ELEKTRIČNIH INŠTALACIJ</v>
      </c>
      <c r="C49" s="990"/>
      <c r="D49" s="1057"/>
      <c r="E49" s="743"/>
      <c r="F49" s="373"/>
      <c r="G49" s="373"/>
      <c r="H49" s="373"/>
    </row>
    <row r="50" spans="1:9" s="372" customFormat="1" ht="15.75" customHeight="1" outlineLevel="2" x14ac:dyDescent="0.2">
      <c r="A50" s="770"/>
      <c r="B50" s="989" t="str">
        <f>'ARHIGRAM 5'!B34</f>
        <v>NAČRT STROJNIH INŠTALACIJ</v>
      </c>
      <c r="C50" s="990"/>
      <c r="D50" s="1057"/>
      <c r="E50" s="743"/>
      <c r="F50" s="373"/>
      <c r="G50" s="373"/>
      <c r="H50" s="373"/>
    </row>
    <row r="51" spans="1:9" s="372" customFormat="1" outlineLevel="2" x14ac:dyDescent="0.2">
      <c r="A51" s="770"/>
      <c r="B51" s="989" t="str">
        <f>'ARHIGRAM 5'!B35</f>
        <v>NAČRT TEHNOLOGIJE</v>
      </c>
      <c r="C51" s="990"/>
      <c r="D51" s="1057"/>
      <c r="E51" s="743"/>
      <c r="F51" s="373"/>
      <c r="G51" s="373"/>
      <c r="H51" s="373"/>
    </row>
    <row r="52" spans="1:9" s="372" customFormat="1" outlineLevel="2" x14ac:dyDescent="0.2">
      <c r="A52" s="770"/>
      <c r="B52" s="989" t="str">
        <f>'ARHIGRAM 5'!B36</f>
        <v>POŽARNA VARNOST</v>
      </c>
      <c r="C52" s="990"/>
      <c r="D52" s="1057"/>
      <c r="E52" s="743"/>
      <c r="F52" s="373"/>
      <c r="G52" s="373"/>
      <c r="H52" s="373"/>
    </row>
    <row r="53" spans="1:9" s="372" customFormat="1" ht="15" customHeight="1" outlineLevel="2" x14ac:dyDescent="0.2">
      <c r="A53" s="770"/>
      <c r="B53" s="989" t="str">
        <f>'ARHIGRAM 5'!B37</f>
        <v>UČINKOVITA RABA ENERGIJE</v>
      </c>
      <c r="C53" s="990"/>
      <c r="D53" s="1057"/>
      <c r="E53" s="743"/>
      <c r="F53" s="373"/>
      <c r="G53" s="373"/>
      <c r="H53" s="373"/>
    </row>
    <row r="54" spans="1:9" s="372" customFormat="1" outlineLevel="2" x14ac:dyDescent="0.2">
      <c r="A54" s="770"/>
      <c r="B54" s="989" t="str">
        <f>'ARHIGRAM 5'!B38</f>
        <v>ZAŠČITA PRED HRUPOM</v>
      </c>
      <c r="C54" s="990"/>
      <c r="D54" s="1057"/>
      <c r="E54" s="743"/>
      <c r="F54" s="373"/>
      <c r="G54" s="373"/>
      <c r="H54" s="373"/>
    </row>
    <row r="55" spans="1:9" s="372" customFormat="1" outlineLevel="2" x14ac:dyDescent="0.2">
      <c r="A55" s="758"/>
      <c r="B55" s="996" t="str">
        <f>'ARHIGRAM 5'!B39</f>
        <v>PROSTORSKA AKUSTIKA</v>
      </c>
      <c r="C55" s="997"/>
      <c r="D55" s="1065"/>
      <c r="E55" s="743"/>
      <c r="F55" s="373"/>
      <c r="G55" s="373"/>
      <c r="H55" s="373"/>
    </row>
    <row r="56" spans="1:9" s="372" customFormat="1" outlineLevel="2" x14ac:dyDescent="0.2">
      <c r="A56" s="998" t="s">
        <v>268</v>
      </c>
      <c r="B56" s="999"/>
      <c r="C56" s="987">
        <f>SUM(C57:C58)</f>
        <v>0</v>
      </c>
      <c r="D56" s="1060"/>
      <c r="E56" s="743"/>
    </row>
    <row r="57" spans="1:9" s="372" customFormat="1" x14ac:dyDescent="0.2">
      <c r="A57" s="770"/>
      <c r="B57" s="985"/>
      <c r="C57" s="983"/>
      <c r="D57" s="1066"/>
      <c r="E57" s="743"/>
      <c r="F57" s="373"/>
      <c r="G57" s="373"/>
      <c r="H57" s="373"/>
    </row>
    <row r="58" spans="1:9" s="372" customFormat="1" x14ac:dyDescent="0.2">
      <c r="A58" s="758"/>
      <c r="B58" s="986"/>
      <c r="C58" s="984"/>
      <c r="D58" s="1067"/>
      <c r="E58" s="743"/>
    </row>
    <row r="59" spans="1:9" s="373" customFormat="1" x14ac:dyDescent="0.2">
      <c r="A59" s="1015" t="s">
        <v>71</v>
      </c>
      <c r="B59" s="1016" t="str">
        <f>'ARHIGRAM 5'!B40</f>
        <v>IDEJNO PROJEKTIRANJE</v>
      </c>
      <c r="C59" s="1012">
        <f>+C61+C74</f>
        <v>28388.285973333332</v>
      </c>
      <c r="D59" s="1019"/>
      <c r="E59" s="743"/>
      <c r="F59" s="372"/>
      <c r="G59" s="372"/>
      <c r="H59" s="372"/>
      <c r="I59" s="372"/>
    </row>
    <row r="60" spans="1:9" s="373" customFormat="1" ht="12.75" x14ac:dyDescent="0.2">
      <c r="A60" s="994" t="s">
        <v>631</v>
      </c>
      <c r="B60" s="797"/>
      <c r="C60" s="768"/>
      <c r="D60" s="1062"/>
      <c r="E60" s="743"/>
    </row>
    <row r="61" spans="1:9" s="373" customFormat="1" ht="12.75" x14ac:dyDescent="0.2">
      <c r="A61" s="767"/>
      <c r="B61" s="798" t="str">
        <f>'ARHIGRAM 5'!B41</f>
        <v>IDEJNI PROJEKT (IDP):</v>
      </c>
      <c r="C61" s="769">
        <f>SUM(C62:C73)</f>
        <v>28388.285973333332</v>
      </c>
      <c r="D61" s="1063"/>
      <c r="E61" s="743"/>
    </row>
    <row r="62" spans="1:9" s="372" customFormat="1" outlineLevel="2" x14ac:dyDescent="0.2">
      <c r="A62" s="770"/>
      <c r="B62" s="988" t="str">
        <f>'ARHIGRAM 5'!B42</f>
        <v>NAČRT ARHITEKTURE</v>
      </c>
      <c r="C62" s="901">
        <f>'ARHIGRAM 5'!I42</f>
        <v>27163.752639999999</v>
      </c>
      <c r="D62" s="1064"/>
      <c r="E62" s="743"/>
    </row>
    <row r="63" spans="1:9" s="372" customFormat="1" outlineLevel="2" x14ac:dyDescent="0.2">
      <c r="A63" s="770"/>
      <c r="B63" s="988" t="str">
        <f>'ARHIGRAM 5'!B43</f>
        <v>NAČRT ARHITEKTURE - ODPRTI PROSTOR</v>
      </c>
      <c r="C63" s="901">
        <f>'ARHIGRAM 5'!I43</f>
        <v>1224.5333333333335</v>
      </c>
      <c r="D63" s="1064"/>
      <c r="E63" s="743"/>
    </row>
    <row r="64" spans="1:9" s="372" customFormat="1" outlineLevel="2" x14ac:dyDescent="0.2">
      <c r="A64" s="770"/>
      <c r="B64" s="988" t="str">
        <f>'ARHIGRAM 5'!B44</f>
        <v>NAČRT NOTRANJE OPREME</v>
      </c>
      <c r="C64" s="901">
        <f>'ARHIGRAM 5'!I44</f>
        <v>0</v>
      </c>
      <c r="D64" s="1064"/>
      <c r="E64" s="743"/>
    </row>
    <row r="65" spans="1:9" s="372" customFormat="1" outlineLevel="2" x14ac:dyDescent="0.2">
      <c r="A65" s="770"/>
      <c r="B65" s="988" t="str">
        <f>'ARHIGRAM 5'!B45</f>
        <v>NAČRT KRAJINSKE ARHITEKTURE</v>
      </c>
      <c r="C65" s="901">
        <f>'ARHIGRAM 5'!I45</f>
        <v>0</v>
      </c>
      <c r="D65" s="1064"/>
      <c r="E65" s="743"/>
    </row>
    <row r="66" spans="1:9" s="372" customFormat="1" outlineLevel="2" x14ac:dyDescent="0.2">
      <c r="A66" s="770"/>
      <c r="B66" s="989" t="str">
        <f>'ARHIGRAM 5'!B46</f>
        <v>NAČRT GRADBENIH KONSTRUKCIJ</v>
      </c>
      <c r="C66" s="990"/>
      <c r="D66" s="1057"/>
      <c r="E66" s="743"/>
    </row>
    <row r="67" spans="1:9" s="372" customFormat="1" outlineLevel="2" x14ac:dyDescent="0.2">
      <c r="A67" s="770"/>
      <c r="B67" s="989" t="str">
        <f>'ARHIGRAM 5'!B47</f>
        <v>NAČRT ELEKTRIČNIH INŠTALACIJ</v>
      </c>
      <c r="C67" s="990"/>
      <c r="D67" s="1057"/>
      <c r="E67" s="743"/>
    </row>
    <row r="68" spans="1:9" s="372" customFormat="1" outlineLevel="2" x14ac:dyDescent="0.2">
      <c r="A68" s="770"/>
      <c r="B68" s="989" t="str">
        <f>'ARHIGRAM 5'!B48</f>
        <v>NAČRT STROJNIH INŠTALACIJ</v>
      </c>
      <c r="C68" s="990"/>
      <c r="D68" s="1057"/>
      <c r="E68" s="743"/>
    </row>
    <row r="69" spans="1:9" s="372" customFormat="1" outlineLevel="2" x14ac:dyDescent="0.2">
      <c r="A69" s="770"/>
      <c r="B69" s="989" t="str">
        <f>'ARHIGRAM 5'!B49</f>
        <v>NAČRT TEHNOLOGIJE</v>
      </c>
      <c r="C69" s="990"/>
      <c r="D69" s="1057"/>
      <c r="E69" s="743"/>
    </row>
    <row r="70" spans="1:9" s="372" customFormat="1" outlineLevel="2" x14ac:dyDescent="0.2">
      <c r="A70" s="770"/>
      <c r="B70" s="989" t="str">
        <f>'ARHIGRAM 5'!B50</f>
        <v>POŽARNA VARNOST</v>
      </c>
      <c r="C70" s="990"/>
      <c r="D70" s="1057"/>
      <c r="E70" s="743"/>
    </row>
    <row r="71" spans="1:9" s="372" customFormat="1" outlineLevel="2" x14ac:dyDescent="0.2">
      <c r="A71" s="770"/>
      <c r="B71" s="989" t="str">
        <f>'ARHIGRAM 5'!B51</f>
        <v>UČINKOVITA RABA ENERGIJE</v>
      </c>
      <c r="C71" s="990"/>
      <c r="D71" s="1057"/>
      <c r="E71" s="743"/>
    </row>
    <row r="72" spans="1:9" s="372" customFormat="1" outlineLevel="2" x14ac:dyDescent="0.2">
      <c r="A72" s="770"/>
      <c r="B72" s="989" t="str">
        <f>'ARHIGRAM 5'!B52</f>
        <v>ZAŠČITA PRED HRUPOM</v>
      </c>
      <c r="C72" s="990"/>
      <c r="D72" s="1057"/>
      <c r="E72" s="743"/>
    </row>
    <row r="73" spans="1:9" s="372" customFormat="1" outlineLevel="2" x14ac:dyDescent="0.2">
      <c r="A73" s="758"/>
      <c r="B73" s="996" t="str">
        <f>'ARHIGRAM 5'!B53</f>
        <v>PROSTORSKA AKUSTIKA</v>
      </c>
      <c r="C73" s="997"/>
      <c r="D73" s="1065"/>
      <c r="E73" s="743"/>
    </row>
    <row r="74" spans="1:9" s="372" customFormat="1" outlineLevel="2" x14ac:dyDescent="0.2">
      <c r="A74" s="998" t="s">
        <v>268</v>
      </c>
      <c r="B74" s="999"/>
      <c r="C74" s="987">
        <f>SUM(C75:C78)</f>
        <v>0</v>
      </c>
      <c r="D74" s="1060"/>
      <c r="E74" s="743"/>
    </row>
    <row r="75" spans="1:9" s="372" customFormat="1" x14ac:dyDescent="0.2">
      <c r="A75" s="770"/>
      <c r="B75" s="989"/>
      <c r="C75" s="990"/>
      <c r="D75" s="1057"/>
      <c r="E75" s="743"/>
    </row>
    <row r="76" spans="1:9" s="372" customFormat="1" x14ac:dyDescent="0.2">
      <c r="A76" s="770"/>
      <c r="B76" s="989"/>
      <c r="C76" s="990"/>
      <c r="D76" s="1057"/>
      <c r="E76" s="743"/>
    </row>
    <row r="77" spans="1:9" s="372" customFormat="1" x14ac:dyDescent="0.2">
      <c r="A77" s="770"/>
      <c r="B77" s="989"/>
      <c r="C77" s="991"/>
      <c r="D77" s="1068"/>
      <c r="E77" s="743"/>
    </row>
    <row r="78" spans="1:9" s="372" customFormat="1" x14ac:dyDescent="0.2">
      <c r="A78" s="758"/>
      <c r="B78" s="992"/>
      <c r="C78" s="993"/>
      <c r="D78" s="1058"/>
      <c r="E78" s="743"/>
    </row>
    <row r="79" spans="1:9" s="373" customFormat="1" ht="24" x14ac:dyDescent="0.2">
      <c r="A79" s="1015" t="s">
        <v>72</v>
      </c>
      <c r="B79" s="1016" t="str">
        <f>'ARHIGRAM 5'!B54</f>
        <v>PRIPRAVA DOKUMENTACIJE ZA PRIDOBIVANJE DOVOLJENJ</v>
      </c>
      <c r="C79" s="1012">
        <f>+C80+C83</f>
        <v>11395.791219333336</v>
      </c>
      <c r="D79" s="1019"/>
      <c r="E79" s="743"/>
      <c r="F79" s="372"/>
      <c r="G79" s="372"/>
      <c r="H79" s="372"/>
      <c r="I79" s="372"/>
    </row>
    <row r="80" spans="1:9" s="373" customFormat="1" ht="12.75" x14ac:dyDescent="0.2">
      <c r="A80" s="994" t="s">
        <v>631</v>
      </c>
      <c r="B80" s="797"/>
      <c r="C80" s="768">
        <f>SUM(C81:C82)</f>
        <v>11395.791219333336</v>
      </c>
      <c r="D80" s="1062"/>
      <c r="E80" s="743"/>
    </row>
    <row r="81" spans="1:9" s="372" customFormat="1" ht="24" x14ac:dyDescent="0.2">
      <c r="A81" s="770"/>
      <c r="B81" s="1003" t="str">
        <f>'ARHIGRAM 5'!B55</f>
        <v>PROJEKTNA DOKUMENTACIJA ZA PROJEKTNE POGOJE</v>
      </c>
      <c r="C81" s="901">
        <f>'ARHIGRAM 5'!I55</f>
        <v>2279.1582438666674</v>
      </c>
      <c r="D81" s="1064"/>
      <c r="E81" s="743"/>
    </row>
    <row r="82" spans="1:9" s="372" customFormat="1" ht="18" customHeight="1" x14ac:dyDescent="0.2">
      <c r="A82" s="758"/>
      <c r="B82" s="1004" t="str">
        <f>'ARHIGRAM 5'!B56</f>
        <v>PROJEKTNA DOKUMENTACIJA ZA PRIDOBIVANJE GRADBENEGA DOVOLJENJA</v>
      </c>
      <c r="C82" s="1005">
        <f>'ARHIGRAM 5'!I56</f>
        <v>9116.6329754666694</v>
      </c>
      <c r="D82" s="1069"/>
      <c r="E82" s="743"/>
    </row>
    <row r="83" spans="1:9" s="372" customFormat="1" outlineLevel="2" x14ac:dyDescent="0.2">
      <c r="A83" s="998" t="s">
        <v>268</v>
      </c>
      <c r="B83" s="999"/>
      <c r="C83" s="987">
        <f>SUM(C84:C86)</f>
        <v>0</v>
      </c>
      <c r="D83" s="1060"/>
      <c r="E83" s="743"/>
    </row>
    <row r="84" spans="1:9" s="372" customFormat="1" x14ac:dyDescent="0.2">
      <c r="A84" s="770"/>
      <c r="B84" s="989"/>
      <c r="C84" s="990"/>
      <c r="D84" s="1057"/>
      <c r="E84" s="743"/>
    </row>
    <row r="85" spans="1:9" s="372" customFormat="1" x14ac:dyDescent="0.2">
      <c r="A85" s="770"/>
      <c r="B85" s="1002"/>
      <c r="C85" s="991"/>
      <c r="D85" s="1068"/>
      <c r="E85" s="743"/>
    </row>
    <row r="86" spans="1:9" s="372" customFormat="1" x14ac:dyDescent="0.2">
      <c r="A86" s="758"/>
      <c r="B86" s="992"/>
      <c r="C86" s="993"/>
      <c r="D86" s="1058"/>
      <c r="E86" s="743"/>
    </row>
    <row r="87" spans="1:9" s="373" customFormat="1" x14ac:dyDescent="0.2">
      <c r="A87" s="1015" t="s">
        <v>125</v>
      </c>
      <c r="B87" s="1016" t="str">
        <f>'ARHIGRAM 5'!B57</f>
        <v>PROJEKTIRANJE ZA IZVEDBO</v>
      </c>
      <c r="C87" s="1012">
        <f>+C89+C102</f>
        <v>54895.369533333331</v>
      </c>
      <c r="D87" s="1019"/>
      <c r="E87" s="743"/>
      <c r="F87" s="372"/>
      <c r="G87" s="372"/>
      <c r="H87" s="372"/>
      <c r="I87" s="372"/>
    </row>
    <row r="88" spans="1:9" s="373" customFormat="1" ht="12.75" x14ac:dyDescent="0.2">
      <c r="A88" s="994" t="s">
        <v>631</v>
      </c>
      <c r="B88" s="797"/>
      <c r="C88" s="768"/>
      <c r="D88" s="1062"/>
      <c r="E88" s="743"/>
    </row>
    <row r="89" spans="1:9" s="373" customFormat="1" ht="12.75" x14ac:dyDescent="0.2">
      <c r="A89" s="767"/>
      <c r="B89" s="798" t="str">
        <f>'ARHIGRAM 5'!B58</f>
        <v>PROJEKT ZA IZVEDBO (PZI):</v>
      </c>
      <c r="C89" s="769">
        <f>SUM(C90:C101)</f>
        <v>52845.369533333331</v>
      </c>
      <c r="D89" s="1063"/>
      <c r="E89" s="743"/>
    </row>
    <row r="90" spans="1:9" s="372" customFormat="1" outlineLevel="2" x14ac:dyDescent="0.2">
      <c r="A90" s="770"/>
      <c r="B90" s="988" t="str">
        <f>'ARHIGRAM 5'!B59</f>
        <v>NAČRT ARHITEKTURE</v>
      </c>
      <c r="C90" s="901">
        <f>'ARHIGRAM 5'!I59</f>
        <v>50932.036199999995</v>
      </c>
      <c r="D90" s="1064"/>
      <c r="E90" s="743"/>
    </row>
    <row r="91" spans="1:9" s="372" customFormat="1" outlineLevel="2" x14ac:dyDescent="0.2">
      <c r="A91" s="770"/>
      <c r="B91" s="988" t="str">
        <f>'ARHIGRAM 5'!B60</f>
        <v>NAČRT ARHITEKTURE - ODPRTI PROSTOR</v>
      </c>
      <c r="C91" s="901">
        <f>'ARHIGRAM 5'!I60</f>
        <v>1913.3333333333335</v>
      </c>
      <c r="D91" s="1064"/>
      <c r="E91" s="743"/>
    </row>
    <row r="92" spans="1:9" s="372" customFormat="1" outlineLevel="2" x14ac:dyDescent="0.2">
      <c r="A92" s="770"/>
      <c r="B92" s="988" t="str">
        <f>'ARHIGRAM 5'!B61</f>
        <v>NAČRT NOTRANJE OPREME</v>
      </c>
      <c r="C92" s="901">
        <f>'ARHIGRAM 5'!I61</f>
        <v>0</v>
      </c>
      <c r="D92" s="1064"/>
      <c r="E92" s="743"/>
    </row>
    <row r="93" spans="1:9" s="372" customFormat="1" outlineLevel="2" x14ac:dyDescent="0.2">
      <c r="A93" s="770"/>
      <c r="B93" s="988" t="str">
        <f>'ARHIGRAM 5'!B62</f>
        <v>NAČRT KRAJINSKE ARHITEKTURE</v>
      </c>
      <c r="C93" s="901">
        <f>'ARHIGRAM 5'!I62</f>
        <v>0</v>
      </c>
      <c r="D93" s="1064"/>
      <c r="E93" s="743"/>
    </row>
    <row r="94" spans="1:9" s="372" customFormat="1" outlineLevel="2" x14ac:dyDescent="0.2">
      <c r="A94" s="770"/>
      <c r="B94" s="989" t="str">
        <f>'ARHIGRAM 5'!B63</f>
        <v>NAČRT GRADBENIH KONSTRUKCIJ</v>
      </c>
      <c r="C94" s="990"/>
      <c r="D94" s="1057"/>
      <c r="E94" s="743"/>
    </row>
    <row r="95" spans="1:9" s="372" customFormat="1" outlineLevel="2" x14ac:dyDescent="0.2">
      <c r="A95" s="770"/>
      <c r="B95" s="989" t="str">
        <f>'ARHIGRAM 5'!B64</f>
        <v>NAČRT ELEKTRIČNIH INŠTALACIJ</v>
      </c>
      <c r="C95" s="990"/>
      <c r="D95" s="1057"/>
      <c r="E95" s="743"/>
    </row>
    <row r="96" spans="1:9" s="372" customFormat="1" outlineLevel="2" x14ac:dyDescent="0.2">
      <c r="A96" s="770"/>
      <c r="B96" s="989" t="str">
        <f>'ARHIGRAM 5'!B65</f>
        <v>NAČRT STROJNIH INŠTALACIJ</v>
      </c>
      <c r="C96" s="990"/>
      <c r="D96" s="1057"/>
      <c r="E96" s="743"/>
    </row>
    <row r="97" spans="1:8" s="372" customFormat="1" outlineLevel="2" x14ac:dyDescent="0.2">
      <c r="A97" s="770"/>
      <c r="B97" s="989" t="str">
        <f>'ARHIGRAM 5'!B66</f>
        <v>NAČRT TEHNOLOGIJE</v>
      </c>
      <c r="C97" s="990"/>
      <c r="D97" s="1057"/>
      <c r="E97" s="743"/>
    </row>
    <row r="98" spans="1:8" s="372" customFormat="1" outlineLevel="2" x14ac:dyDescent="0.2">
      <c r="A98" s="770"/>
      <c r="B98" s="989" t="str">
        <f>'ARHIGRAM 5'!B67</f>
        <v>POŽARNA VARNOST</v>
      </c>
      <c r="C98" s="990"/>
      <c r="D98" s="1057"/>
      <c r="E98" s="743"/>
    </row>
    <row r="99" spans="1:8" s="372" customFormat="1" outlineLevel="2" x14ac:dyDescent="0.2">
      <c r="A99" s="770"/>
      <c r="B99" s="989" t="str">
        <f>'ARHIGRAM 5'!B68</f>
        <v>UČINKOVITA RABA ENERGIJE</v>
      </c>
      <c r="C99" s="990"/>
      <c r="D99" s="1057"/>
      <c r="E99" s="743"/>
    </row>
    <row r="100" spans="1:8" s="372" customFormat="1" outlineLevel="2" x14ac:dyDescent="0.2">
      <c r="A100" s="770"/>
      <c r="B100" s="989" t="str">
        <f>'ARHIGRAM 5'!B69</f>
        <v>ZAŠČITA PRED HRUPOM</v>
      </c>
      <c r="C100" s="990"/>
      <c r="D100" s="1057"/>
      <c r="E100" s="743"/>
    </row>
    <row r="101" spans="1:8" s="372" customFormat="1" outlineLevel="2" x14ac:dyDescent="0.2">
      <c r="A101" s="758"/>
      <c r="B101" s="996" t="str">
        <f>'ARHIGRAM 5'!B70</f>
        <v>PROSTORSKA AKUSTIKA</v>
      </c>
      <c r="C101" s="997"/>
      <c r="D101" s="1065"/>
      <c r="E101" s="743"/>
    </row>
    <row r="102" spans="1:8" s="372" customFormat="1" outlineLevel="2" x14ac:dyDescent="0.2">
      <c r="A102" s="998" t="s">
        <v>268</v>
      </c>
      <c r="B102" s="999"/>
      <c r="C102" s="987">
        <f>SUM(C103:C110)</f>
        <v>2050</v>
      </c>
      <c r="D102" s="1060"/>
      <c r="E102" s="743"/>
    </row>
    <row r="103" spans="1:8" s="372" customFormat="1" ht="24" x14ac:dyDescent="0.2">
      <c r="A103" s="770"/>
      <c r="B103" s="1000" t="s">
        <v>53</v>
      </c>
      <c r="C103" s="990">
        <v>450</v>
      </c>
      <c r="D103" s="1057"/>
      <c r="E103" s="743"/>
    </row>
    <row r="104" spans="1:8" s="372" customFormat="1" ht="24" x14ac:dyDescent="0.2">
      <c r="A104" s="770"/>
      <c r="B104" s="1000" t="s">
        <v>165</v>
      </c>
      <c r="C104" s="990">
        <v>350</v>
      </c>
      <c r="D104" s="1057"/>
      <c r="E104" s="743"/>
    </row>
    <row r="105" spans="1:8" s="372" customFormat="1" x14ac:dyDescent="0.2">
      <c r="A105" s="770"/>
      <c r="B105" s="1000" t="s">
        <v>50</v>
      </c>
      <c r="C105" s="990">
        <v>300</v>
      </c>
      <c r="D105" s="1057"/>
      <c r="E105" s="743"/>
    </row>
    <row r="106" spans="1:8" s="372" customFormat="1" x14ac:dyDescent="0.2">
      <c r="A106" s="770"/>
      <c r="B106" s="1000" t="s">
        <v>51</v>
      </c>
      <c r="C106" s="990">
        <v>350</v>
      </c>
      <c r="D106" s="1057"/>
      <c r="E106" s="743"/>
    </row>
    <row r="107" spans="1:8" s="372" customFormat="1" x14ac:dyDescent="0.2">
      <c r="A107" s="770"/>
      <c r="B107" s="1000" t="s">
        <v>164</v>
      </c>
      <c r="C107" s="990">
        <v>250</v>
      </c>
      <c r="D107" s="1057"/>
      <c r="E107" s="743"/>
    </row>
    <row r="108" spans="1:8" s="372" customFormat="1" x14ac:dyDescent="0.2">
      <c r="A108" s="770"/>
      <c r="B108" s="1000" t="s">
        <v>55</v>
      </c>
      <c r="C108" s="990">
        <v>350</v>
      </c>
      <c r="D108" s="1057"/>
      <c r="E108" s="743"/>
    </row>
    <row r="109" spans="1:8" s="372" customFormat="1" x14ac:dyDescent="0.2">
      <c r="A109" s="770"/>
      <c r="B109" s="1000"/>
      <c r="C109" s="990"/>
      <c r="D109" s="1057"/>
      <c r="E109" s="743"/>
    </row>
    <row r="110" spans="1:8" s="372" customFormat="1" x14ac:dyDescent="0.2">
      <c r="A110" s="758"/>
      <c r="B110" s="992"/>
      <c r="C110" s="993"/>
      <c r="D110" s="1058"/>
      <c r="E110" s="743"/>
    </row>
    <row r="111" spans="1:8" s="373" customFormat="1" x14ac:dyDescent="0.2">
      <c r="A111" s="1015" t="s">
        <v>126</v>
      </c>
      <c r="B111" s="1016" t="str">
        <f>'ARHIGRAM 5'!B71</f>
        <v>PRIPRAVA GRADIV ZA NAROČILO GRADNJE</v>
      </c>
      <c r="C111" s="1017">
        <f>+C113+C121</f>
        <v>9266.4187933333342</v>
      </c>
      <c r="D111" s="1070"/>
      <c r="E111" s="743"/>
      <c r="F111" s="372"/>
      <c r="G111" s="372"/>
      <c r="H111" s="372"/>
    </row>
    <row r="112" spans="1:8" s="373" customFormat="1" ht="12.75" x14ac:dyDescent="0.2">
      <c r="A112" s="994" t="s">
        <v>631</v>
      </c>
      <c r="B112" s="797"/>
      <c r="C112" s="768"/>
      <c r="D112" s="1062"/>
      <c r="E112" s="743"/>
    </row>
    <row r="113" spans="1:8" s="373" customFormat="1" ht="24" x14ac:dyDescent="0.2">
      <c r="A113" s="767"/>
      <c r="B113" s="798" t="str">
        <f>'ARHIGRAM 5'!B72</f>
        <v>PROJEKTANTSKI POPIS DEL - PROJEKT ZA RAZPIS (PZR):</v>
      </c>
      <c r="C113" s="769">
        <f>SUM(C114:C120)</f>
        <v>9266.4187933333342</v>
      </c>
      <c r="D113" s="1063"/>
      <c r="E113" s="743"/>
    </row>
    <row r="114" spans="1:8" s="372" customFormat="1" outlineLevel="2" x14ac:dyDescent="0.2">
      <c r="A114" s="770"/>
      <c r="B114" s="988" t="str">
        <f>'ARHIGRAM 5'!B73</f>
        <v>NAČRT ARHITEKTURE</v>
      </c>
      <c r="C114" s="901">
        <f>'ARHIGRAM 5'!I73</f>
        <v>8730.6854600000006</v>
      </c>
      <c r="D114" s="1064"/>
      <c r="E114" s="743"/>
    </row>
    <row r="115" spans="1:8" s="372" customFormat="1" outlineLevel="2" x14ac:dyDescent="0.2">
      <c r="A115" s="770"/>
      <c r="B115" s="988" t="str">
        <f>'ARHIGRAM 5'!B74</f>
        <v>NAČRT ARHITEKTURE - ODPRTI PROSTOR</v>
      </c>
      <c r="C115" s="901">
        <f>'ARHIGRAM 5'!I74</f>
        <v>535.73333333333335</v>
      </c>
      <c r="D115" s="1064"/>
      <c r="E115" s="743"/>
    </row>
    <row r="116" spans="1:8" s="372" customFormat="1" outlineLevel="2" x14ac:dyDescent="0.2">
      <c r="A116" s="770"/>
      <c r="B116" s="988" t="str">
        <f>'ARHIGRAM 5'!B75</f>
        <v>NAČRT NOTRANJE OPREME</v>
      </c>
      <c r="C116" s="901">
        <f>'ARHIGRAM 5'!I75</f>
        <v>0</v>
      </c>
      <c r="D116" s="1064"/>
      <c r="E116" s="743"/>
    </row>
    <row r="117" spans="1:8" s="372" customFormat="1" outlineLevel="2" x14ac:dyDescent="0.2">
      <c r="A117" s="770"/>
      <c r="B117" s="988" t="str">
        <f>'ARHIGRAM 5'!B76</f>
        <v>NAČRT KRAJINSKE ARHITEKTURE</v>
      </c>
      <c r="C117" s="901">
        <f>'ARHIGRAM 5'!I76</f>
        <v>0</v>
      </c>
      <c r="D117" s="1064"/>
      <c r="E117" s="743"/>
    </row>
    <row r="118" spans="1:8" s="372" customFormat="1" outlineLevel="2" x14ac:dyDescent="0.2">
      <c r="A118" s="770"/>
      <c r="B118" s="989" t="str">
        <f>'ARHIGRAM 5'!B78</f>
        <v>NAČRT ELEKTRIČNIH INSTALACIJ</v>
      </c>
      <c r="C118" s="990"/>
      <c r="D118" s="1057"/>
      <c r="E118" s="743"/>
    </row>
    <row r="119" spans="1:8" s="372" customFormat="1" outlineLevel="2" x14ac:dyDescent="0.2">
      <c r="A119" s="770"/>
      <c r="B119" s="989" t="str">
        <f>'ARHIGRAM 5'!B79</f>
        <v>NAČRT STROJNIH INSTALACIJ</v>
      </c>
      <c r="C119" s="990"/>
      <c r="D119" s="1057"/>
      <c r="E119" s="743"/>
    </row>
    <row r="120" spans="1:8" s="372" customFormat="1" outlineLevel="2" x14ac:dyDescent="0.2">
      <c r="A120" s="758"/>
      <c r="B120" s="996" t="str">
        <f>'ARHIGRAM 5'!B80</f>
        <v>NAČRT TEHNOLOGIJE</v>
      </c>
      <c r="C120" s="997"/>
      <c r="D120" s="1065"/>
      <c r="E120" s="743"/>
    </row>
    <row r="121" spans="1:8" s="372" customFormat="1" outlineLevel="2" x14ac:dyDescent="0.2">
      <c r="A121" s="998" t="s">
        <v>268</v>
      </c>
      <c r="B121" s="999"/>
      <c r="C121" s="987">
        <f>SUM(C122:C123)</f>
        <v>0</v>
      </c>
      <c r="D121" s="1060"/>
      <c r="E121" s="743"/>
    </row>
    <row r="122" spans="1:8" s="372" customFormat="1" x14ac:dyDescent="0.2">
      <c r="A122" s="995"/>
      <c r="B122" s="1006"/>
      <c r="C122" s="990"/>
      <c r="D122" s="1057"/>
      <c r="E122" s="743"/>
    </row>
    <row r="123" spans="1:8" s="372" customFormat="1" x14ac:dyDescent="0.2">
      <c r="A123" s="758"/>
      <c r="B123" s="992"/>
      <c r="C123" s="993"/>
      <c r="D123" s="1058"/>
      <c r="E123" s="743"/>
    </row>
    <row r="124" spans="1:8" s="372" customFormat="1" x14ac:dyDescent="0.2">
      <c r="A124" s="773" t="s">
        <v>58</v>
      </c>
      <c r="B124" s="795" t="str">
        <f>'ARHIGRAM 5'!B81</f>
        <v>NAROČANJE GRADNJE</v>
      </c>
      <c r="C124" s="755">
        <f>+C125+C131</f>
        <v>0</v>
      </c>
      <c r="D124" s="1056"/>
      <c r="E124" s="743"/>
    </row>
    <row r="125" spans="1:8" s="373" customFormat="1" x14ac:dyDescent="0.2">
      <c r="A125" s="1018" t="s">
        <v>59</v>
      </c>
      <c r="B125" s="1019" t="str">
        <f>'ARHIGRAM 5'!B82</f>
        <v>NAROČILO TEHNOLOŠKE OPREME</v>
      </c>
      <c r="C125" s="1012">
        <f>+C126+C127</f>
        <v>0</v>
      </c>
      <c r="D125" s="1019"/>
      <c r="E125" s="743"/>
      <c r="F125" s="372"/>
      <c r="G125" s="372"/>
      <c r="H125" s="372"/>
    </row>
    <row r="126" spans="1:8" s="372" customFormat="1" x14ac:dyDescent="0.2">
      <c r="A126" s="994" t="s">
        <v>631</v>
      </c>
      <c r="B126" s="797"/>
      <c r="C126" s="987">
        <v>0</v>
      </c>
      <c r="D126" s="1060"/>
      <c r="E126" s="743"/>
    </row>
    <row r="127" spans="1:8" s="372" customFormat="1" outlineLevel="2" x14ac:dyDescent="0.2">
      <c r="A127" s="998" t="s">
        <v>268</v>
      </c>
      <c r="B127" s="999"/>
      <c r="C127" s="987">
        <f>SUM(C128:C129)</f>
        <v>0</v>
      </c>
      <c r="D127" s="1060"/>
      <c r="E127" s="743"/>
    </row>
    <row r="128" spans="1:8" s="372" customFormat="1" x14ac:dyDescent="0.2">
      <c r="A128" s="995"/>
      <c r="B128" s="1006"/>
      <c r="C128" s="990"/>
      <c r="D128" s="1057"/>
      <c r="E128" s="743"/>
    </row>
    <row r="129" spans="1:5" s="372" customFormat="1" x14ac:dyDescent="0.2">
      <c r="A129" s="758"/>
      <c r="B129" s="992"/>
      <c r="C129" s="993"/>
      <c r="D129" s="1058"/>
      <c r="E129" s="743"/>
    </row>
    <row r="130" spans="1:5" s="372" customFormat="1" x14ac:dyDescent="0.2">
      <c r="A130" s="758"/>
      <c r="B130" s="796"/>
      <c r="C130" s="759">
        <v>0</v>
      </c>
      <c r="D130" s="1071"/>
      <c r="E130" s="743"/>
    </row>
    <row r="131" spans="1:5" s="373" customFormat="1" ht="12.75" x14ac:dyDescent="0.2">
      <c r="A131" s="1018" t="s">
        <v>60</v>
      </c>
      <c r="B131" s="1019" t="str">
        <f>'ARHIGRAM 5'!B83</f>
        <v>GRADBENA POGODBA</v>
      </c>
      <c r="C131" s="1012">
        <f>+C132+C133</f>
        <v>0</v>
      </c>
      <c r="D131" s="1019"/>
      <c r="E131" s="743"/>
    </row>
    <row r="132" spans="1:5" s="372" customFormat="1" x14ac:dyDescent="0.2">
      <c r="A132" s="994" t="s">
        <v>631</v>
      </c>
      <c r="B132" s="797"/>
      <c r="C132" s="987">
        <v>0</v>
      </c>
      <c r="D132" s="1060"/>
      <c r="E132" s="743"/>
    </row>
    <row r="133" spans="1:5" s="372" customFormat="1" outlineLevel="2" x14ac:dyDescent="0.2">
      <c r="A133" s="998" t="s">
        <v>268</v>
      </c>
      <c r="B133" s="999"/>
      <c r="C133" s="987">
        <f>SUM(C134:C135)</f>
        <v>0</v>
      </c>
      <c r="D133" s="1060"/>
      <c r="E133" s="743"/>
    </row>
    <row r="134" spans="1:5" s="372" customFormat="1" x14ac:dyDescent="0.2">
      <c r="A134" s="995"/>
      <c r="B134" s="1006"/>
      <c r="C134" s="990"/>
      <c r="D134" s="1057"/>
      <c r="E134" s="743"/>
    </row>
    <row r="135" spans="1:5" s="372" customFormat="1" x14ac:dyDescent="0.2">
      <c r="A135" s="758"/>
      <c r="B135" s="992"/>
      <c r="C135" s="993"/>
      <c r="D135" s="1058"/>
      <c r="E135" s="743"/>
    </row>
    <row r="136" spans="1:5" s="372" customFormat="1" x14ac:dyDescent="0.2">
      <c r="A136" s="760"/>
      <c r="B136" s="796"/>
      <c r="C136" s="761">
        <v>0</v>
      </c>
      <c r="D136" s="1072"/>
      <c r="E136" s="743"/>
    </row>
    <row r="137" spans="1:5" s="372" customFormat="1" x14ac:dyDescent="0.2">
      <c r="A137" s="775">
        <v>4</v>
      </c>
      <c r="B137" s="795" t="str">
        <f>'ARHIGRAM 5'!B84</f>
        <v>GRADNJA</v>
      </c>
      <c r="C137" s="755">
        <f>+C138+C144+C158+C164+C170</f>
        <v>14194.142986666666</v>
      </c>
      <c r="D137" s="1056"/>
      <c r="E137" s="743"/>
    </row>
    <row r="138" spans="1:5" s="373" customFormat="1" ht="12.75" x14ac:dyDescent="0.2">
      <c r="A138" s="1018" t="s">
        <v>61</v>
      </c>
      <c r="B138" s="1019" t="str">
        <f>'ARHIGRAM 5'!B85</f>
        <v>PRIPRAVA GRADNJE</v>
      </c>
      <c r="C138" s="1012">
        <f>+C139+C140</f>
        <v>0</v>
      </c>
      <c r="D138" s="1019"/>
      <c r="E138" s="743"/>
    </row>
    <row r="139" spans="1:5" s="372" customFormat="1" x14ac:dyDescent="0.2">
      <c r="A139" s="994" t="s">
        <v>631</v>
      </c>
      <c r="B139" s="797"/>
      <c r="C139" s="987">
        <v>0</v>
      </c>
      <c r="D139" s="1060"/>
      <c r="E139" s="743"/>
    </row>
    <row r="140" spans="1:5" s="372" customFormat="1" outlineLevel="2" x14ac:dyDescent="0.2">
      <c r="A140" s="998" t="s">
        <v>268</v>
      </c>
      <c r="B140" s="999"/>
      <c r="C140" s="987">
        <f>SUM(C141:C142)</f>
        <v>0</v>
      </c>
      <c r="D140" s="1060"/>
      <c r="E140" s="743"/>
    </row>
    <row r="141" spans="1:5" s="372" customFormat="1" x14ac:dyDescent="0.2">
      <c r="A141" s="995"/>
      <c r="B141" s="1006"/>
      <c r="C141" s="990"/>
      <c r="D141" s="1057"/>
      <c r="E141" s="743"/>
    </row>
    <row r="142" spans="1:5" s="372" customFormat="1" x14ac:dyDescent="0.2">
      <c r="A142" s="758"/>
      <c r="B142" s="992"/>
      <c r="C142" s="993"/>
      <c r="D142" s="1058"/>
      <c r="E142" s="743"/>
    </row>
    <row r="143" spans="1:5" s="372" customFormat="1" x14ac:dyDescent="0.2">
      <c r="A143" s="776"/>
      <c r="B143" s="796"/>
      <c r="C143" s="759">
        <v>0</v>
      </c>
      <c r="D143" s="1071"/>
      <c r="E143" s="743"/>
    </row>
    <row r="144" spans="1:5" s="373" customFormat="1" ht="24" x14ac:dyDescent="0.2">
      <c r="A144" s="1018" t="s">
        <v>62</v>
      </c>
      <c r="B144" s="1019" t="str">
        <f>'ARHIGRAM 5'!B86</f>
        <v>IZVAJANJE GRADNJE (PROJEKTANTSKI NADZOR)</v>
      </c>
      <c r="C144" s="1012">
        <f>+C146+C155</f>
        <v>10645.607239999999</v>
      </c>
      <c r="D144" s="1019"/>
      <c r="E144" s="743"/>
    </row>
    <row r="145" spans="1:5" s="373" customFormat="1" ht="12.75" x14ac:dyDescent="0.2">
      <c r="A145" s="994" t="s">
        <v>631</v>
      </c>
      <c r="B145" s="797"/>
      <c r="C145" s="768"/>
      <c r="D145" s="1062"/>
      <c r="E145" s="743"/>
    </row>
    <row r="146" spans="1:5" s="373" customFormat="1" ht="24" x14ac:dyDescent="0.2">
      <c r="A146" s="767"/>
      <c r="B146" s="798" t="s">
        <v>630</v>
      </c>
      <c r="C146" s="769">
        <f>SUM(C147:C154)</f>
        <v>10645.607239999999</v>
      </c>
      <c r="D146" s="1063"/>
      <c r="E146" s="743"/>
    </row>
    <row r="147" spans="1:5" s="372" customFormat="1" outlineLevel="2" x14ac:dyDescent="0.2">
      <c r="A147" s="770"/>
      <c r="B147" s="988" t="str">
        <f>'ARHIGRAM 5'!B87</f>
        <v>ZA NAČRT ARHITEKTURE</v>
      </c>
      <c r="C147" s="901">
        <f>'ARHIGRAM 5'!I87</f>
        <v>10186.407239999999</v>
      </c>
      <c r="D147" s="1064"/>
      <c r="E147" s="743"/>
    </row>
    <row r="148" spans="1:5" s="372" customFormat="1" outlineLevel="2" x14ac:dyDescent="0.2">
      <c r="A148" s="770"/>
      <c r="B148" s="988" t="str">
        <f>'ARHIGRAM 5'!B88</f>
        <v>ZA NAČRT ARHITEKTURE - ODPRTI PROSTOR</v>
      </c>
      <c r="C148" s="901">
        <f>'ARHIGRAM 5'!I88</f>
        <v>459.20000000000005</v>
      </c>
      <c r="D148" s="1064"/>
      <c r="E148" s="743"/>
    </row>
    <row r="149" spans="1:5" s="372" customFormat="1" outlineLevel="2" x14ac:dyDescent="0.2">
      <c r="A149" s="770"/>
      <c r="B149" s="988" t="str">
        <f>'ARHIGRAM 5'!B89</f>
        <v>ZA NAČRT NOTRANJE OPREME</v>
      </c>
      <c r="C149" s="901">
        <f>'ARHIGRAM 5'!I89</f>
        <v>0</v>
      </c>
      <c r="D149" s="1064"/>
      <c r="E149" s="743"/>
    </row>
    <row r="150" spans="1:5" s="372" customFormat="1" outlineLevel="2" x14ac:dyDescent="0.2">
      <c r="A150" s="770"/>
      <c r="B150" s="988" t="str">
        <f>'ARHIGRAM 5'!B90</f>
        <v>ZA NAČRT KRAJINSKE ARHITEKTURE</v>
      </c>
      <c r="C150" s="901">
        <f>'ARHIGRAM 5'!I90</f>
        <v>0</v>
      </c>
      <c r="D150" s="1064"/>
      <c r="E150" s="743"/>
    </row>
    <row r="151" spans="1:5" s="372" customFormat="1" outlineLevel="2" x14ac:dyDescent="0.2">
      <c r="A151" s="770"/>
      <c r="B151" s="1000" t="s">
        <v>812</v>
      </c>
      <c r="C151" s="1001"/>
      <c r="D151" s="1073"/>
      <c r="E151" s="743"/>
    </row>
    <row r="152" spans="1:5" s="372" customFormat="1" outlineLevel="2" x14ac:dyDescent="0.2">
      <c r="A152" s="770"/>
      <c r="B152" s="1000" t="str">
        <f>'ARHIGRAM 5'!B91</f>
        <v>ZA NAČRT ELEKTRIČNIH INSTALACIJ</v>
      </c>
      <c r="C152" s="1001"/>
      <c r="D152" s="1073"/>
      <c r="E152" s="743"/>
    </row>
    <row r="153" spans="1:5" s="372" customFormat="1" outlineLevel="2" x14ac:dyDescent="0.2">
      <c r="A153" s="770"/>
      <c r="B153" s="1000" t="str">
        <f>'ARHIGRAM 5'!B92</f>
        <v>ZA NAČRT STROJNIH INSTALACIJ</v>
      </c>
      <c r="C153" s="1001"/>
      <c r="D153" s="1073"/>
      <c r="E153" s="743"/>
    </row>
    <row r="154" spans="1:5" s="372" customFormat="1" outlineLevel="2" x14ac:dyDescent="0.2">
      <c r="A154" s="770"/>
      <c r="B154" s="1000" t="str">
        <f>'ARHIGRAM 5'!B93</f>
        <v>ZA NAČRT TEHNOLOGIJE</v>
      </c>
      <c r="C154" s="1001"/>
      <c r="D154" s="1073"/>
      <c r="E154" s="743"/>
    </row>
    <row r="155" spans="1:5" s="372" customFormat="1" outlineLevel="2" x14ac:dyDescent="0.2">
      <c r="A155" s="998" t="s">
        <v>268</v>
      </c>
      <c r="B155" s="999"/>
      <c r="C155" s="987">
        <f>SUM(C156:C157)</f>
        <v>0</v>
      </c>
      <c r="D155" s="1060"/>
      <c r="E155" s="743"/>
    </row>
    <row r="156" spans="1:5" s="372" customFormat="1" x14ac:dyDescent="0.2">
      <c r="A156" s="995"/>
      <c r="B156" s="1006"/>
      <c r="C156" s="990">
        <v>0</v>
      </c>
      <c r="D156" s="1057"/>
      <c r="E156" s="743"/>
    </row>
    <row r="157" spans="1:5" s="372" customFormat="1" x14ac:dyDescent="0.2">
      <c r="A157" s="758"/>
      <c r="B157" s="992"/>
      <c r="C157" s="993">
        <v>0</v>
      </c>
      <c r="D157" s="1058"/>
      <c r="E157" s="743"/>
    </row>
    <row r="158" spans="1:5" s="373" customFormat="1" ht="12.75" x14ac:dyDescent="0.2">
      <c r="A158" s="1018" t="s">
        <v>63</v>
      </c>
      <c r="B158" s="1019" t="str">
        <f>'ARHIGRAM 5'!B94</f>
        <v>POSKUSNO OBRATOVANJE</v>
      </c>
      <c r="C158" s="1012">
        <f>+C159+C160</f>
        <v>0</v>
      </c>
      <c r="D158" s="1019"/>
      <c r="E158" s="743"/>
    </row>
    <row r="159" spans="1:5" s="372" customFormat="1" x14ac:dyDescent="0.2">
      <c r="A159" s="994" t="s">
        <v>631</v>
      </c>
      <c r="B159" s="797"/>
      <c r="C159" s="987">
        <v>0</v>
      </c>
      <c r="D159" s="1060"/>
      <c r="E159" s="743"/>
    </row>
    <row r="160" spans="1:5" s="372" customFormat="1" outlineLevel="2" x14ac:dyDescent="0.2">
      <c r="A160" s="998" t="s">
        <v>268</v>
      </c>
      <c r="B160" s="999"/>
      <c r="C160" s="987">
        <f>SUM(C161:C162)</f>
        <v>0</v>
      </c>
      <c r="D160" s="1060"/>
      <c r="E160" s="743"/>
    </row>
    <row r="161" spans="1:5" s="372" customFormat="1" x14ac:dyDescent="0.2">
      <c r="A161" s="995"/>
      <c r="B161" s="1006"/>
      <c r="C161" s="990"/>
      <c r="D161" s="1057"/>
      <c r="E161" s="743"/>
    </row>
    <row r="162" spans="1:5" s="372" customFormat="1" x14ac:dyDescent="0.2">
      <c r="A162" s="758"/>
      <c r="B162" s="992"/>
      <c r="C162" s="993"/>
      <c r="D162" s="1058"/>
      <c r="E162" s="743"/>
    </row>
    <row r="163" spans="1:5" s="372" customFormat="1" x14ac:dyDescent="0.2">
      <c r="A163" s="758"/>
      <c r="B163" s="796"/>
      <c r="C163" s="759">
        <v>0</v>
      </c>
      <c r="D163" s="1071"/>
      <c r="E163" s="743"/>
    </row>
    <row r="164" spans="1:5" s="373" customFormat="1" ht="12.75" x14ac:dyDescent="0.2">
      <c r="A164" s="1018" t="s">
        <v>64</v>
      </c>
      <c r="B164" s="1019" t="str">
        <f>'ARHIGRAM 5'!B95</f>
        <v>PREDAJA OBJEKTA</v>
      </c>
      <c r="C164" s="1012">
        <f>+C165+C166</f>
        <v>0</v>
      </c>
      <c r="D164" s="1019"/>
      <c r="E164" s="743"/>
    </row>
    <row r="165" spans="1:5" s="372" customFormat="1" x14ac:dyDescent="0.2">
      <c r="A165" s="994" t="s">
        <v>631</v>
      </c>
      <c r="B165" s="797"/>
      <c r="C165" s="987">
        <v>0</v>
      </c>
      <c r="D165" s="1060"/>
      <c r="E165" s="743"/>
    </row>
    <row r="166" spans="1:5" s="372" customFormat="1" outlineLevel="2" x14ac:dyDescent="0.2">
      <c r="A166" s="998" t="s">
        <v>268</v>
      </c>
      <c r="B166" s="999"/>
      <c r="C166" s="987">
        <f>SUM(C167:C168)</f>
        <v>0</v>
      </c>
      <c r="D166" s="1060"/>
      <c r="E166" s="743"/>
    </row>
    <row r="167" spans="1:5" s="372" customFormat="1" x14ac:dyDescent="0.2">
      <c r="A167" s="995"/>
      <c r="B167" s="1006"/>
      <c r="C167" s="990"/>
      <c r="D167" s="1057"/>
      <c r="E167" s="743"/>
    </row>
    <row r="168" spans="1:5" s="372" customFormat="1" x14ac:dyDescent="0.2">
      <c r="A168" s="758"/>
      <c r="B168" s="992"/>
      <c r="C168" s="993"/>
      <c r="D168" s="1058"/>
      <c r="E168" s="743"/>
    </row>
    <row r="169" spans="1:5" s="372" customFormat="1" x14ac:dyDescent="0.2">
      <c r="A169" s="758"/>
      <c r="B169" s="796"/>
      <c r="C169" s="759">
        <v>0</v>
      </c>
      <c r="D169" s="1071"/>
      <c r="E169" s="743"/>
    </row>
    <row r="170" spans="1:5" s="373" customFormat="1" ht="12.75" x14ac:dyDescent="0.2">
      <c r="A170" s="1018" t="s">
        <v>65</v>
      </c>
      <c r="B170" s="1019" t="str">
        <f>'ARHIGRAM 5'!B96</f>
        <v>DOVOLJENJE ZA UPORABO</v>
      </c>
      <c r="C170" s="1012">
        <f>+C172+C185</f>
        <v>3548.5357466666665</v>
      </c>
      <c r="D170" s="1019"/>
      <c r="E170" s="743"/>
    </row>
    <row r="171" spans="1:5" s="373" customFormat="1" ht="12.75" x14ac:dyDescent="0.2">
      <c r="A171" s="994" t="s">
        <v>631</v>
      </c>
      <c r="B171" s="797"/>
      <c r="C171" s="768"/>
      <c r="D171" s="1062"/>
      <c r="E171" s="743"/>
    </row>
    <row r="172" spans="1:5" s="373" customFormat="1" ht="12.75" x14ac:dyDescent="0.2">
      <c r="A172" s="767"/>
      <c r="B172" s="798" t="str">
        <f>'ARHIGRAM 5'!B97</f>
        <v>PROJEKT IZVEDENIH DEL (PID):</v>
      </c>
      <c r="C172" s="769">
        <f>SUM(C173:C184)</f>
        <v>3548.5357466666665</v>
      </c>
      <c r="D172" s="1063"/>
      <c r="E172" s="743"/>
    </row>
    <row r="173" spans="1:5" s="372" customFormat="1" outlineLevel="2" x14ac:dyDescent="0.2">
      <c r="A173" s="770"/>
      <c r="B173" s="988" t="str">
        <f>'ARHIGRAM 5'!B98</f>
        <v>NAČRT ARHITEKTURE</v>
      </c>
      <c r="C173" s="901">
        <f>'ARHIGRAM 5'!I98</f>
        <v>3395.4690799999998</v>
      </c>
      <c r="D173" s="1064"/>
      <c r="E173" s="743"/>
    </row>
    <row r="174" spans="1:5" s="372" customFormat="1" outlineLevel="2" x14ac:dyDescent="0.2">
      <c r="A174" s="770"/>
      <c r="B174" s="988" t="str">
        <f>'ARHIGRAM 5'!B99</f>
        <v>NAČRT ARHITEKTURE - ODPRTI PROSTOR</v>
      </c>
      <c r="C174" s="901">
        <f>'ARHIGRAM 5'!I99</f>
        <v>153.06666666666669</v>
      </c>
      <c r="D174" s="1064"/>
      <c r="E174" s="743"/>
    </row>
    <row r="175" spans="1:5" s="372" customFormat="1" outlineLevel="2" x14ac:dyDescent="0.2">
      <c r="A175" s="770"/>
      <c r="B175" s="988" t="str">
        <f>'ARHIGRAM 5'!B100</f>
        <v>NAČRT NOTRANJE OPREME</v>
      </c>
      <c r="C175" s="901">
        <f>'ARHIGRAM 5'!I100</f>
        <v>0</v>
      </c>
      <c r="D175" s="1064"/>
      <c r="E175" s="743"/>
    </row>
    <row r="176" spans="1:5" s="372" customFormat="1" outlineLevel="2" x14ac:dyDescent="0.2">
      <c r="A176" s="770"/>
      <c r="B176" s="988" t="str">
        <f>'ARHIGRAM 5'!B101</f>
        <v>NAČRT KRAJINSKE ARHITEKTURE</v>
      </c>
      <c r="C176" s="901">
        <f>'ARHIGRAM 5'!I101</f>
        <v>0</v>
      </c>
      <c r="D176" s="1064"/>
      <c r="E176" s="743"/>
    </row>
    <row r="177" spans="1:5" s="372" customFormat="1" outlineLevel="2" x14ac:dyDescent="0.2">
      <c r="A177" s="770"/>
      <c r="B177" s="989" t="str">
        <f>'ARHIGRAM 5'!B102</f>
        <v>NAČRT GRADBENIH KONSTRUKCIJ</v>
      </c>
      <c r="C177" s="990"/>
      <c r="D177" s="1057"/>
      <c r="E177" s="743"/>
    </row>
    <row r="178" spans="1:5" s="372" customFormat="1" outlineLevel="2" x14ac:dyDescent="0.2">
      <c r="A178" s="770"/>
      <c r="B178" s="989" t="str">
        <f>'ARHIGRAM 5'!B103</f>
        <v>NAČRT ELEKTRIČNIH INSTALACIJ</v>
      </c>
      <c r="C178" s="990"/>
      <c r="D178" s="1057"/>
      <c r="E178" s="743"/>
    </row>
    <row r="179" spans="1:5" s="372" customFormat="1" outlineLevel="2" x14ac:dyDescent="0.2">
      <c r="A179" s="770"/>
      <c r="B179" s="989" t="str">
        <f>'ARHIGRAM 5'!B104</f>
        <v>NAČRT STROJNIH INSTALACIJ</v>
      </c>
      <c r="C179" s="990"/>
      <c r="D179" s="1057"/>
      <c r="E179" s="743"/>
    </row>
    <row r="180" spans="1:5" s="372" customFormat="1" outlineLevel="2" x14ac:dyDescent="0.2">
      <c r="A180" s="770"/>
      <c r="B180" s="989" t="str">
        <f>'ARHIGRAM 5'!B105</f>
        <v>NAČRT TEHNOLOGIJE</v>
      </c>
      <c r="C180" s="990"/>
      <c r="D180" s="1057"/>
      <c r="E180" s="743"/>
    </row>
    <row r="181" spans="1:5" s="372" customFormat="1" outlineLevel="2" x14ac:dyDescent="0.2">
      <c r="A181" s="770"/>
      <c r="B181" s="989" t="str">
        <f>'ARHIGRAM 5'!B106</f>
        <v>NAČRT POŽARNE VARNOSTI</v>
      </c>
      <c r="C181" s="990"/>
      <c r="D181" s="1057"/>
      <c r="E181" s="743"/>
    </row>
    <row r="182" spans="1:5" s="372" customFormat="1" outlineLevel="2" x14ac:dyDescent="0.2">
      <c r="A182" s="770"/>
      <c r="B182" s="989" t="str">
        <f>'ARHIGRAM 5'!B107</f>
        <v>UČINKOVITA RABA ENERGIJE</v>
      </c>
      <c r="C182" s="990"/>
      <c r="D182" s="1057"/>
      <c r="E182" s="743"/>
    </row>
    <row r="183" spans="1:5" s="372" customFormat="1" outlineLevel="2" x14ac:dyDescent="0.2">
      <c r="A183" s="770"/>
      <c r="B183" s="989" t="str">
        <f>'ARHIGRAM 5'!B108</f>
        <v>ZAŠČITA PRED HRUPOM</v>
      </c>
      <c r="C183" s="990"/>
      <c r="D183" s="1057"/>
      <c r="E183" s="743"/>
    </row>
    <row r="184" spans="1:5" s="372" customFormat="1" outlineLevel="2" x14ac:dyDescent="0.2">
      <c r="A184" s="758"/>
      <c r="B184" s="996" t="str">
        <f>'ARHIGRAM 5'!B109</f>
        <v>PROSTORSKA AKUSTIKA</v>
      </c>
      <c r="C184" s="997"/>
      <c r="D184" s="1065"/>
      <c r="E184" s="743"/>
    </row>
    <row r="185" spans="1:5" s="372" customFormat="1" outlineLevel="2" x14ac:dyDescent="0.2">
      <c r="A185" s="998" t="s">
        <v>268</v>
      </c>
      <c r="B185" s="999"/>
      <c r="C185" s="987">
        <f>SUM(C186:C187)</f>
        <v>0</v>
      </c>
      <c r="D185" s="1060"/>
      <c r="E185" s="743"/>
    </row>
    <row r="186" spans="1:5" s="372" customFormat="1" x14ac:dyDescent="0.2">
      <c r="A186" s="995"/>
      <c r="B186" s="1006"/>
      <c r="C186" s="990"/>
      <c r="D186" s="1057"/>
      <c r="E186" s="743"/>
    </row>
    <row r="187" spans="1:5" s="372" customFormat="1" x14ac:dyDescent="0.2">
      <c r="A187" s="758"/>
      <c r="B187" s="992"/>
      <c r="C187" s="993"/>
      <c r="D187" s="1058"/>
      <c r="E187" s="743"/>
    </row>
    <row r="188" spans="1:5" s="372" customFormat="1" x14ac:dyDescent="0.2">
      <c r="A188" s="777">
        <v>5</v>
      </c>
      <c r="B188" s="795" t="s">
        <v>66</v>
      </c>
      <c r="C188" s="755">
        <f>+C189+C194</f>
        <v>0</v>
      </c>
      <c r="D188" s="1056"/>
      <c r="E188" s="743"/>
    </row>
    <row r="189" spans="1:5" s="373" customFormat="1" ht="12.75" x14ac:dyDescent="0.2">
      <c r="A189" s="1018" t="s">
        <v>67</v>
      </c>
      <c r="B189" s="1020" t="s">
        <v>257</v>
      </c>
      <c r="C189" s="1012">
        <f>+C190+C191</f>
        <v>0</v>
      </c>
      <c r="D189" s="1019"/>
      <c r="E189" s="743"/>
    </row>
    <row r="190" spans="1:5" s="372" customFormat="1" x14ac:dyDescent="0.2">
      <c r="A190" s="994" t="s">
        <v>631</v>
      </c>
      <c r="B190" s="797"/>
      <c r="C190" s="987">
        <v>0</v>
      </c>
      <c r="D190" s="1060"/>
      <c r="E190" s="743"/>
    </row>
    <row r="191" spans="1:5" s="372" customFormat="1" outlineLevel="2" x14ac:dyDescent="0.2">
      <c r="A191" s="998" t="s">
        <v>268</v>
      </c>
      <c r="B191" s="999"/>
      <c r="C191" s="987">
        <f>SUM(C192:C193)</f>
        <v>0</v>
      </c>
      <c r="D191" s="1060"/>
      <c r="E191" s="743"/>
    </row>
    <row r="192" spans="1:5" s="372" customFormat="1" x14ac:dyDescent="0.2">
      <c r="A192" s="995"/>
      <c r="B192" s="1006"/>
      <c r="C192" s="990"/>
      <c r="D192" s="1057"/>
      <c r="E192" s="743"/>
    </row>
    <row r="193" spans="1:5" s="372" customFormat="1" x14ac:dyDescent="0.2">
      <c r="A193" s="758"/>
      <c r="B193" s="992"/>
      <c r="C193" s="993"/>
      <c r="D193" s="1058"/>
      <c r="E193" s="743"/>
    </row>
    <row r="194" spans="1:5" s="373" customFormat="1" ht="12.75" x14ac:dyDescent="0.2">
      <c r="A194" s="1018" t="s">
        <v>68</v>
      </c>
      <c r="B194" s="1020" t="s">
        <v>258</v>
      </c>
      <c r="C194" s="1012">
        <f>+C195+C196</f>
        <v>0</v>
      </c>
      <c r="D194" s="1019"/>
      <c r="E194" s="743"/>
    </row>
    <row r="195" spans="1:5" s="372" customFormat="1" x14ac:dyDescent="0.2">
      <c r="A195" s="994" t="s">
        <v>631</v>
      </c>
      <c r="B195" s="797"/>
      <c r="C195" s="987">
        <v>0</v>
      </c>
      <c r="D195" s="1060"/>
      <c r="E195" s="743"/>
    </row>
    <row r="196" spans="1:5" s="372" customFormat="1" outlineLevel="2" x14ac:dyDescent="0.2">
      <c r="A196" s="998" t="s">
        <v>268</v>
      </c>
      <c r="B196" s="999"/>
      <c r="C196" s="987">
        <f>SUM(C197:C198)</f>
        <v>0</v>
      </c>
      <c r="D196" s="1060"/>
      <c r="E196" s="743"/>
    </row>
    <row r="197" spans="1:5" s="372" customFormat="1" x14ac:dyDescent="0.2">
      <c r="A197" s="995"/>
      <c r="B197" s="1006"/>
      <c r="C197" s="990"/>
      <c r="D197" s="1057"/>
      <c r="E197" s="743"/>
    </row>
    <row r="198" spans="1:5" s="372" customFormat="1" x14ac:dyDescent="0.2">
      <c r="A198" s="758"/>
      <c r="B198" s="992"/>
      <c r="C198" s="993"/>
      <c r="D198" s="1058"/>
      <c r="E198" s="743"/>
    </row>
    <row r="199" spans="1:5" s="372" customFormat="1" x14ac:dyDescent="0.2">
      <c r="A199" s="779">
        <v>6</v>
      </c>
      <c r="B199" s="795" t="s">
        <v>69</v>
      </c>
      <c r="C199" s="755">
        <f>+C200+C205+C210</f>
        <v>0</v>
      </c>
      <c r="D199" s="1056"/>
      <c r="E199" s="743"/>
    </row>
    <row r="200" spans="1:5" s="373" customFormat="1" ht="12.75" x14ac:dyDescent="0.2">
      <c r="A200" s="1018" t="s">
        <v>73</v>
      </c>
      <c r="B200" s="1020" t="s">
        <v>259</v>
      </c>
      <c r="C200" s="1012">
        <f>+C201+C202</f>
        <v>0</v>
      </c>
      <c r="D200" s="1019"/>
      <c r="E200" s="743"/>
    </row>
    <row r="201" spans="1:5" s="372" customFormat="1" x14ac:dyDescent="0.2">
      <c r="A201" s="994" t="s">
        <v>631</v>
      </c>
      <c r="B201" s="797"/>
      <c r="C201" s="987">
        <v>0</v>
      </c>
      <c r="D201" s="1060"/>
      <c r="E201" s="743"/>
    </row>
    <row r="202" spans="1:5" s="372" customFormat="1" outlineLevel="2" x14ac:dyDescent="0.2">
      <c r="A202" s="998" t="s">
        <v>268</v>
      </c>
      <c r="B202" s="999"/>
      <c r="C202" s="987">
        <f>SUM(C203:C204)</f>
        <v>0</v>
      </c>
      <c r="D202" s="1060"/>
      <c r="E202" s="743"/>
    </row>
    <row r="203" spans="1:5" s="372" customFormat="1" x14ac:dyDescent="0.2">
      <c r="A203" s="995"/>
      <c r="B203" s="1006"/>
      <c r="C203" s="990"/>
      <c r="D203" s="1057"/>
      <c r="E203" s="743"/>
    </row>
    <row r="204" spans="1:5" s="372" customFormat="1" x14ac:dyDescent="0.2">
      <c r="A204" s="758"/>
      <c r="B204" s="992"/>
      <c r="C204" s="993"/>
      <c r="D204" s="1058"/>
      <c r="E204" s="743"/>
    </row>
    <row r="205" spans="1:5" s="373" customFormat="1" ht="12.75" x14ac:dyDescent="0.2">
      <c r="A205" s="1018" t="s">
        <v>74</v>
      </c>
      <c r="B205" s="1020" t="s">
        <v>260</v>
      </c>
      <c r="C205" s="1012">
        <f>+C206+C207</f>
        <v>0</v>
      </c>
      <c r="D205" s="1019"/>
      <c r="E205" s="743"/>
    </row>
    <row r="206" spans="1:5" s="372" customFormat="1" x14ac:dyDescent="0.2">
      <c r="A206" s="994" t="s">
        <v>631</v>
      </c>
      <c r="B206" s="797"/>
      <c r="C206" s="987">
        <v>0</v>
      </c>
      <c r="D206" s="1060"/>
      <c r="E206" s="743"/>
    </row>
    <row r="207" spans="1:5" s="372" customFormat="1" outlineLevel="2" x14ac:dyDescent="0.2">
      <c r="A207" s="998" t="s">
        <v>268</v>
      </c>
      <c r="B207" s="999"/>
      <c r="C207" s="987">
        <f>SUM(C208:C209)</f>
        <v>0</v>
      </c>
      <c r="D207" s="1060"/>
      <c r="E207" s="743"/>
    </row>
    <row r="208" spans="1:5" s="372" customFormat="1" x14ac:dyDescent="0.2">
      <c r="A208" s="995"/>
      <c r="B208" s="1006"/>
      <c r="C208" s="990"/>
      <c r="D208" s="1057"/>
      <c r="E208" s="743"/>
    </row>
    <row r="209" spans="1:5" s="372" customFormat="1" x14ac:dyDescent="0.2">
      <c r="A209" s="758"/>
      <c r="B209" s="992"/>
      <c r="C209" s="993"/>
      <c r="D209" s="1058"/>
      <c r="E209" s="743"/>
    </row>
    <row r="210" spans="1:5" s="373" customFormat="1" ht="12.75" x14ac:dyDescent="0.2">
      <c r="A210" s="1018" t="s">
        <v>75</v>
      </c>
      <c r="B210" s="1020" t="s">
        <v>261</v>
      </c>
      <c r="C210" s="1012">
        <f>+C211+C212</f>
        <v>0</v>
      </c>
      <c r="D210" s="1019"/>
      <c r="E210" s="743"/>
    </row>
    <row r="211" spans="1:5" s="372" customFormat="1" x14ac:dyDescent="0.2">
      <c r="A211" s="994" t="s">
        <v>631</v>
      </c>
      <c r="B211" s="797"/>
      <c r="C211" s="987">
        <v>0</v>
      </c>
      <c r="D211" s="1060"/>
      <c r="E211" s="743"/>
    </row>
    <row r="212" spans="1:5" s="372" customFormat="1" outlineLevel="2" x14ac:dyDescent="0.2">
      <c r="A212" s="998" t="s">
        <v>268</v>
      </c>
      <c r="B212" s="999"/>
      <c r="C212" s="987">
        <f>SUM(C213:C214)</f>
        <v>0</v>
      </c>
      <c r="D212" s="1060"/>
      <c r="E212" s="743"/>
    </row>
    <row r="213" spans="1:5" s="372" customFormat="1" x14ac:dyDescent="0.2">
      <c r="A213" s="995"/>
      <c r="B213" s="1006"/>
      <c r="C213" s="990"/>
      <c r="D213" s="1057"/>
      <c r="E213" s="743"/>
    </row>
    <row r="214" spans="1:5" s="372" customFormat="1" x14ac:dyDescent="0.2">
      <c r="A214" s="758"/>
      <c r="B214" s="992"/>
      <c r="C214" s="993"/>
      <c r="D214" s="1058"/>
      <c r="E214" s="743"/>
    </row>
    <row r="215" spans="1:5" s="372" customFormat="1" x14ac:dyDescent="0.2">
      <c r="A215" s="770"/>
      <c r="B215" s="799"/>
      <c r="C215" s="1007"/>
      <c r="D215" s="1074"/>
      <c r="E215" s="743"/>
    </row>
    <row r="216" spans="1:5" s="14" customFormat="1" x14ac:dyDescent="0.2">
      <c r="A216" s="780"/>
      <c r="B216" s="800"/>
      <c r="C216" s="782"/>
      <c r="D216" s="1075"/>
      <c r="E216" s="743"/>
    </row>
    <row r="217" spans="1:5" s="14" customFormat="1" x14ac:dyDescent="0.2">
      <c r="A217" s="801" t="s">
        <v>0</v>
      </c>
      <c r="B217" s="801"/>
      <c r="C217" s="809">
        <f>+C17+C24+C40+C124+C137+C188+C199</f>
        <v>129091.74907933333</v>
      </c>
      <c r="D217" s="1076"/>
      <c r="E217" s="743"/>
    </row>
    <row r="218" spans="1:5" s="14" customFormat="1" x14ac:dyDescent="0.2">
      <c r="A218" s="801" t="s">
        <v>821</v>
      </c>
      <c r="B218" s="1113">
        <v>0.22</v>
      </c>
      <c r="C218" s="808">
        <f>+C217*B218</f>
        <v>28400.184797453334</v>
      </c>
      <c r="D218" s="1077"/>
      <c r="E218" s="743"/>
    </row>
    <row r="219" spans="1:5" s="14" customFormat="1" x14ac:dyDescent="0.2">
      <c r="A219" s="784" t="s">
        <v>635</v>
      </c>
      <c r="B219" s="801"/>
      <c r="C219" s="785">
        <f>SUM(C217:C218)</f>
        <v>157491.93387678667</v>
      </c>
      <c r="D219" s="1078"/>
      <c r="E219" s="743"/>
    </row>
    <row r="220" spans="1:5" s="14" customFormat="1" x14ac:dyDescent="0.2">
      <c r="A220" s="781"/>
      <c r="B220" s="800"/>
      <c r="C220" s="1114"/>
      <c r="D220" s="1115"/>
      <c r="E220" s="743"/>
    </row>
    <row r="221" spans="1:5" s="14" customFormat="1" x14ac:dyDescent="0.2">
      <c r="A221" s="786"/>
      <c r="B221" s="802"/>
      <c r="C221" s="788"/>
      <c r="D221" s="1079"/>
    </row>
    <row r="222" spans="1:5" s="14" customFormat="1" ht="15.75" x14ac:dyDescent="0.2">
      <c r="A222" s="368" t="s">
        <v>784</v>
      </c>
      <c r="B222" s="369"/>
      <c r="C222" s="369"/>
      <c r="D222" s="370"/>
    </row>
    <row r="223" spans="1:5" ht="15.75" x14ac:dyDescent="0.25">
      <c r="A223" s="542" t="str">
        <f>'OSNOVNI PODATKI'!B270</f>
        <v>© 2022 ZAPS, vse pravice pridržane</v>
      </c>
      <c r="B223" s="543"/>
      <c r="C223" s="543"/>
      <c r="D223" s="544"/>
      <c r="E223" s="13"/>
    </row>
    <row r="224" spans="1:5" s="14" customFormat="1" x14ac:dyDescent="0.2">
      <c r="A224" s="32"/>
      <c r="B224" s="803"/>
      <c r="C224" s="169"/>
      <c r="D224" s="1080"/>
      <c r="E224" s="743"/>
    </row>
    <row r="225" spans="1:19" s="14" customFormat="1" x14ac:dyDescent="0.2">
      <c r="A225" s="32"/>
      <c r="B225" s="803"/>
      <c r="C225" s="169"/>
      <c r="D225" s="1080"/>
      <c r="E225" s="743"/>
    </row>
    <row r="226" spans="1:19" s="14" customFormat="1" ht="18.75" x14ac:dyDescent="0.25">
      <c r="A226" s="1081" t="s">
        <v>800</v>
      </c>
      <c r="B226" s="13"/>
      <c r="C226" s="1082"/>
      <c r="D226" s="13"/>
      <c r="E226" s="13"/>
      <c r="F226" s="13"/>
      <c r="G226" s="13"/>
      <c r="H226" s="13"/>
      <c r="I226" s="13"/>
      <c r="J226" s="13"/>
      <c r="K226" s="13"/>
      <c r="L226" s="13"/>
      <c r="M226" s="13"/>
      <c r="N226" s="13"/>
      <c r="O226" s="13"/>
      <c r="P226" s="13"/>
      <c r="Q226" s="13"/>
      <c r="R226" s="13"/>
      <c r="S226" s="13"/>
    </row>
    <row r="227" spans="1:19" s="14" customFormat="1" x14ac:dyDescent="0.25">
      <c r="A227" s="38" t="s">
        <v>822</v>
      </c>
      <c r="B227" s="13"/>
      <c r="C227" s="1082"/>
      <c r="D227" s="13"/>
      <c r="E227" s="13"/>
      <c r="F227" s="13"/>
      <c r="G227" s="13"/>
      <c r="H227" s="13"/>
      <c r="I227" s="13"/>
      <c r="J227" s="13"/>
      <c r="K227" s="13"/>
      <c r="L227" s="13"/>
      <c r="M227" s="13"/>
      <c r="N227" s="13"/>
      <c r="O227" s="13"/>
      <c r="P227" s="13"/>
      <c r="Q227" s="13"/>
      <c r="R227" s="13"/>
      <c r="S227" s="13"/>
    </row>
    <row r="228" spans="1:19" ht="86.25" x14ac:dyDescent="0.25">
      <c r="A228" s="1083"/>
      <c r="B228" s="1084"/>
      <c r="C228" s="1084"/>
      <c r="D228" s="1084"/>
      <c r="E228" s="958" t="str">
        <f>'ARHIGRAM 5'!C124</f>
        <v>DOKUMENTACIJA ZA UPRAVNE POSTOPKE</v>
      </c>
      <c r="F228" s="958" t="str">
        <f>'ARHIGRAM 5'!D124</f>
        <v>NAČRT ARHITEKTURE</v>
      </c>
      <c r="G228" s="958" t="str">
        <f>'ARHIGRAM 5'!F124</f>
        <v>NAČRT ARHITEKTURE - ODPRTI PROSTOR</v>
      </c>
      <c r="H228" s="958" t="str">
        <f>'ARHIGRAM 5'!E124</f>
        <v>NAČRT NOTRANJE OPREME</v>
      </c>
      <c r="I228" s="958" t="str">
        <f>'ARHIGRAM 5'!G124</f>
        <v>NAČRT KRAJINSKE ARHITEKTURE</v>
      </c>
      <c r="J228" s="958" t="str">
        <f>'ARHIGRAM 5'!H124</f>
        <v>NAČRT GRADBENIH KONSTRUKCIJ</v>
      </c>
      <c r="K228" s="958" t="str">
        <f>'ARHIGRAM 5'!I124</f>
        <v>NAČRT ELEKTRIČNIH INŠTALACIJ</v>
      </c>
      <c r="L228" s="958" t="str">
        <f>'ARHIGRAM 5'!J124</f>
        <v>NAČRT STROJNIH INŠTALACIJ</v>
      </c>
      <c r="M228" s="958" t="str">
        <f>'ARHIGRAM 5'!K124</f>
        <v>NAČRT TEHNOLOGIJE</v>
      </c>
      <c r="N228" s="958" t="str">
        <f>'ARHIGRAM 5'!L124</f>
        <v>POŽARNA VARNOST</v>
      </c>
      <c r="O228" s="958" t="str">
        <f>'ARHIGRAM 5'!M124</f>
        <v>UČINKOVITA RABA ENERGIJE</v>
      </c>
      <c r="P228" s="960" t="str">
        <f>'ARHIGRAM 5'!N124</f>
        <v>ZAŠČITA PRED HRUPOM</v>
      </c>
      <c r="Q228" s="960" t="str">
        <f>'ARHIGRAM 5'!O124</f>
        <v>PROSTORSKA AKUSTIKA</v>
      </c>
      <c r="R228" s="960" t="str">
        <f>'ARHIGRAM 5'!P124</f>
        <v>SKUPAJ NU ZA FAZO</v>
      </c>
      <c r="S228" s="961"/>
    </row>
    <row r="229" spans="1:19" x14ac:dyDescent="0.25">
      <c r="A229" s="849" t="s">
        <v>70</v>
      </c>
      <c r="B229" s="1085" t="s">
        <v>794</v>
      </c>
      <c r="C229" s="1086"/>
      <c r="D229" s="1086"/>
      <c r="E229" s="1087"/>
      <c r="F229" s="1088">
        <f>C44</f>
        <v>10186.407239999999</v>
      </c>
      <c r="G229" s="1088">
        <f>C45</f>
        <v>765.33333333333348</v>
      </c>
      <c r="H229" s="1088">
        <f>C46</f>
        <v>0</v>
      </c>
      <c r="I229" s="1088">
        <f>C47</f>
        <v>0</v>
      </c>
      <c r="J229" s="1088">
        <f>C48</f>
        <v>0</v>
      </c>
      <c r="K229" s="1088">
        <f>C49</f>
        <v>0</v>
      </c>
      <c r="L229" s="1088">
        <f>C50</f>
        <v>0</v>
      </c>
      <c r="M229" s="1088">
        <f>C51</f>
        <v>0</v>
      </c>
      <c r="N229" s="1088">
        <f>C52</f>
        <v>0</v>
      </c>
      <c r="O229" s="1088">
        <f>C53</f>
        <v>0</v>
      </c>
      <c r="P229" s="1088">
        <f>C54</f>
        <v>0</v>
      </c>
      <c r="Q229" s="1088">
        <f>C55</f>
        <v>0</v>
      </c>
      <c r="R229" s="1089">
        <f t="shared" ref="R229:R234" si="0">SUM(D229:Q229)</f>
        <v>10951.740573333333</v>
      </c>
      <c r="S229" s="851">
        <f>R229/$R$235</f>
        <v>9.4090237015334227E-2</v>
      </c>
    </row>
    <row r="230" spans="1:19" x14ac:dyDescent="0.25">
      <c r="A230" s="852" t="s">
        <v>71</v>
      </c>
      <c r="B230" s="1090" t="s">
        <v>795</v>
      </c>
      <c r="C230" s="1091"/>
      <c r="D230" s="1091"/>
      <c r="E230" s="1087"/>
      <c r="F230" s="1088">
        <f>C62</f>
        <v>27163.752639999999</v>
      </c>
      <c r="G230" s="1088">
        <f>C63</f>
        <v>1224.5333333333335</v>
      </c>
      <c r="H230" s="1088">
        <f>C64</f>
        <v>0</v>
      </c>
      <c r="I230" s="1088">
        <f>C65</f>
        <v>0</v>
      </c>
      <c r="J230" s="1088">
        <f>C66</f>
        <v>0</v>
      </c>
      <c r="K230" s="1088">
        <f>C67</f>
        <v>0</v>
      </c>
      <c r="L230" s="1088">
        <f>C68</f>
        <v>0</v>
      </c>
      <c r="M230" s="1088">
        <f>C69</f>
        <v>0</v>
      </c>
      <c r="N230" s="1088">
        <f>C70</f>
        <v>0</v>
      </c>
      <c r="O230" s="1088">
        <f>C71</f>
        <v>0</v>
      </c>
      <c r="P230" s="1088">
        <f>C72</f>
        <v>0</v>
      </c>
      <c r="Q230" s="1088">
        <f>C73</f>
        <v>0</v>
      </c>
      <c r="R230" s="1089">
        <f t="shared" si="0"/>
        <v>28388.285973333332</v>
      </c>
      <c r="S230" s="851">
        <f t="shared" ref="S230:S235" si="1">R230/$R$235</f>
        <v>0.24389370235758265</v>
      </c>
    </row>
    <row r="231" spans="1:19" x14ac:dyDescent="0.25">
      <c r="A231" s="852" t="s">
        <v>72</v>
      </c>
      <c r="B231" s="1090" t="s">
        <v>1074</v>
      </c>
      <c r="C231" s="1091"/>
      <c r="D231" s="1091"/>
      <c r="E231" s="1088">
        <f>C79</f>
        <v>11395.791219333336</v>
      </c>
      <c r="F231" s="1087"/>
      <c r="G231" s="1087"/>
      <c r="H231" s="1087"/>
      <c r="I231" s="1087"/>
      <c r="J231" s="1087"/>
      <c r="K231" s="1087"/>
      <c r="L231" s="1087"/>
      <c r="M231" s="1087"/>
      <c r="N231" s="1087"/>
      <c r="O231" s="1087"/>
      <c r="P231" s="1087"/>
      <c r="Q231" s="1087"/>
      <c r="R231" s="1089">
        <f t="shared" si="0"/>
        <v>11395.791219333336</v>
      </c>
      <c r="S231" s="851">
        <f t="shared" si="1"/>
        <v>9.790523155882129E-2</v>
      </c>
    </row>
    <row r="232" spans="1:19" x14ac:dyDescent="0.25">
      <c r="A232" s="852" t="s">
        <v>125</v>
      </c>
      <c r="B232" s="1090" t="s">
        <v>796</v>
      </c>
      <c r="C232" s="1091"/>
      <c r="D232" s="1091"/>
      <c r="E232" s="1087"/>
      <c r="F232" s="1088">
        <f>C90</f>
        <v>50932.036199999995</v>
      </c>
      <c r="G232" s="1088">
        <f>C91</f>
        <v>1913.3333333333335</v>
      </c>
      <c r="H232" s="1088">
        <f>C92</f>
        <v>0</v>
      </c>
      <c r="I232" s="1088">
        <f>C93</f>
        <v>0</v>
      </c>
      <c r="J232" s="1088">
        <f>C94</f>
        <v>0</v>
      </c>
      <c r="K232" s="1088">
        <f>C95</f>
        <v>0</v>
      </c>
      <c r="L232" s="1088">
        <f>C96</f>
        <v>0</v>
      </c>
      <c r="M232" s="1088">
        <f>C97</f>
        <v>0</v>
      </c>
      <c r="N232" s="1088">
        <f>C98</f>
        <v>0</v>
      </c>
      <c r="O232" s="1088">
        <f>C99</f>
        <v>0</v>
      </c>
      <c r="P232" s="1088">
        <f>C100</f>
        <v>0</v>
      </c>
      <c r="Q232" s="1088">
        <f>C101</f>
        <v>0</v>
      </c>
      <c r="R232" s="1089">
        <f t="shared" si="0"/>
        <v>52845.369533333331</v>
      </c>
      <c r="S232" s="851">
        <f t="shared" si="1"/>
        <v>0.45401306863141655</v>
      </c>
    </row>
    <row r="233" spans="1:19" x14ac:dyDescent="0.25">
      <c r="A233" s="854" t="s">
        <v>126</v>
      </c>
      <c r="B233" s="1092" t="s">
        <v>797</v>
      </c>
      <c r="C233" s="1092"/>
      <c r="D233" s="1092"/>
      <c r="E233" s="1087"/>
      <c r="F233" s="1088">
        <f>C114</f>
        <v>8730.6854600000006</v>
      </c>
      <c r="G233" s="1088">
        <f>C115</f>
        <v>535.73333333333335</v>
      </c>
      <c r="H233" s="1088">
        <f>C116</f>
        <v>0</v>
      </c>
      <c r="I233" s="1088">
        <f>C117</f>
        <v>0</v>
      </c>
      <c r="J233" s="1087"/>
      <c r="K233" s="1088">
        <f>C119</f>
        <v>0</v>
      </c>
      <c r="L233" s="1088">
        <f>C120</f>
        <v>0</v>
      </c>
      <c r="M233" s="1088">
        <f>C121</f>
        <v>0</v>
      </c>
      <c r="N233" s="1087"/>
      <c r="O233" s="1087"/>
      <c r="P233" s="1087"/>
      <c r="Q233" s="1087"/>
      <c r="R233" s="1089">
        <f t="shared" si="0"/>
        <v>9266.4187933333342</v>
      </c>
      <c r="S233" s="851">
        <f t="shared" si="1"/>
        <v>7.9611047642147603E-2</v>
      </c>
    </row>
    <row r="234" spans="1:19" x14ac:dyDescent="0.25">
      <c r="A234" s="852" t="s">
        <v>65</v>
      </c>
      <c r="B234" s="1093" t="s">
        <v>798</v>
      </c>
      <c r="C234" s="1094"/>
      <c r="D234" s="1094"/>
      <c r="E234" s="1087"/>
      <c r="F234" s="1088">
        <f>C173</f>
        <v>3395.4690799999998</v>
      </c>
      <c r="G234" s="1088">
        <f>C174</f>
        <v>153.06666666666669</v>
      </c>
      <c r="H234" s="1088">
        <f>C175</f>
        <v>0</v>
      </c>
      <c r="I234" s="1088">
        <f>C176</f>
        <v>0</v>
      </c>
      <c r="J234" s="1088">
        <f>C177</f>
        <v>0</v>
      </c>
      <c r="K234" s="1088">
        <f>C178</f>
        <v>0</v>
      </c>
      <c r="L234" s="1088">
        <f>C179</f>
        <v>0</v>
      </c>
      <c r="M234" s="1088">
        <f>C180</f>
        <v>0</v>
      </c>
      <c r="N234" s="1088">
        <f>C181</f>
        <v>0</v>
      </c>
      <c r="O234" s="1088">
        <f>C182</f>
        <v>0</v>
      </c>
      <c r="P234" s="1088">
        <f>C183</f>
        <v>0</v>
      </c>
      <c r="Q234" s="1088">
        <f>C184</f>
        <v>0</v>
      </c>
      <c r="R234" s="1089">
        <f t="shared" si="0"/>
        <v>3548.5357466666665</v>
      </c>
      <c r="S234" s="851">
        <f t="shared" si="1"/>
        <v>3.0486712794697831E-2</v>
      </c>
    </row>
    <row r="235" spans="1:19" x14ac:dyDescent="0.25">
      <c r="A235" s="858"/>
      <c r="B235" s="1095" t="s">
        <v>266</v>
      </c>
      <c r="C235" s="1095"/>
      <c r="D235" s="1095"/>
      <c r="E235" s="1096">
        <f>SUM(E229:E234)</f>
        <v>11395.791219333336</v>
      </c>
      <c r="F235" s="1096">
        <f>SUM(F229:F234)</f>
        <v>100408.35062</v>
      </c>
      <c r="G235" s="1096">
        <f>SUM(G229:G234)</f>
        <v>4592.0000000000009</v>
      </c>
      <c r="H235" s="1096">
        <f t="shared" ref="H235:R235" si="2">SUM(H229:H234)</f>
        <v>0</v>
      </c>
      <c r="I235" s="1096">
        <f t="shared" si="2"/>
        <v>0</v>
      </c>
      <c r="J235" s="1096">
        <f t="shared" si="2"/>
        <v>0</v>
      </c>
      <c r="K235" s="1096">
        <f t="shared" si="2"/>
        <v>0</v>
      </c>
      <c r="L235" s="1096">
        <f t="shared" si="2"/>
        <v>0</v>
      </c>
      <c r="M235" s="1096">
        <f t="shared" si="2"/>
        <v>0</v>
      </c>
      <c r="N235" s="1096">
        <f t="shared" si="2"/>
        <v>0</v>
      </c>
      <c r="O235" s="1096">
        <f t="shared" si="2"/>
        <v>0</v>
      </c>
      <c r="P235" s="1096">
        <f t="shared" si="2"/>
        <v>0</v>
      </c>
      <c r="Q235" s="1096">
        <f t="shared" si="2"/>
        <v>0</v>
      </c>
      <c r="R235" s="1097">
        <f t="shared" si="2"/>
        <v>116396.14183933332</v>
      </c>
      <c r="S235" s="851">
        <f t="shared" si="1"/>
        <v>1</v>
      </c>
    </row>
    <row r="236" spans="1:19" x14ac:dyDescent="0.25">
      <c r="A236" s="1098"/>
      <c r="B236" s="1099"/>
      <c r="C236" s="1099"/>
      <c r="D236" s="1099"/>
      <c r="E236" s="864">
        <f t="shared" ref="E236:R236" si="3">E235/$R$235</f>
        <v>9.790523155882129E-2</v>
      </c>
      <c r="F236" s="864">
        <f t="shared" si="3"/>
        <v>0.86264328897256781</v>
      </c>
      <c r="G236" s="864">
        <f t="shared" si="3"/>
        <v>3.9451479468611078E-2</v>
      </c>
      <c r="H236" s="864">
        <f t="shared" si="3"/>
        <v>0</v>
      </c>
      <c r="I236" s="864">
        <f t="shared" si="3"/>
        <v>0</v>
      </c>
      <c r="J236" s="864">
        <f t="shared" si="3"/>
        <v>0</v>
      </c>
      <c r="K236" s="864">
        <f t="shared" si="3"/>
        <v>0</v>
      </c>
      <c r="L236" s="864">
        <f t="shared" si="3"/>
        <v>0</v>
      </c>
      <c r="M236" s="864">
        <f t="shared" si="3"/>
        <v>0</v>
      </c>
      <c r="N236" s="864">
        <f t="shared" si="3"/>
        <v>0</v>
      </c>
      <c r="O236" s="864">
        <f t="shared" si="3"/>
        <v>0</v>
      </c>
      <c r="P236" s="864">
        <f t="shared" si="3"/>
        <v>0</v>
      </c>
      <c r="Q236" s="864">
        <f t="shared" si="3"/>
        <v>0</v>
      </c>
      <c r="R236" s="864">
        <f t="shared" si="3"/>
        <v>1</v>
      </c>
      <c r="S236" s="851"/>
    </row>
    <row r="237" spans="1:19" x14ac:dyDescent="0.25">
      <c r="A237" s="852" t="s">
        <v>62</v>
      </c>
      <c r="B237" s="1090" t="s">
        <v>779</v>
      </c>
      <c r="C237" s="1091"/>
      <c r="D237" s="1091"/>
      <c r="E237" s="1087"/>
      <c r="F237" s="1088">
        <f>C147</f>
        <v>10186.407239999999</v>
      </c>
      <c r="G237" s="1088">
        <f>C148</f>
        <v>459.20000000000005</v>
      </c>
      <c r="H237" s="1088">
        <f>C149</f>
        <v>0</v>
      </c>
      <c r="I237" s="1088">
        <f>C150</f>
        <v>0</v>
      </c>
      <c r="J237" s="1088">
        <f>C151</f>
        <v>0</v>
      </c>
      <c r="K237" s="1088">
        <f>C152</f>
        <v>0</v>
      </c>
      <c r="L237" s="1088">
        <f>C153</f>
        <v>0</v>
      </c>
      <c r="M237" s="1088">
        <f>C154</f>
        <v>0</v>
      </c>
      <c r="N237" s="1087"/>
      <c r="O237" s="1087"/>
      <c r="P237" s="1087"/>
      <c r="Q237" s="1087"/>
      <c r="R237" s="1089">
        <f>SUM(D237:Q237)</f>
        <v>10645.607239999999</v>
      </c>
      <c r="S237" s="851"/>
    </row>
    <row r="238" spans="1:19" x14ac:dyDescent="0.25">
      <c r="A238" s="1098"/>
      <c r="B238" s="1100" t="s">
        <v>267</v>
      </c>
      <c r="C238" s="1100"/>
      <c r="D238" s="1100"/>
      <c r="E238" s="1101">
        <f>+E235+E237</f>
        <v>11395.791219333336</v>
      </c>
      <c r="F238" s="1101">
        <f t="shared" ref="F238:R238" si="4">+F235+F237</f>
        <v>110594.75786</v>
      </c>
      <c r="G238" s="1101">
        <f>+G235+G237</f>
        <v>5051.2000000000007</v>
      </c>
      <c r="H238" s="1101">
        <f t="shared" si="4"/>
        <v>0</v>
      </c>
      <c r="I238" s="1101">
        <f t="shared" si="4"/>
        <v>0</v>
      </c>
      <c r="J238" s="1101">
        <f t="shared" si="4"/>
        <v>0</v>
      </c>
      <c r="K238" s="1101">
        <f t="shared" si="4"/>
        <v>0</v>
      </c>
      <c r="L238" s="1101">
        <f t="shared" si="4"/>
        <v>0</v>
      </c>
      <c r="M238" s="1101">
        <f t="shared" si="4"/>
        <v>0</v>
      </c>
      <c r="N238" s="1101">
        <f t="shared" si="4"/>
        <v>0</v>
      </c>
      <c r="O238" s="1101">
        <f t="shared" si="4"/>
        <v>0</v>
      </c>
      <c r="P238" s="1101">
        <f t="shared" si="4"/>
        <v>0</v>
      </c>
      <c r="Q238" s="1101">
        <f t="shared" si="4"/>
        <v>0</v>
      </c>
      <c r="R238" s="1101">
        <f t="shared" si="4"/>
        <v>127041.74907933331</v>
      </c>
      <c r="S238" s="859"/>
    </row>
    <row r="239" spans="1:19" x14ac:dyDescent="0.25">
      <c r="A239" s="1102"/>
      <c r="B239" s="1103"/>
      <c r="D239" s="1103"/>
      <c r="E239" s="864">
        <f t="shared" ref="E239:R239" si="5">E238/$R$238</f>
        <v>8.9701151801814746E-2</v>
      </c>
      <c r="F239" s="864">
        <f t="shared" si="5"/>
        <v>0.87053869032405462</v>
      </c>
      <c r="G239" s="864">
        <f t="shared" si="5"/>
        <v>3.9760157874130779E-2</v>
      </c>
      <c r="H239" s="864">
        <f t="shared" si="5"/>
        <v>0</v>
      </c>
      <c r="I239" s="864">
        <f t="shared" si="5"/>
        <v>0</v>
      </c>
      <c r="J239" s="864">
        <f t="shared" si="5"/>
        <v>0</v>
      </c>
      <c r="K239" s="864">
        <f t="shared" si="5"/>
        <v>0</v>
      </c>
      <c r="L239" s="864">
        <f t="shared" si="5"/>
        <v>0</v>
      </c>
      <c r="M239" s="864">
        <f t="shared" si="5"/>
        <v>0</v>
      </c>
      <c r="N239" s="864">
        <f t="shared" si="5"/>
        <v>0</v>
      </c>
      <c r="O239" s="864">
        <f t="shared" si="5"/>
        <v>0</v>
      </c>
      <c r="P239" s="864">
        <f t="shared" si="5"/>
        <v>0</v>
      </c>
      <c r="Q239" s="864">
        <f t="shared" si="5"/>
        <v>0</v>
      </c>
      <c r="R239" s="864">
        <f t="shared" si="5"/>
        <v>1</v>
      </c>
      <c r="S239" s="1104"/>
    </row>
    <row r="240" spans="1:19" x14ac:dyDescent="0.25">
      <c r="A240" s="1105"/>
      <c r="B240" s="1106"/>
      <c r="C240" s="1107"/>
      <c r="D240" s="1106"/>
      <c r="E240" s="1106"/>
      <c r="F240" s="14"/>
      <c r="G240" s="14"/>
      <c r="H240" s="743"/>
      <c r="I240" s="14"/>
      <c r="J240" s="14"/>
      <c r="K240" s="14"/>
      <c r="L240" s="14"/>
      <c r="M240" s="14"/>
      <c r="N240" s="14"/>
      <c r="O240" s="14"/>
      <c r="P240" s="14"/>
      <c r="Q240" s="14"/>
      <c r="R240" s="14"/>
      <c r="S240" s="14"/>
    </row>
    <row r="241" spans="1:19" ht="18.75" x14ac:dyDescent="0.25">
      <c r="A241" s="34"/>
      <c r="B241" s="14"/>
      <c r="C241" s="14"/>
      <c r="D241" s="14"/>
      <c r="E241" s="14"/>
      <c r="F241" s="14"/>
      <c r="G241" s="14"/>
      <c r="H241" s="743"/>
      <c r="I241" s="14"/>
      <c r="J241" s="14"/>
      <c r="K241" s="14"/>
      <c r="L241" s="14"/>
      <c r="M241" s="14"/>
      <c r="N241" s="14"/>
      <c r="O241" s="14"/>
      <c r="P241" s="14"/>
      <c r="Q241" s="14"/>
      <c r="R241" s="864">
        <f>+R238/'OSNOVNI PODATKI'!D206</f>
        <v>4.1653032485027316E-2</v>
      </c>
      <c r="S241" s="14"/>
    </row>
  </sheetData>
  <pageMargins left="0.7" right="0.7" top="0.75" bottom="0.75" header="0.3" footer="0.3"/>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00B0F0"/>
  </sheetPr>
  <dimension ref="A1:K95"/>
  <sheetViews>
    <sheetView workbookViewId="0">
      <selection activeCell="G102" sqref="G102"/>
    </sheetView>
  </sheetViews>
  <sheetFormatPr defaultColWidth="9.140625" defaultRowHeight="12.75" x14ac:dyDescent="0.2"/>
  <cols>
    <col min="1" max="1" width="4.140625" style="179" customWidth="1"/>
    <col min="2" max="2" width="55.85546875" style="179" customWidth="1"/>
    <col min="3" max="3" width="13.7109375" style="179" customWidth="1"/>
    <col min="4" max="4" width="13.7109375" style="176" customWidth="1"/>
    <col min="5" max="5" width="13.7109375" style="212" customWidth="1"/>
    <col min="6" max="6" width="13.7109375" style="177" customWidth="1"/>
    <col min="7" max="7" width="22" style="178" customWidth="1"/>
    <col min="8" max="8" width="3.42578125" style="178" customWidth="1"/>
    <col min="9" max="9" width="25.140625" style="178" customWidth="1"/>
    <col min="10" max="10" width="2.28515625" style="178" customWidth="1"/>
    <col min="11" max="11" width="22" style="177" customWidth="1"/>
    <col min="12" max="16384" width="9.140625" style="176"/>
  </cols>
  <sheetData>
    <row r="1" spans="1:11" ht="18.75" x14ac:dyDescent="0.2">
      <c r="A1" s="83" t="s">
        <v>1077</v>
      </c>
      <c r="B1" s="83"/>
      <c r="C1" s="83"/>
    </row>
    <row r="2" spans="1:11" x14ac:dyDescent="0.2">
      <c r="A2" s="179" t="s">
        <v>37</v>
      </c>
    </row>
    <row r="5" spans="1:11" s="195" customFormat="1" ht="15.75" x14ac:dyDescent="0.25">
      <c r="A5" s="218" t="s">
        <v>166</v>
      </c>
      <c r="B5" s="219" t="s">
        <v>222</v>
      </c>
      <c r="C5" s="218"/>
      <c r="D5" s="220"/>
      <c r="E5" s="221"/>
      <c r="F5" s="183"/>
    </row>
    <row r="6" spans="1:11" x14ac:dyDescent="0.2">
      <c r="A6" s="229"/>
      <c r="B6" s="229" t="s">
        <v>223</v>
      </c>
      <c r="C6" s="276"/>
      <c r="D6" s="276"/>
      <c r="E6" s="297"/>
      <c r="F6" s="305">
        <v>15</v>
      </c>
    </row>
    <row r="7" spans="1:11" x14ac:dyDescent="0.2">
      <c r="A7" s="186"/>
      <c r="B7" s="186" t="s">
        <v>224</v>
      </c>
      <c r="C7" s="279"/>
      <c r="D7" s="279"/>
      <c r="E7" s="298"/>
      <c r="F7" s="306">
        <v>12</v>
      </c>
    </row>
    <row r="8" spans="1:11" x14ac:dyDescent="0.2">
      <c r="A8" s="301"/>
      <c r="B8" s="301" t="s">
        <v>27</v>
      </c>
      <c r="C8" s="302"/>
      <c r="D8" s="303"/>
      <c r="E8" s="302"/>
      <c r="F8" s="307">
        <v>8</v>
      </c>
    </row>
    <row r="9" spans="1:11" s="194" customFormat="1" x14ac:dyDescent="0.2">
      <c r="A9" s="198"/>
      <c r="B9" s="198" t="s">
        <v>28</v>
      </c>
      <c r="C9" s="282"/>
      <c r="D9" s="282"/>
      <c r="E9" s="304"/>
      <c r="F9" s="308">
        <f>+F8*5</f>
        <v>40</v>
      </c>
      <c r="G9" s="193"/>
      <c r="H9" s="193"/>
      <c r="I9" s="193"/>
      <c r="J9" s="193"/>
      <c r="K9" s="192"/>
    </row>
    <row r="10" spans="1:11" x14ac:dyDescent="0.2">
      <c r="C10" s="211" t="s">
        <v>169</v>
      </c>
      <c r="D10" s="211" t="s">
        <v>170</v>
      </c>
      <c r="E10" s="177"/>
    </row>
    <row r="11" spans="1:11" s="177" customFormat="1" x14ac:dyDescent="0.2">
      <c r="A11" s="229"/>
      <c r="B11" s="229" t="s">
        <v>1078</v>
      </c>
      <c r="C11" s="277">
        <v>1856</v>
      </c>
      <c r="D11" s="277">
        <f>+C11*12</f>
        <v>22272</v>
      </c>
      <c r="E11" s="231"/>
      <c r="F11" s="246"/>
    </row>
    <row r="12" spans="1:11" s="177" customFormat="1" x14ac:dyDescent="0.2">
      <c r="A12" s="186"/>
      <c r="B12" s="232" t="s">
        <v>1079</v>
      </c>
      <c r="C12" s="280">
        <v>1208.6500000000001</v>
      </c>
      <c r="D12" s="280">
        <f>+C12*12</f>
        <v>14503.800000000001</v>
      </c>
      <c r="E12" s="234"/>
      <c r="F12" s="247"/>
    </row>
    <row r="13" spans="1:11" s="177" customFormat="1" x14ac:dyDescent="0.2">
      <c r="A13" s="198"/>
      <c r="B13" s="235" t="s">
        <v>172</v>
      </c>
      <c r="C13" s="236">
        <f>+C11/C12</f>
        <v>1.5355975675340254</v>
      </c>
      <c r="D13" s="236">
        <f>+D11/D12</f>
        <v>1.5355975675340254</v>
      </c>
      <c r="E13" s="237"/>
      <c r="F13" s="248"/>
    </row>
    <row r="14" spans="1:11" s="177" customFormat="1" x14ac:dyDescent="0.2">
      <c r="A14" s="182"/>
      <c r="B14" s="222"/>
      <c r="C14" s="197"/>
      <c r="D14" s="197"/>
      <c r="E14" s="326"/>
      <c r="F14" s="327"/>
    </row>
    <row r="15" spans="1:11" x14ac:dyDescent="0.2">
      <c r="A15" s="209"/>
      <c r="B15" s="210">
        <v>2022</v>
      </c>
      <c r="C15" s="210"/>
      <c r="D15" s="210"/>
      <c r="E15" s="211" t="s">
        <v>227</v>
      </c>
      <c r="F15" s="211" t="s">
        <v>228</v>
      </c>
    </row>
    <row r="16" spans="1:11" x14ac:dyDescent="0.2">
      <c r="A16" s="229"/>
      <c r="B16" s="229" t="s">
        <v>29</v>
      </c>
      <c r="C16" s="229"/>
      <c r="D16" s="229"/>
      <c r="E16" s="309">
        <v>252</v>
      </c>
      <c r="F16" s="276">
        <f>+E16*$F$8</f>
        <v>2016</v>
      </c>
    </row>
    <row r="17" spans="1:11" x14ac:dyDescent="0.2">
      <c r="A17" s="185"/>
      <c r="B17" s="186" t="s">
        <v>229</v>
      </c>
      <c r="C17" s="185"/>
      <c r="D17" s="185"/>
      <c r="E17" s="299">
        <f>+E16/12</f>
        <v>21</v>
      </c>
      <c r="F17" s="300">
        <f>ROUND(F16/12,0)</f>
        <v>168</v>
      </c>
    </row>
    <row r="18" spans="1:11" x14ac:dyDescent="0.2">
      <c r="A18" s="186"/>
      <c r="B18" s="186" t="s">
        <v>30</v>
      </c>
      <c r="C18" s="186"/>
      <c r="D18" s="186"/>
      <c r="E18" s="310">
        <v>8</v>
      </c>
      <c r="F18" s="279">
        <f>+E18*$F$8</f>
        <v>64</v>
      </c>
    </row>
    <row r="19" spans="1:11" x14ac:dyDescent="0.2">
      <c r="A19" s="186"/>
      <c r="B19" s="186" t="s">
        <v>230</v>
      </c>
      <c r="C19" s="186"/>
      <c r="D19" s="186"/>
      <c r="E19" s="310">
        <v>25</v>
      </c>
      <c r="F19" s="279">
        <f>+E19*$F$8</f>
        <v>200</v>
      </c>
    </row>
    <row r="20" spans="1:11" x14ac:dyDescent="0.2">
      <c r="A20" s="186"/>
      <c r="B20" s="186" t="s">
        <v>231</v>
      </c>
      <c r="C20" s="186"/>
      <c r="D20" s="186"/>
      <c r="E20" s="310">
        <v>15</v>
      </c>
      <c r="F20" s="279">
        <f>+E20*$F$8</f>
        <v>120</v>
      </c>
    </row>
    <row r="21" spans="1:11" x14ac:dyDescent="0.2">
      <c r="A21" s="198"/>
      <c r="B21" s="198" t="s">
        <v>232</v>
      </c>
      <c r="C21" s="198"/>
      <c r="D21" s="198"/>
      <c r="E21" s="310">
        <v>5</v>
      </c>
      <c r="F21" s="282">
        <f>+E21*$F$8</f>
        <v>40</v>
      </c>
    </row>
    <row r="22" spans="1:11" x14ac:dyDescent="0.2">
      <c r="A22" s="290"/>
      <c r="B22" s="295" t="s">
        <v>26</v>
      </c>
      <c r="C22" s="295"/>
      <c r="D22" s="295"/>
      <c r="E22" s="296">
        <f>+E16-E18-E19-E20-E21</f>
        <v>199</v>
      </c>
      <c r="F22" s="205">
        <f>+E22*$F$8</f>
        <v>1592</v>
      </c>
    </row>
    <row r="23" spans="1:11" x14ac:dyDescent="0.2">
      <c r="D23" s="179"/>
      <c r="E23" s="191"/>
      <c r="F23" s="176"/>
    </row>
    <row r="24" spans="1:11" x14ac:dyDescent="0.2">
      <c r="C24" s="180"/>
      <c r="D24" s="181"/>
      <c r="F24" s="178"/>
    </row>
    <row r="25" spans="1:11" s="195" customFormat="1" ht="15.75" x14ac:dyDescent="0.25">
      <c r="A25" s="218" t="s">
        <v>166</v>
      </c>
      <c r="B25" s="219" t="s">
        <v>167</v>
      </c>
      <c r="C25" s="218"/>
      <c r="D25" s="220"/>
      <c r="E25" s="221"/>
      <c r="F25" s="183"/>
    </row>
    <row r="26" spans="1:11" ht="15" customHeight="1" x14ac:dyDescent="0.2">
      <c r="C26" s="180"/>
      <c r="D26" s="177"/>
      <c r="E26" s="213"/>
      <c r="F26" s="183"/>
      <c r="G26" s="176"/>
      <c r="H26" s="176"/>
      <c r="I26" s="176"/>
      <c r="J26" s="176"/>
      <c r="K26" s="176"/>
    </row>
    <row r="27" spans="1:11" s="177" customFormat="1" x14ac:dyDescent="0.2">
      <c r="A27" s="209" t="s">
        <v>168</v>
      </c>
      <c r="B27" s="210" t="s">
        <v>225</v>
      </c>
      <c r="C27" s="211" t="s">
        <v>169</v>
      </c>
      <c r="D27" s="211" t="s">
        <v>170</v>
      </c>
      <c r="E27" s="214" t="s">
        <v>171</v>
      </c>
      <c r="F27" s="214"/>
    </row>
    <row r="28" spans="1:11" s="177" customFormat="1" x14ac:dyDescent="0.2">
      <c r="A28" s="229" t="s">
        <v>6</v>
      </c>
      <c r="B28" s="229" t="s">
        <v>235</v>
      </c>
      <c r="C28" s="277">
        <f>+C29*C30</f>
        <v>3100</v>
      </c>
      <c r="D28" s="277">
        <f>+C28*12</f>
        <v>37200</v>
      </c>
      <c r="E28" s="231">
        <f>+C28/C72</f>
        <v>18.452380952380953</v>
      </c>
      <c r="F28" s="246"/>
    </row>
    <row r="29" spans="1:11" s="177" customFormat="1" x14ac:dyDescent="0.2">
      <c r="A29" s="186"/>
      <c r="B29" s="232" t="s">
        <v>236</v>
      </c>
      <c r="C29" s="318">
        <v>2000</v>
      </c>
      <c r="D29" s="280">
        <f>+C29*12</f>
        <v>24000</v>
      </c>
      <c r="E29" s="234">
        <f>+C29/C72</f>
        <v>11.904761904761905</v>
      </c>
      <c r="F29" s="247"/>
    </row>
    <row r="30" spans="1:11" s="177" customFormat="1" x14ac:dyDescent="0.2">
      <c r="A30" s="198"/>
      <c r="B30" s="235" t="s">
        <v>172</v>
      </c>
      <c r="C30" s="236">
        <v>1.55</v>
      </c>
      <c r="D30" s="236">
        <v>1.55</v>
      </c>
      <c r="E30" s="237"/>
      <c r="F30" s="248"/>
    </row>
    <row r="31" spans="1:11" x14ac:dyDescent="0.2">
      <c r="A31" s="229" t="s">
        <v>7</v>
      </c>
      <c r="B31" s="238" t="s">
        <v>218</v>
      </c>
      <c r="C31" s="317">
        <v>60</v>
      </c>
      <c r="D31" s="277">
        <f>+C31*12</f>
        <v>720</v>
      </c>
      <c r="E31" s="230"/>
      <c r="F31" s="249"/>
      <c r="G31" s="176"/>
      <c r="H31" s="176"/>
      <c r="I31" s="176"/>
      <c r="J31" s="176"/>
      <c r="K31" s="176"/>
    </row>
    <row r="32" spans="1:11" x14ac:dyDescent="0.2">
      <c r="A32" s="186" t="s">
        <v>8</v>
      </c>
      <c r="B32" s="187" t="s">
        <v>219</v>
      </c>
      <c r="C32" s="318">
        <v>30</v>
      </c>
      <c r="D32" s="280">
        <f>+C32*12</f>
        <v>360</v>
      </c>
      <c r="E32" s="233"/>
      <c r="F32" s="250"/>
      <c r="G32" s="176"/>
      <c r="H32" s="176"/>
      <c r="I32" s="176"/>
      <c r="J32" s="176"/>
      <c r="K32" s="176"/>
    </row>
    <row r="33" spans="1:11" ht="14.25" customHeight="1" x14ac:dyDescent="0.2">
      <c r="A33" s="198" t="s">
        <v>142</v>
      </c>
      <c r="B33" s="199" t="s">
        <v>220</v>
      </c>
      <c r="C33" s="283"/>
      <c r="D33" s="319">
        <v>900</v>
      </c>
      <c r="E33" s="236"/>
      <c r="F33" s="251"/>
      <c r="G33" s="176"/>
      <c r="H33" s="176"/>
      <c r="I33" s="176"/>
      <c r="J33" s="176"/>
      <c r="K33" s="176"/>
    </row>
    <row r="34" spans="1:11" ht="14.25" customHeight="1" x14ac:dyDescent="0.2">
      <c r="A34" s="268"/>
      <c r="B34" s="269" t="s">
        <v>173</v>
      </c>
      <c r="C34" s="228">
        <f>+C33+C32+C31+C28</f>
        <v>3190</v>
      </c>
      <c r="D34" s="228">
        <f>+D33+D32+D31+D28</f>
        <v>39180</v>
      </c>
      <c r="E34" s="227"/>
      <c r="F34" s="227"/>
      <c r="G34" s="176"/>
      <c r="H34" s="176"/>
      <c r="I34" s="176"/>
      <c r="J34" s="176"/>
      <c r="K34" s="176"/>
    </row>
    <row r="35" spans="1:11" ht="14.25" customHeight="1" x14ac:dyDescent="0.2">
      <c r="A35" s="190"/>
      <c r="B35" s="188"/>
      <c r="C35" s="196"/>
      <c r="D35" s="196"/>
      <c r="E35" s="196"/>
      <c r="F35" s="214" t="s">
        <v>217</v>
      </c>
      <c r="G35" s="176"/>
      <c r="H35" s="176"/>
      <c r="I35" s="176"/>
      <c r="J35" s="176"/>
      <c r="K35" s="176"/>
    </row>
    <row r="36" spans="1:11" s="205" customFormat="1" ht="14.25" customHeight="1" x14ac:dyDescent="0.2">
      <c r="A36" s="207"/>
      <c r="B36" s="208" t="s">
        <v>226</v>
      </c>
      <c r="C36" s="316">
        <f>+C34*F6</f>
        <v>47850</v>
      </c>
      <c r="D36" s="316">
        <f>+D34*F6</f>
        <v>587700</v>
      </c>
      <c r="E36" s="241"/>
      <c r="F36" s="242">
        <f>+D36/D66</f>
        <v>0.67769052478638392</v>
      </c>
    </row>
    <row r="37" spans="1:11" ht="14.25" customHeight="1" x14ac:dyDescent="0.2">
      <c r="A37" s="190"/>
      <c r="B37" s="188"/>
      <c r="C37" s="196"/>
      <c r="D37" s="196"/>
      <c r="E37" s="217"/>
      <c r="F37" s="252"/>
      <c r="G37" s="176"/>
      <c r="H37" s="176"/>
      <c r="I37" s="176"/>
      <c r="J37" s="176"/>
      <c r="K37" s="176"/>
    </row>
    <row r="38" spans="1:11" ht="14.25" customHeight="1" x14ac:dyDescent="0.2">
      <c r="A38" s="209" t="s">
        <v>174</v>
      </c>
      <c r="B38" s="210" t="s">
        <v>175</v>
      </c>
      <c r="C38" s="211"/>
      <c r="D38" s="211" t="s">
        <v>170</v>
      </c>
      <c r="E38" s="214"/>
      <c r="F38" s="253"/>
      <c r="G38" s="176"/>
      <c r="H38" s="176"/>
      <c r="I38" s="176"/>
      <c r="J38" s="176"/>
      <c r="K38" s="176"/>
    </row>
    <row r="39" spans="1:11" ht="14.25" customHeight="1" x14ac:dyDescent="0.2">
      <c r="A39" s="229" t="s">
        <v>6</v>
      </c>
      <c r="B39" s="238" t="s">
        <v>176</v>
      </c>
      <c r="C39" s="238"/>
      <c r="D39" s="317">
        <v>18000</v>
      </c>
      <c r="E39" s="270"/>
      <c r="F39" s="271"/>
      <c r="G39" s="201"/>
      <c r="H39" s="176"/>
      <c r="I39" s="176"/>
      <c r="J39" s="176"/>
      <c r="K39" s="176"/>
    </row>
    <row r="40" spans="1:11" ht="25.5" x14ac:dyDescent="0.2">
      <c r="A40" s="186" t="s">
        <v>7</v>
      </c>
      <c r="B40" s="206" t="s">
        <v>212</v>
      </c>
      <c r="C40" s="187"/>
      <c r="D40" s="318">
        <f>3200*F6</f>
        <v>48000</v>
      </c>
      <c r="E40" s="272"/>
      <c r="F40" s="273"/>
      <c r="G40" s="176"/>
      <c r="H40" s="176"/>
      <c r="I40" s="176"/>
      <c r="J40" s="176"/>
      <c r="K40" s="176"/>
    </row>
    <row r="41" spans="1:11" ht="14.25" customHeight="1" x14ac:dyDescent="0.2">
      <c r="A41" s="186" t="s">
        <v>8</v>
      </c>
      <c r="B41" s="187" t="s">
        <v>213</v>
      </c>
      <c r="C41" s="187"/>
      <c r="D41" s="318">
        <v>6000</v>
      </c>
      <c r="E41" s="272"/>
      <c r="F41" s="273"/>
      <c r="G41" s="176"/>
      <c r="H41" s="176"/>
      <c r="I41" s="176"/>
      <c r="J41" s="176"/>
      <c r="K41" s="176"/>
    </row>
    <row r="42" spans="1:11" ht="14.25" customHeight="1" x14ac:dyDescent="0.2">
      <c r="A42" s="186" t="s">
        <v>142</v>
      </c>
      <c r="B42" s="187" t="s">
        <v>177</v>
      </c>
      <c r="C42" s="187"/>
      <c r="D42" s="318">
        <v>10000</v>
      </c>
      <c r="E42" s="272"/>
      <c r="F42" s="273"/>
      <c r="G42" s="176"/>
      <c r="H42" s="176"/>
      <c r="I42" s="176"/>
      <c r="J42" s="176"/>
      <c r="K42" s="176"/>
    </row>
    <row r="43" spans="1:11" ht="14.25" customHeight="1" x14ac:dyDescent="0.2">
      <c r="A43" s="186" t="s">
        <v>143</v>
      </c>
      <c r="B43" s="187" t="s">
        <v>178</v>
      </c>
      <c r="C43" s="187"/>
      <c r="D43" s="318">
        <v>6000</v>
      </c>
      <c r="E43" s="272"/>
      <c r="F43" s="273"/>
      <c r="G43" s="176"/>
      <c r="H43" s="176"/>
      <c r="I43" s="176"/>
      <c r="J43" s="176"/>
      <c r="K43" s="176"/>
    </row>
    <row r="44" spans="1:11" ht="14.25" customHeight="1" x14ac:dyDescent="0.2">
      <c r="A44" s="186" t="s">
        <v>9</v>
      </c>
      <c r="B44" s="187" t="s">
        <v>179</v>
      </c>
      <c r="C44" s="187"/>
      <c r="D44" s="318">
        <v>18000</v>
      </c>
      <c r="E44" s="272"/>
      <c r="F44" s="273"/>
      <c r="G44" s="176"/>
      <c r="H44" s="176"/>
      <c r="I44" s="176"/>
      <c r="J44" s="176"/>
      <c r="K44" s="176"/>
    </row>
    <row r="45" spans="1:11" ht="14.25" customHeight="1" x14ac:dyDescent="0.2">
      <c r="A45" s="186" t="s">
        <v>180</v>
      </c>
      <c r="B45" s="187" t="s">
        <v>181</v>
      </c>
      <c r="C45" s="187"/>
      <c r="D45" s="318">
        <v>6000</v>
      </c>
      <c r="E45" s="272"/>
      <c r="F45" s="273"/>
      <c r="G45" s="176"/>
      <c r="H45" s="176"/>
      <c r="I45" s="176"/>
      <c r="J45" s="176"/>
      <c r="K45" s="176"/>
    </row>
    <row r="46" spans="1:11" ht="14.25" customHeight="1" x14ac:dyDescent="0.2">
      <c r="A46" s="186" t="s">
        <v>10</v>
      </c>
      <c r="B46" s="187" t="s">
        <v>182</v>
      </c>
      <c r="C46" s="187"/>
      <c r="D46" s="318">
        <v>24000</v>
      </c>
      <c r="E46" s="272"/>
      <c r="F46" s="273"/>
      <c r="G46" s="176"/>
      <c r="H46" s="176"/>
      <c r="I46" s="176"/>
      <c r="J46" s="176"/>
      <c r="K46" s="176"/>
    </row>
    <row r="47" spans="1:11" ht="14.25" customHeight="1" x14ac:dyDescent="0.2">
      <c r="A47" s="186" t="s">
        <v>11</v>
      </c>
      <c r="B47" s="187" t="s">
        <v>183</v>
      </c>
      <c r="C47" s="187"/>
      <c r="D47" s="318">
        <v>19200</v>
      </c>
      <c r="E47" s="272"/>
      <c r="F47" s="273"/>
      <c r="G47" s="176"/>
      <c r="H47" s="176"/>
      <c r="I47" s="176"/>
      <c r="J47" s="176"/>
      <c r="K47" s="176"/>
    </row>
    <row r="48" spans="1:11" ht="14.25" customHeight="1" x14ac:dyDescent="0.2">
      <c r="A48" s="186" t="s">
        <v>12</v>
      </c>
      <c r="B48" s="187" t="s">
        <v>184</v>
      </c>
      <c r="C48" s="187"/>
      <c r="D48" s="318">
        <v>1800</v>
      </c>
      <c r="E48" s="272"/>
      <c r="F48" s="273"/>
      <c r="G48" s="176"/>
      <c r="H48" s="176"/>
      <c r="I48" s="176"/>
      <c r="J48" s="176"/>
      <c r="K48" s="176"/>
    </row>
    <row r="49" spans="1:11" ht="14.25" customHeight="1" x14ac:dyDescent="0.2">
      <c r="A49" s="186" t="s">
        <v>13</v>
      </c>
      <c r="B49" s="187" t="s">
        <v>185</v>
      </c>
      <c r="C49" s="187"/>
      <c r="D49" s="318">
        <v>3000</v>
      </c>
      <c r="E49" s="272"/>
      <c r="F49" s="273"/>
      <c r="G49" s="176"/>
      <c r="H49" s="176"/>
      <c r="I49" s="176"/>
      <c r="J49" s="176"/>
      <c r="K49" s="176"/>
    </row>
    <row r="50" spans="1:11" ht="14.25" customHeight="1" x14ac:dyDescent="0.2">
      <c r="A50" s="186" t="s">
        <v>14</v>
      </c>
      <c r="B50" s="187" t="s">
        <v>186</v>
      </c>
      <c r="C50" s="187"/>
      <c r="D50" s="318">
        <v>9000</v>
      </c>
      <c r="E50" s="272"/>
      <c r="F50" s="273"/>
      <c r="G50" s="176"/>
      <c r="H50" s="176"/>
      <c r="I50" s="176"/>
      <c r="J50" s="176"/>
      <c r="K50" s="176"/>
    </row>
    <row r="51" spans="1:11" ht="14.25" customHeight="1" x14ac:dyDescent="0.2">
      <c r="A51" s="186" t="s">
        <v>15</v>
      </c>
      <c r="B51" s="187" t="s">
        <v>187</v>
      </c>
      <c r="C51" s="187"/>
      <c r="D51" s="318">
        <v>3600</v>
      </c>
      <c r="E51" s="272"/>
      <c r="F51" s="273"/>
      <c r="G51" s="176"/>
      <c r="H51" s="176"/>
      <c r="I51" s="176"/>
      <c r="J51" s="176"/>
      <c r="K51" s="176"/>
    </row>
    <row r="52" spans="1:11" ht="14.25" customHeight="1" x14ac:dyDescent="0.2">
      <c r="A52" s="186" t="s">
        <v>16</v>
      </c>
      <c r="B52" s="187" t="s">
        <v>188</v>
      </c>
      <c r="C52" s="187"/>
      <c r="D52" s="318">
        <v>8000</v>
      </c>
      <c r="E52" s="272"/>
      <c r="F52" s="273"/>
      <c r="G52" s="176"/>
      <c r="H52" s="176"/>
      <c r="I52" s="176"/>
      <c r="J52" s="176"/>
      <c r="K52" s="176"/>
    </row>
    <row r="53" spans="1:11" ht="14.25" customHeight="1" x14ac:dyDescent="0.2">
      <c r="A53" s="186" t="s">
        <v>17</v>
      </c>
      <c r="B53" s="187" t="s">
        <v>189</v>
      </c>
      <c r="C53" s="187"/>
      <c r="D53" s="318">
        <v>13000</v>
      </c>
      <c r="E53" s="272"/>
      <c r="F53" s="273"/>
      <c r="G53" s="176"/>
      <c r="H53" s="176"/>
      <c r="I53" s="176"/>
      <c r="J53" s="176"/>
      <c r="K53" s="176"/>
    </row>
    <row r="54" spans="1:11" ht="14.25" customHeight="1" x14ac:dyDescent="0.2">
      <c r="A54" s="186" t="s">
        <v>18</v>
      </c>
      <c r="B54" s="187" t="s">
        <v>190</v>
      </c>
      <c r="C54" s="187"/>
      <c r="D54" s="318">
        <v>12000</v>
      </c>
      <c r="E54" s="272"/>
      <c r="F54" s="273"/>
      <c r="G54" s="176"/>
      <c r="H54" s="176"/>
      <c r="I54" s="176"/>
      <c r="J54" s="176"/>
      <c r="K54" s="176"/>
    </row>
    <row r="55" spans="1:11" ht="14.25" customHeight="1" x14ac:dyDescent="0.2">
      <c r="A55" s="186" t="s">
        <v>19</v>
      </c>
      <c r="B55" s="187" t="s">
        <v>191</v>
      </c>
      <c r="C55" s="187"/>
      <c r="D55" s="318">
        <v>4500</v>
      </c>
      <c r="E55" s="272"/>
      <c r="F55" s="273"/>
      <c r="G55" s="176"/>
      <c r="H55" s="176"/>
      <c r="I55" s="176"/>
      <c r="J55" s="176"/>
      <c r="K55" s="176"/>
    </row>
    <row r="56" spans="1:11" ht="14.25" customHeight="1" x14ac:dyDescent="0.2">
      <c r="A56" s="186" t="s">
        <v>20</v>
      </c>
      <c r="B56" s="187" t="s">
        <v>192</v>
      </c>
      <c r="C56" s="187"/>
      <c r="D56" s="318">
        <v>1000</v>
      </c>
      <c r="E56" s="272"/>
      <c r="F56" s="273"/>
      <c r="G56" s="176"/>
      <c r="H56" s="176"/>
      <c r="I56" s="176"/>
      <c r="J56" s="176"/>
      <c r="K56" s="176"/>
    </row>
    <row r="57" spans="1:11" ht="14.25" customHeight="1" x14ac:dyDescent="0.2">
      <c r="A57" s="186" t="s">
        <v>21</v>
      </c>
      <c r="B57" s="187" t="s">
        <v>193</v>
      </c>
      <c r="C57" s="187"/>
      <c r="D57" s="318">
        <v>18000</v>
      </c>
      <c r="E57" s="272"/>
      <c r="F57" s="273"/>
      <c r="G57" s="176"/>
      <c r="H57" s="176"/>
      <c r="I57" s="176"/>
      <c r="J57" s="176"/>
      <c r="K57" s="176"/>
    </row>
    <row r="58" spans="1:11" ht="14.25" customHeight="1" x14ac:dyDescent="0.2">
      <c r="A58" s="186" t="s">
        <v>22</v>
      </c>
      <c r="B58" s="187" t="s">
        <v>194</v>
      </c>
      <c r="C58" s="187"/>
      <c r="D58" s="318">
        <v>3000</v>
      </c>
      <c r="E58" s="272"/>
      <c r="F58" s="273"/>
      <c r="G58" s="176"/>
      <c r="H58" s="176"/>
      <c r="I58" s="176"/>
      <c r="J58" s="176"/>
      <c r="K58" s="176"/>
    </row>
    <row r="59" spans="1:11" ht="14.25" customHeight="1" x14ac:dyDescent="0.2">
      <c r="A59" s="186" t="s">
        <v>23</v>
      </c>
      <c r="B59" s="187" t="s">
        <v>195</v>
      </c>
      <c r="C59" s="187"/>
      <c r="D59" s="318">
        <v>2000</v>
      </c>
      <c r="E59" s="272"/>
      <c r="F59" s="273"/>
      <c r="G59" s="176"/>
      <c r="H59" s="176"/>
      <c r="I59" s="176"/>
      <c r="J59" s="176"/>
      <c r="K59" s="176"/>
    </row>
    <row r="60" spans="1:11" ht="14.25" customHeight="1" x14ac:dyDescent="0.2">
      <c r="A60" s="186" t="s">
        <v>24</v>
      </c>
      <c r="B60" s="187" t="s">
        <v>196</v>
      </c>
      <c r="C60" s="187"/>
      <c r="D60" s="318">
        <v>8000</v>
      </c>
      <c r="E60" s="272"/>
      <c r="F60" s="273"/>
      <c r="G60" s="176"/>
      <c r="H60" s="176"/>
      <c r="I60" s="176"/>
      <c r="J60" s="176"/>
      <c r="K60" s="176"/>
    </row>
    <row r="61" spans="1:11" ht="14.25" customHeight="1" x14ac:dyDescent="0.2">
      <c r="A61" s="198" t="s">
        <v>25</v>
      </c>
      <c r="B61" s="199" t="s">
        <v>197</v>
      </c>
      <c r="C61" s="199"/>
      <c r="D61" s="319">
        <v>12000</v>
      </c>
      <c r="E61" s="274"/>
      <c r="F61" s="275"/>
      <c r="G61" s="176"/>
      <c r="H61" s="176"/>
      <c r="I61" s="176"/>
      <c r="J61" s="176"/>
      <c r="K61" s="176"/>
    </row>
    <row r="62" spans="1:11" s="200" customFormat="1" ht="14.25" customHeight="1" x14ac:dyDescent="0.2">
      <c r="A62" s="207"/>
      <c r="B62" s="208" t="s">
        <v>198</v>
      </c>
      <c r="C62" s="208"/>
      <c r="D62" s="320">
        <f>SUM(D39:D61)</f>
        <v>254100</v>
      </c>
      <c r="F62" s="242">
        <f>+D62/D66</f>
        <v>0.29300861383056009</v>
      </c>
    </row>
    <row r="63" spans="1:11" ht="14.25" customHeight="1" x14ac:dyDescent="0.2">
      <c r="A63" s="184"/>
      <c r="B63" s="243"/>
      <c r="C63" s="244"/>
      <c r="D63" s="321"/>
      <c r="E63" s="245"/>
      <c r="F63" s="254"/>
      <c r="G63" s="176"/>
      <c r="H63" s="176"/>
      <c r="I63" s="176"/>
      <c r="J63" s="176"/>
      <c r="K63" s="176"/>
    </row>
    <row r="64" spans="1:11" ht="14.25" customHeight="1" x14ac:dyDescent="0.2">
      <c r="A64" s="224" t="s">
        <v>199</v>
      </c>
      <c r="B64" s="225" t="s">
        <v>214</v>
      </c>
      <c r="C64" s="204"/>
      <c r="D64" s="320">
        <f>+D62*0.1</f>
        <v>25410</v>
      </c>
      <c r="E64" s="245"/>
      <c r="F64" s="242">
        <f>+D64/D66</f>
        <v>2.9300861383056008E-2</v>
      </c>
      <c r="G64" s="176"/>
      <c r="H64" s="176"/>
      <c r="I64" s="176"/>
      <c r="J64" s="176"/>
      <c r="K64" s="176"/>
    </row>
    <row r="65" spans="1:11" ht="14.25" customHeight="1" thickBot="1" x14ac:dyDescent="0.25">
      <c r="A65" s="259"/>
      <c r="B65" s="259"/>
      <c r="C65" s="260"/>
      <c r="D65" s="322"/>
      <c r="E65" s="261"/>
      <c r="F65" s="262"/>
      <c r="G65" s="176"/>
      <c r="H65" s="176"/>
      <c r="I65" s="176"/>
      <c r="J65" s="176"/>
      <c r="K65" s="176"/>
    </row>
    <row r="66" spans="1:11" ht="14.25" customHeight="1" thickBot="1" x14ac:dyDescent="0.25">
      <c r="A66" s="267"/>
      <c r="B66" s="263" t="s">
        <v>200</v>
      </c>
      <c r="C66" s="264"/>
      <c r="D66" s="323">
        <f>+D64+D62+D36</f>
        <v>867210</v>
      </c>
      <c r="E66" s="265"/>
      <c r="F66" s="266">
        <v>1</v>
      </c>
      <c r="G66" s="176"/>
      <c r="H66" s="176"/>
      <c r="I66" s="176"/>
      <c r="J66" s="176"/>
      <c r="K66" s="176"/>
    </row>
    <row r="67" spans="1:11" ht="16.5" customHeight="1" x14ac:dyDescent="0.2">
      <c r="A67" s="176"/>
      <c r="B67" s="176"/>
      <c r="C67" s="196"/>
      <c r="D67" s="196"/>
      <c r="E67" s="176"/>
      <c r="F67" s="255"/>
      <c r="G67" s="176"/>
      <c r="H67" s="176"/>
      <c r="I67" s="176"/>
      <c r="J67" s="176"/>
      <c r="K67" s="176"/>
    </row>
    <row r="68" spans="1:11" ht="16.5" customHeight="1" x14ac:dyDescent="0.2">
      <c r="A68" s="176"/>
      <c r="B68" s="176"/>
      <c r="C68" s="196"/>
      <c r="D68" s="196"/>
      <c r="E68" s="176"/>
      <c r="F68" s="255"/>
      <c r="G68" s="176"/>
      <c r="H68" s="176"/>
      <c r="I68" s="176"/>
      <c r="J68" s="176"/>
      <c r="K68" s="176"/>
    </row>
    <row r="69" spans="1:11" ht="13.5" customHeight="1" x14ac:dyDescent="0.25">
      <c r="A69" s="218" t="s">
        <v>201</v>
      </c>
      <c r="B69" s="219" t="s">
        <v>202</v>
      </c>
      <c r="C69" s="218"/>
      <c r="D69" s="220"/>
      <c r="E69" s="189"/>
      <c r="F69" s="221"/>
      <c r="G69" s="176"/>
      <c r="H69" s="176"/>
      <c r="I69" s="176"/>
      <c r="J69" s="176"/>
      <c r="K69" s="176"/>
    </row>
    <row r="70" spans="1:11" ht="13.5" customHeight="1" x14ac:dyDescent="0.2">
      <c r="A70" s="177"/>
      <c r="B70" s="177"/>
      <c r="C70" s="176"/>
      <c r="E70" s="176"/>
      <c r="F70" s="255"/>
      <c r="G70" s="176"/>
      <c r="H70" s="176"/>
      <c r="I70" s="176"/>
      <c r="J70" s="176"/>
      <c r="K70" s="176"/>
    </row>
    <row r="71" spans="1:11" s="200" customFormat="1" ht="13.5" customHeight="1" x14ac:dyDescent="0.2">
      <c r="A71" s="224" t="s">
        <v>168</v>
      </c>
      <c r="B71" s="225" t="s">
        <v>203</v>
      </c>
      <c r="C71" s="223" t="s">
        <v>169</v>
      </c>
      <c r="D71" s="223" t="s">
        <v>170</v>
      </c>
      <c r="E71" s="214"/>
      <c r="F71" s="214" t="s">
        <v>217</v>
      </c>
    </row>
    <row r="72" spans="1:11" ht="13.5" customHeight="1" x14ac:dyDescent="0.2">
      <c r="A72" s="276"/>
      <c r="B72" s="276" t="s">
        <v>204</v>
      </c>
      <c r="C72" s="277">
        <f>+F17</f>
        <v>168</v>
      </c>
      <c r="D72" s="277">
        <f>+C72*12</f>
        <v>2016</v>
      </c>
      <c r="E72" s="276"/>
      <c r="F72" s="278"/>
      <c r="G72" s="176"/>
      <c r="H72" s="176"/>
      <c r="I72" s="176"/>
      <c r="J72" s="176"/>
      <c r="K72" s="176"/>
    </row>
    <row r="73" spans="1:11" ht="13.5" customHeight="1" x14ac:dyDescent="0.2">
      <c r="A73" s="302"/>
      <c r="B73" s="302" t="s">
        <v>233</v>
      </c>
      <c r="C73" s="311">
        <f>+C72*F6</f>
        <v>2520</v>
      </c>
      <c r="D73" s="311">
        <f>+D72*F6</f>
        <v>30240</v>
      </c>
      <c r="E73" s="302"/>
      <c r="F73" s="312">
        <f>+D73/D74</f>
        <v>1.25</v>
      </c>
      <c r="G73" s="176"/>
      <c r="H73" s="176"/>
      <c r="I73" s="176"/>
      <c r="J73" s="176"/>
      <c r="K73" s="176"/>
    </row>
    <row r="74" spans="1:11" ht="13.5" customHeight="1" x14ac:dyDescent="0.2">
      <c r="A74" s="313"/>
      <c r="B74" s="313" t="s">
        <v>234</v>
      </c>
      <c r="C74" s="314">
        <f>+C72*F7</f>
        <v>2016</v>
      </c>
      <c r="D74" s="314">
        <f>+D72*F7</f>
        <v>24192</v>
      </c>
      <c r="E74" s="313"/>
      <c r="F74" s="315">
        <v>1</v>
      </c>
      <c r="G74" s="176"/>
      <c r="H74" s="176"/>
      <c r="I74" s="176"/>
      <c r="J74" s="176"/>
      <c r="K74" s="176"/>
    </row>
    <row r="75" spans="1:11" ht="13.5" customHeight="1" x14ac:dyDescent="0.2">
      <c r="A75" s="176"/>
      <c r="B75" s="176"/>
      <c r="C75" s="196"/>
      <c r="D75" s="196"/>
      <c r="E75" s="176"/>
      <c r="F75" s="216"/>
      <c r="G75" s="176"/>
      <c r="H75" s="176"/>
      <c r="I75" s="176"/>
      <c r="J75" s="176"/>
      <c r="K75" s="176"/>
    </row>
    <row r="76" spans="1:11" ht="13.5" customHeight="1" x14ac:dyDescent="0.2">
      <c r="A76" s="176"/>
      <c r="B76" s="176" t="s">
        <v>221</v>
      </c>
      <c r="C76" s="196"/>
      <c r="D76" s="196"/>
      <c r="E76" s="176"/>
      <c r="F76" s="216"/>
      <c r="G76" s="176"/>
      <c r="H76" s="176"/>
      <c r="I76" s="176"/>
      <c r="J76" s="176"/>
      <c r="K76" s="176"/>
    </row>
    <row r="77" spans="1:11" ht="13.5" customHeight="1" x14ac:dyDescent="0.2">
      <c r="A77" s="276"/>
      <c r="B77" s="285" t="s">
        <v>205</v>
      </c>
      <c r="C77" s="230"/>
      <c r="D77" s="277">
        <f>+F19*F7</f>
        <v>2400</v>
      </c>
      <c r="E77" s="276"/>
      <c r="F77" s="286"/>
      <c r="G77" s="176"/>
      <c r="H77" s="176"/>
      <c r="I77" s="176"/>
      <c r="J77" s="176"/>
      <c r="K77" s="176"/>
    </row>
    <row r="78" spans="1:11" ht="13.5" customHeight="1" x14ac:dyDescent="0.2">
      <c r="A78" s="279"/>
      <c r="B78" s="287" t="s">
        <v>206</v>
      </c>
      <c r="C78" s="233"/>
      <c r="D78" s="280">
        <f>+F18*F7</f>
        <v>768</v>
      </c>
      <c r="E78" s="279"/>
      <c r="F78" s="281"/>
      <c r="G78" s="176"/>
      <c r="H78" s="176"/>
      <c r="I78" s="176"/>
      <c r="J78" s="176"/>
      <c r="K78" s="176"/>
    </row>
    <row r="79" spans="1:11" ht="13.5" customHeight="1" x14ac:dyDescent="0.2">
      <c r="A79" s="279"/>
      <c r="B79" s="287" t="s">
        <v>215</v>
      </c>
      <c r="C79" s="233"/>
      <c r="D79" s="280">
        <f>+F20*F7</f>
        <v>1440</v>
      </c>
      <c r="E79" s="279"/>
      <c r="F79" s="281"/>
      <c r="G79" s="176"/>
      <c r="H79" s="176"/>
      <c r="I79" s="176"/>
      <c r="J79" s="176"/>
      <c r="K79" s="176"/>
    </row>
    <row r="80" spans="1:11" ht="13.5" customHeight="1" x14ac:dyDescent="0.2">
      <c r="A80" s="282"/>
      <c r="B80" s="288" t="s">
        <v>207</v>
      </c>
      <c r="C80" s="236"/>
      <c r="D80" s="283">
        <f>+F21*F7</f>
        <v>480</v>
      </c>
      <c r="E80" s="282"/>
      <c r="F80" s="284"/>
      <c r="G80" s="176"/>
      <c r="H80" s="176"/>
      <c r="I80" s="176"/>
      <c r="J80" s="176"/>
      <c r="K80" s="176"/>
    </row>
    <row r="81" spans="1:11" ht="13.5" customHeight="1" x14ac:dyDescent="0.2">
      <c r="A81" s="176"/>
      <c r="B81" s="226" t="s">
        <v>173</v>
      </c>
      <c r="C81" s="227"/>
      <c r="D81" s="228">
        <f>SUM(D77:D80)</f>
        <v>5088</v>
      </c>
      <c r="E81" s="176"/>
      <c r="F81" s="216">
        <f>+D81/D74</f>
        <v>0.21031746031746032</v>
      </c>
      <c r="G81" s="176"/>
      <c r="H81" s="176"/>
      <c r="I81" s="176"/>
      <c r="J81" s="176"/>
      <c r="K81" s="176"/>
    </row>
    <row r="82" spans="1:11" ht="13.5" customHeight="1" x14ac:dyDescent="0.2">
      <c r="A82" s="202"/>
      <c r="B82" s="202"/>
      <c r="C82" s="197"/>
      <c r="D82" s="203"/>
      <c r="E82" s="202"/>
      <c r="F82" s="257"/>
      <c r="G82" s="176"/>
      <c r="H82" s="176"/>
      <c r="I82" s="176"/>
      <c r="J82" s="176"/>
      <c r="K82" s="176"/>
    </row>
    <row r="83" spans="1:11" ht="13.5" customHeight="1" x14ac:dyDescent="0.2">
      <c r="A83" s="258"/>
      <c r="B83" s="208" t="s">
        <v>208</v>
      </c>
      <c r="C83" s="240"/>
      <c r="D83" s="316">
        <f>+D74-D81</f>
        <v>19104</v>
      </c>
      <c r="E83" s="258"/>
      <c r="F83" s="242">
        <f>+D83/D74</f>
        <v>0.78968253968253965</v>
      </c>
      <c r="G83" s="176"/>
      <c r="H83" s="176"/>
      <c r="I83" s="176"/>
      <c r="J83" s="176"/>
      <c r="K83" s="176"/>
    </row>
    <row r="84" spans="1:11" ht="13.5" customHeight="1" x14ac:dyDescent="0.2">
      <c r="A84" s="176"/>
      <c r="B84" s="176"/>
      <c r="C84" s="196"/>
      <c r="D84" s="196"/>
      <c r="E84" s="215"/>
      <c r="F84" s="256"/>
      <c r="G84" s="176"/>
      <c r="H84" s="176"/>
      <c r="I84" s="176"/>
      <c r="J84" s="176"/>
      <c r="K84" s="176"/>
    </row>
    <row r="85" spans="1:11" ht="13.5" customHeight="1" x14ac:dyDescent="0.2">
      <c r="A85" s="176"/>
      <c r="B85" s="176"/>
      <c r="C85" s="196"/>
      <c r="D85" s="196"/>
      <c r="E85" s="215"/>
      <c r="F85" s="256"/>
      <c r="G85" s="176"/>
      <c r="H85" s="176"/>
      <c r="I85" s="176"/>
      <c r="J85" s="176"/>
      <c r="K85" s="176"/>
    </row>
    <row r="86" spans="1:11" ht="13.5" customHeight="1" x14ac:dyDescent="0.2">
      <c r="A86" s="207" t="s">
        <v>174</v>
      </c>
      <c r="B86" s="208" t="s">
        <v>209</v>
      </c>
      <c r="C86" s="240"/>
      <c r="D86" s="289"/>
      <c r="E86" s="289"/>
      <c r="F86" s="324">
        <f>+D66/D83</f>
        <v>45.394158291457288</v>
      </c>
      <c r="G86" s="176"/>
      <c r="H86" s="176"/>
      <c r="I86" s="176"/>
      <c r="J86" s="176"/>
      <c r="K86" s="176"/>
    </row>
    <row r="87" spans="1:11" ht="13.5" customHeight="1" x14ac:dyDescent="0.2">
      <c r="A87" s="176"/>
      <c r="B87" s="176"/>
      <c r="C87" s="196"/>
      <c r="D87" s="215"/>
      <c r="E87" s="215"/>
      <c r="F87" s="196"/>
      <c r="G87" s="176"/>
      <c r="H87" s="176"/>
      <c r="I87" s="176"/>
      <c r="J87" s="176"/>
      <c r="K87" s="176"/>
    </row>
    <row r="88" spans="1:11" ht="13.5" customHeight="1" x14ac:dyDescent="0.2">
      <c r="A88" s="176"/>
      <c r="B88" s="176"/>
      <c r="C88" s="196"/>
      <c r="D88" s="215"/>
      <c r="E88" s="215"/>
      <c r="F88" s="196"/>
      <c r="G88" s="176"/>
      <c r="H88" s="176"/>
      <c r="I88" s="176"/>
      <c r="J88" s="176"/>
      <c r="K88" s="176"/>
    </row>
    <row r="89" spans="1:11" ht="13.5" customHeight="1" x14ac:dyDescent="0.2">
      <c r="A89" s="224" t="s">
        <v>199</v>
      </c>
      <c r="B89" s="225" t="s">
        <v>210</v>
      </c>
      <c r="C89" s="204"/>
      <c r="D89" s="239"/>
      <c r="E89" s="239"/>
      <c r="F89" s="204"/>
      <c r="G89" s="176"/>
      <c r="H89" s="176"/>
      <c r="I89" s="176"/>
      <c r="J89" s="176"/>
      <c r="K89" s="176"/>
    </row>
    <row r="90" spans="1:11" ht="13.5" customHeight="1" x14ac:dyDescent="0.2">
      <c r="A90" s="241"/>
      <c r="B90" s="291" t="s">
        <v>211</v>
      </c>
      <c r="C90" s="240"/>
      <c r="D90" s="292"/>
      <c r="E90" s="292"/>
      <c r="F90" s="325">
        <f>+F86/E28</f>
        <v>2.4600705138596206</v>
      </c>
      <c r="G90" s="176"/>
      <c r="H90" s="176"/>
      <c r="I90" s="176"/>
      <c r="J90" s="176"/>
      <c r="K90" s="176"/>
    </row>
    <row r="91" spans="1:11" x14ac:dyDescent="0.2">
      <c r="A91" s="207"/>
      <c r="B91" s="293" t="s">
        <v>216</v>
      </c>
      <c r="C91" s="207"/>
      <c r="D91" s="294"/>
      <c r="E91" s="294"/>
      <c r="F91" s="325">
        <f>+F86/E29</f>
        <v>3.8131092964824123</v>
      </c>
      <c r="G91" s="176"/>
      <c r="H91" s="176"/>
      <c r="I91" s="176"/>
      <c r="J91" s="176"/>
      <c r="K91" s="176"/>
    </row>
    <row r="94" spans="1:11" s="14" customFormat="1" ht="15.75" x14ac:dyDescent="0.2">
      <c r="A94" s="368"/>
      <c r="B94" s="369"/>
      <c r="C94" s="369"/>
      <c r="D94" s="370"/>
      <c r="E94" s="370"/>
      <c r="F94" s="370"/>
    </row>
    <row r="95" spans="1:11" s="13" customFormat="1" ht="15.75" x14ac:dyDescent="0.25">
      <c r="A95" s="542" t="str">
        <f>'OSNOVNI PODATKI'!B270</f>
        <v>© 2022 ZAPS, vse pravice pridržane</v>
      </c>
      <c r="B95" s="543"/>
      <c r="C95" s="543"/>
      <c r="D95" s="544"/>
      <c r="E95" s="544"/>
      <c r="F95" s="544"/>
    </row>
  </sheetData>
  <pageMargins left="0.7" right="0.7" top="0.75" bottom="0.75" header="0.3" footer="0.3"/>
  <pageSetup paperSize="9" orientation="portrait" horizontalDpi="1200" verticalDpi="1200" r:id="rId1"/>
  <ignoredErrors>
    <ignoredError sqref="F36 F62 F64 F73 F2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X169"/>
  <sheetViews>
    <sheetView topLeftCell="A10" workbookViewId="0">
      <selection activeCell="E162" sqref="E162"/>
    </sheetView>
  </sheetViews>
  <sheetFormatPr defaultColWidth="9.140625" defaultRowHeight="12.75" x14ac:dyDescent="0.2"/>
  <cols>
    <col min="1" max="1" width="8.140625" style="2" customWidth="1"/>
    <col min="2" max="2" width="15" style="2" customWidth="1"/>
    <col min="3" max="7" width="13.5703125" style="2" customWidth="1"/>
    <col min="8" max="8" width="15" style="2" customWidth="1"/>
    <col min="9" max="12" width="13.5703125" style="2" customWidth="1"/>
    <col min="13" max="13" width="9.140625" style="2"/>
    <col min="14" max="14" width="12.7109375" style="2" customWidth="1"/>
    <col min="15" max="16384" width="9.140625" style="2"/>
  </cols>
  <sheetData>
    <row r="1" spans="2:12" s="5" customFormat="1" ht="25.5" x14ac:dyDescent="0.35">
      <c r="B1" s="6" t="s">
        <v>416</v>
      </c>
      <c r="C1" s="394"/>
      <c r="D1" s="394"/>
      <c r="E1" s="394"/>
      <c r="F1" s="394"/>
      <c r="G1" s="394"/>
      <c r="H1" s="394"/>
      <c r="I1" s="395"/>
      <c r="J1" s="395"/>
      <c r="K1" s="395"/>
      <c r="L1" s="395"/>
    </row>
    <row r="2" spans="2:12" s="5" customFormat="1" ht="14.25" x14ac:dyDescent="0.25">
      <c r="B2" s="10"/>
      <c r="C2" s="8"/>
      <c r="D2" s="8"/>
      <c r="E2" s="8"/>
      <c r="F2" s="8"/>
      <c r="G2" s="8"/>
      <c r="H2" s="8"/>
      <c r="I2" s="9"/>
      <c r="J2" s="9"/>
      <c r="K2" s="9"/>
      <c r="L2" s="9"/>
    </row>
    <row r="3" spans="2:12" ht="14.25" x14ac:dyDescent="0.25">
      <c r="B3" s="7"/>
      <c r="C3" s="7"/>
      <c r="D3" s="7"/>
      <c r="E3" s="7"/>
      <c r="F3" s="7"/>
      <c r="G3" s="7"/>
      <c r="H3" s="7"/>
      <c r="I3" s="7"/>
      <c r="J3" s="7"/>
      <c r="K3" s="7"/>
      <c r="L3" s="9"/>
    </row>
    <row r="4" spans="2:12" x14ac:dyDescent="0.2">
      <c r="B4" s="1123" t="s">
        <v>91</v>
      </c>
      <c r="C4" s="109" t="s">
        <v>92</v>
      </c>
      <c r="D4" s="109"/>
      <c r="E4" s="109" t="s">
        <v>93</v>
      </c>
      <c r="F4" s="109"/>
      <c r="G4" s="109" t="s">
        <v>94</v>
      </c>
      <c r="H4" s="109"/>
      <c r="I4" s="109" t="s">
        <v>95</v>
      </c>
      <c r="J4" s="109"/>
      <c r="K4" s="109" t="s">
        <v>96</v>
      </c>
      <c r="L4" s="109"/>
    </row>
    <row r="5" spans="2:12" x14ac:dyDescent="0.2">
      <c r="B5" s="1124"/>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110">
        <v>25000</v>
      </c>
      <c r="C7" s="110">
        <v>39</v>
      </c>
      <c r="D7" s="110">
        <v>46</v>
      </c>
      <c r="E7" s="110">
        <v>46</v>
      </c>
      <c r="F7" s="110">
        <v>54</v>
      </c>
      <c r="G7" s="110">
        <v>54</v>
      </c>
      <c r="H7" s="110">
        <v>68</v>
      </c>
      <c r="I7" s="110">
        <v>68</v>
      </c>
      <c r="J7" s="110">
        <v>76</v>
      </c>
      <c r="K7" s="110">
        <v>76</v>
      </c>
      <c r="L7" s="110">
        <v>83</v>
      </c>
    </row>
    <row r="8" spans="2:12" x14ac:dyDescent="0.2">
      <c r="B8" s="110">
        <v>35000</v>
      </c>
      <c r="C8" s="110">
        <v>53</v>
      </c>
      <c r="D8" s="110">
        <v>62</v>
      </c>
      <c r="E8" s="110">
        <v>62</v>
      </c>
      <c r="F8" s="110">
        <v>73</v>
      </c>
      <c r="G8" s="110">
        <v>73</v>
      </c>
      <c r="H8" s="110">
        <v>91</v>
      </c>
      <c r="I8" s="110">
        <v>91</v>
      </c>
      <c r="J8" s="110">
        <v>103</v>
      </c>
      <c r="K8" s="110">
        <v>103</v>
      </c>
      <c r="L8" s="110">
        <v>112</v>
      </c>
    </row>
    <row r="9" spans="2:12" x14ac:dyDescent="0.2">
      <c r="B9" s="110">
        <v>50000</v>
      </c>
      <c r="C9" s="110">
        <v>73</v>
      </c>
      <c r="D9" s="110">
        <v>85</v>
      </c>
      <c r="E9" s="110">
        <v>85</v>
      </c>
      <c r="F9" s="110">
        <v>101</v>
      </c>
      <c r="G9" s="110">
        <v>101</v>
      </c>
      <c r="H9" s="110">
        <v>126</v>
      </c>
      <c r="I9" s="110">
        <v>126</v>
      </c>
      <c r="J9" s="110">
        <v>142</v>
      </c>
      <c r="K9" s="110">
        <v>142</v>
      </c>
      <c r="L9" s="110">
        <v>154</v>
      </c>
    </row>
    <row r="10" spans="2:12" x14ac:dyDescent="0.2">
      <c r="B10" s="110">
        <v>75000</v>
      </c>
      <c r="C10" s="110">
        <v>104</v>
      </c>
      <c r="D10" s="110">
        <v>122</v>
      </c>
      <c r="E10" s="110">
        <v>122</v>
      </c>
      <c r="F10" s="110">
        <v>145</v>
      </c>
      <c r="G10" s="110">
        <v>145</v>
      </c>
      <c r="H10" s="110">
        <v>181</v>
      </c>
      <c r="I10" s="110">
        <v>181</v>
      </c>
      <c r="J10" s="110">
        <v>204</v>
      </c>
      <c r="K10" s="110">
        <v>204</v>
      </c>
      <c r="L10" s="110">
        <v>222</v>
      </c>
    </row>
    <row r="11" spans="2:12" x14ac:dyDescent="0.2">
      <c r="B11" s="110">
        <v>100000</v>
      </c>
      <c r="C11" s="110">
        <v>135</v>
      </c>
      <c r="D11" s="110">
        <v>158</v>
      </c>
      <c r="E11" s="110">
        <v>158</v>
      </c>
      <c r="F11" s="110">
        <v>188</v>
      </c>
      <c r="G11" s="110">
        <v>188</v>
      </c>
      <c r="H11" s="110">
        <v>234</v>
      </c>
      <c r="I11" s="110">
        <v>234</v>
      </c>
      <c r="J11" s="110">
        <v>263</v>
      </c>
      <c r="K11" s="110">
        <v>263</v>
      </c>
      <c r="L11" s="110">
        <v>287</v>
      </c>
    </row>
    <row r="12" spans="2:12" x14ac:dyDescent="0.2">
      <c r="B12" s="110">
        <v>150000</v>
      </c>
      <c r="C12" s="110">
        <v>194</v>
      </c>
      <c r="D12" s="110">
        <v>227</v>
      </c>
      <c r="E12" s="110">
        <v>227</v>
      </c>
      <c r="F12" s="110">
        <v>269</v>
      </c>
      <c r="G12" s="110">
        <v>269</v>
      </c>
      <c r="H12" s="110">
        <v>336</v>
      </c>
      <c r="I12" s="110">
        <v>336</v>
      </c>
      <c r="J12" s="110">
        <v>378</v>
      </c>
      <c r="K12" s="110">
        <v>378</v>
      </c>
      <c r="L12" s="110">
        <v>412</v>
      </c>
    </row>
    <row r="13" spans="2:12" x14ac:dyDescent="0.2">
      <c r="B13" s="110">
        <v>200000</v>
      </c>
      <c r="C13" s="110">
        <v>250</v>
      </c>
      <c r="D13" s="110">
        <v>294</v>
      </c>
      <c r="E13" s="110">
        <v>294</v>
      </c>
      <c r="F13" s="110">
        <v>348</v>
      </c>
      <c r="G13" s="110">
        <v>348</v>
      </c>
      <c r="H13" s="110">
        <v>434</v>
      </c>
      <c r="I13" s="110">
        <v>434</v>
      </c>
      <c r="J13" s="110">
        <v>489</v>
      </c>
      <c r="K13" s="110">
        <v>489</v>
      </c>
      <c r="L13" s="110">
        <v>532</v>
      </c>
    </row>
    <row r="14" spans="2:12" x14ac:dyDescent="0.2">
      <c r="B14" s="110">
        <v>300000</v>
      </c>
      <c r="C14" s="110">
        <v>359</v>
      </c>
      <c r="D14" s="110">
        <v>421</v>
      </c>
      <c r="E14" s="110">
        <v>421</v>
      </c>
      <c r="F14" s="110">
        <v>500</v>
      </c>
      <c r="G14" s="110">
        <v>500</v>
      </c>
      <c r="H14" s="110">
        <v>623</v>
      </c>
      <c r="I14" s="110">
        <v>623</v>
      </c>
      <c r="J14" s="110">
        <v>702</v>
      </c>
      <c r="K14" s="110">
        <v>702</v>
      </c>
      <c r="L14" s="110">
        <v>764</v>
      </c>
    </row>
    <row r="15" spans="2:12" x14ac:dyDescent="0.2">
      <c r="B15" s="110">
        <v>500000</v>
      </c>
      <c r="C15" s="110">
        <v>565</v>
      </c>
      <c r="D15" s="110">
        <v>663</v>
      </c>
      <c r="E15" s="110">
        <v>663</v>
      </c>
      <c r="F15" s="110">
        <v>786</v>
      </c>
      <c r="G15" s="110">
        <v>786</v>
      </c>
      <c r="H15" s="110">
        <v>981</v>
      </c>
      <c r="I15" s="110">
        <v>981</v>
      </c>
      <c r="J15" s="110">
        <v>1104</v>
      </c>
      <c r="K15" s="110">
        <v>1104</v>
      </c>
      <c r="L15" s="110">
        <v>1201</v>
      </c>
    </row>
    <row r="16" spans="2:12" x14ac:dyDescent="0.2">
      <c r="B16" s="110">
        <v>750000</v>
      </c>
      <c r="C16" s="110">
        <v>808</v>
      </c>
      <c r="D16" s="110">
        <v>947</v>
      </c>
      <c r="E16" s="110">
        <v>947</v>
      </c>
      <c r="F16" s="110">
        <v>1124</v>
      </c>
      <c r="G16" s="110">
        <v>1124</v>
      </c>
      <c r="H16" s="110">
        <v>1402</v>
      </c>
      <c r="I16" s="110">
        <v>1402</v>
      </c>
      <c r="J16" s="110">
        <v>1579</v>
      </c>
      <c r="K16" s="110">
        <v>1579</v>
      </c>
      <c r="L16" s="110">
        <v>1718</v>
      </c>
    </row>
    <row r="17" spans="2:24" x14ac:dyDescent="0.2">
      <c r="B17" s="110">
        <v>1000000</v>
      </c>
      <c r="C17" s="110">
        <v>1040</v>
      </c>
      <c r="D17" s="110">
        <v>1218</v>
      </c>
      <c r="E17" s="110">
        <v>1218</v>
      </c>
      <c r="F17" s="110">
        <v>1446</v>
      </c>
      <c r="G17" s="110">
        <v>1446</v>
      </c>
      <c r="H17" s="110">
        <v>1803</v>
      </c>
      <c r="I17" s="110">
        <v>1803</v>
      </c>
      <c r="J17" s="110">
        <v>2031</v>
      </c>
      <c r="K17" s="110">
        <v>2031</v>
      </c>
      <c r="L17" s="110">
        <v>2210</v>
      </c>
    </row>
    <row r="18" spans="2:24" x14ac:dyDescent="0.2">
      <c r="B18" s="110">
        <v>1500000</v>
      </c>
      <c r="C18" s="110">
        <v>1491</v>
      </c>
      <c r="D18" s="110">
        <v>1748</v>
      </c>
      <c r="E18" s="110">
        <v>1748</v>
      </c>
      <c r="F18" s="110">
        <v>2074</v>
      </c>
      <c r="G18" s="110">
        <v>2074</v>
      </c>
      <c r="H18" s="110">
        <v>2587</v>
      </c>
      <c r="I18" s="110">
        <v>2587</v>
      </c>
      <c r="J18" s="110">
        <v>2913</v>
      </c>
      <c r="K18" s="110">
        <v>2913</v>
      </c>
      <c r="L18" s="110">
        <v>3169</v>
      </c>
    </row>
    <row r="19" spans="2:24" x14ac:dyDescent="0.2">
      <c r="B19" s="110">
        <v>2000000</v>
      </c>
      <c r="C19" s="110">
        <v>1925</v>
      </c>
      <c r="D19" s="110">
        <v>2255</v>
      </c>
      <c r="E19" s="110">
        <v>2255</v>
      </c>
      <c r="F19" s="110">
        <v>2676</v>
      </c>
      <c r="G19" s="110">
        <v>2676</v>
      </c>
      <c r="H19" s="110">
        <v>3338</v>
      </c>
      <c r="I19" s="110">
        <v>3338</v>
      </c>
      <c r="J19" s="110">
        <v>3759</v>
      </c>
      <c r="K19" s="110">
        <v>3759</v>
      </c>
      <c r="L19" s="110">
        <v>4090</v>
      </c>
    </row>
    <row r="20" spans="2:24" x14ac:dyDescent="0.2">
      <c r="B20" s="110">
        <v>3000000</v>
      </c>
      <c r="C20" s="110">
        <v>2752</v>
      </c>
      <c r="D20" s="110">
        <v>3225</v>
      </c>
      <c r="E20" s="110">
        <v>3225</v>
      </c>
      <c r="F20" s="110">
        <v>3827</v>
      </c>
      <c r="G20" s="110">
        <v>3827</v>
      </c>
      <c r="H20" s="110">
        <v>4773</v>
      </c>
      <c r="I20" s="110">
        <v>4773</v>
      </c>
      <c r="J20" s="110">
        <v>5375</v>
      </c>
      <c r="K20" s="110">
        <v>5375</v>
      </c>
      <c r="L20" s="110">
        <v>5848</v>
      </c>
    </row>
    <row r="21" spans="2:24" x14ac:dyDescent="0.2">
      <c r="B21" s="110">
        <v>5000000</v>
      </c>
      <c r="C21" s="110">
        <v>4298</v>
      </c>
      <c r="D21" s="110">
        <v>5037</v>
      </c>
      <c r="E21" s="110">
        <v>5037</v>
      </c>
      <c r="F21" s="110">
        <v>5978</v>
      </c>
      <c r="G21" s="110">
        <v>5978</v>
      </c>
      <c r="H21" s="110">
        <v>7455</v>
      </c>
      <c r="I21" s="110">
        <v>7455</v>
      </c>
      <c r="J21" s="110">
        <v>8396</v>
      </c>
      <c r="K21" s="110">
        <v>8396</v>
      </c>
      <c r="L21" s="110">
        <v>9134</v>
      </c>
    </row>
    <row r="22" spans="2:24" x14ac:dyDescent="0.2">
      <c r="B22" s="110">
        <v>7500000</v>
      </c>
      <c r="C22" s="110">
        <v>6174</v>
      </c>
      <c r="D22" s="110">
        <v>7235</v>
      </c>
      <c r="E22" s="110">
        <v>7235</v>
      </c>
      <c r="F22" s="110">
        <v>8586</v>
      </c>
      <c r="G22" s="110">
        <v>8586</v>
      </c>
      <c r="H22" s="110">
        <v>10708</v>
      </c>
      <c r="I22" s="110">
        <v>10708</v>
      </c>
      <c r="J22" s="110">
        <v>12059</v>
      </c>
      <c r="K22" s="110">
        <v>12059</v>
      </c>
      <c r="L22" s="110">
        <v>13120</v>
      </c>
    </row>
    <row r="23" spans="2:24" x14ac:dyDescent="0.2">
      <c r="B23" s="110">
        <v>10000000</v>
      </c>
      <c r="C23" s="110">
        <v>7978</v>
      </c>
      <c r="D23" s="110">
        <v>9350</v>
      </c>
      <c r="E23" s="110">
        <v>9350</v>
      </c>
      <c r="F23" s="110">
        <v>11095</v>
      </c>
      <c r="G23" s="110">
        <v>11095</v>
      </c>
      <c r="H23" s="110">
        <v>13838</v>
      </c>
      <c r="I23" s="110">
        <v>13838</v>
      </c>
      <c r="J23" s="110">
        <v>15583</v>
      </c>
      <c r="K23" s="110">
        <v>15583</v>
      </c>
      <c r="L23" s="110">
        <v>16954</v>
      </c>
    </row>
    <row r="24" spans="2:24" x14ac:dyDescent="0.2">
      <c r="B24" s="110">
        <v>15000000</v>
      </c>
      <c r="C24" s="110">
        <v>11439</v>
      </c>
      <c r="D24" s="110">
        <v>13405</v>
      </c>
      <c r="E24" s="110">
        <v>13405</v>
      </c>
      <c r="F24" s="110">
        <v>15908</v>
      </c>
      <c r="G24" s="110">
        <v>15908</v>
      </c>
      <c r="H24" s="110">
        <v>19840</v>
      </c>
      <c r="I24" s="110">
        <v>19840</v>
      </c>
      <c r="J24" s="110">
        <v>22342</v>
      </c>
      <c r="K24" s="110">
        <v>22342</v>
      </c>
      <c r="L24" s="110">
        <v>24308</v>
      </c>
    </row>
    <row r="25" spans="2:24" x14ac:dyDescent="0.2">
      <c r="B25" s="110">
        <v>20000000</v>
      </c>
      <c r="C25" s="110">
        <v>14755</v>
      </c>
      <c r="D25" s="110">
        <v>17291</v>
      </c>
      <c r="E25" s="110">
        <v>17291</v>
      </c>
      <c r="F25" s="110">
        <v>20519</v>
      </c>
      <c r="G25" s="110">
        <v>20519</v>
      </c>
      <c r="H25" s="110">
        <v>25591</v>
      </c>
      <c r="I25" s="110">
        <v>25591</v>
      </c>
      <c r="J25" s="110">
        <v>28819</v>
      </c>
      <c r="K25" s="110">
        <v>28819</v>
      </c>
      <c r="L25" s="110">
        <v>31355</v>
      </c>
    </row>
    <row r="26" spans="2:24" x14ac:dyDescent="0.2">
      <c r="B26" s="110">
        <v>25000000</v>
      </c>
      <c r="C26" s="110">
        <v>17961</v>
      </c>
      <c r="D26" s="110">
        <v>21048</v>
      </c>
      <c r="E26" s="110">
        <v>21048</v>
      </c>
      <c r="F26" s="110">
        <v>24977</v>
      </c>
      <c r="G26" s="110">
        <v>24977</v>
      </c>
      <c r="H26" s="110">
        <v>31151</v>
      </c>
      <c r="I26" s="110">
        <v>31151</v>
      </c>
      <c r="J26" s="110">
        <v>35080</v>
      </c>
      <c r="K26" s="110">
        <v>35080</v>
      </c>
      <c r="L26" s="110">
        <v>38167</v>
      </c>
    </row>
    <row r="27" spans="2:24" x14ac:dyDescent="0.2">
      <c r="B27" s="470">
        <v>50000000</v>
      </c>
      <c r="C27" s="470">
        <v>29640</v>
      </c>
      <c r="D27" s="470">
        <v>34960</v>
      </c>
      <c r="E27" s="470">
        <v>34960</v>
      </c>
      <c r="F27" s="470">
        <v>41040</v>
      </c>
      <c r="G27" s="470">
        <v>41040</v>
      </c>
      <c r="H27" s="470">
        <v>51680</v>
      </c>
      <c r="I27" s="470">
        <v>51680</v>
      </c>
      <c r="J27" s="470">
        <v>57760</v>
      </c>
      <c r="K27" s="470">
        <v>57760</v>
      </c>
      <c r="L27" s="470">
        <v>63080</v>
      </c>
    </row>
    <row r="28" spans="2:24" x14ac:dyDescent="0.2">
      <c r="B28" s="470">
        <v>100000000</v>
      </c>
      <c r="C28" s="470">
        <v>46800</v>
      </c>
      <c r="D28" s="470">
        <v>55200</v>
      </c>
      <c r="E28" s="470">
        <v>55200</v>
      </c>
      <c r="F28" s="470">
        <v>64800</v>
      </c>
      <c r="G28" s="470">
        <v>64800</v>
      </c>
      <c r="H28" s="470">
        <v>81600</v>
      </c>
      <c r="I28" s="470">
        <v>81600</v>
      </c>
      <c r="J28" s="470">
        <v>91200</v>
      </c>
      <c r="K28" s="470">
        <v>91200</v>
      </c>
      <c r="L28" s="470">
        <v>99600</v>
      </c>
    </row>
    <row r="29" spans="2:24" x14ac:dyDescent="0.2">
      <c r="B29" s="470">
        <v>150000000</v>
      </c>
      <c r="C29" s="470">
        <v>60840</v>
      </c>
      <c r="D29" s="470">
        <v>71760</v>
      </c>
      <c r="E29" s="470">
        <v>71760</v>
      </c>
      <c r="F29" s="470">
        <v>84240</v>
      </c>
      <c r="G29" s="470">
        <v>84240</v>
      </c>
      <c r="H29" s="470">
        <v>106080</v>
      </c>
      <c r="I29" s="470">
        <v>106080</v>
      </c>
      <c r="J29" s="470">
        <v>118560</v>
      </c>
      <c r="K29" s="470">
        <v>118560</v>
      </c>
      <c r="L29" s="470">
        <v>129480</v>
      </c>
    </row>
    <row r="30" spans="2:24" x14ac:dyDescent="0.2">
      <c r="B30" s="470">
        <v>200000000</v>
      </c>
      <c r="C30" s="470">
        <v>68640</v>
      </c>
      <c r="D30" s="470">
        <v>80960</v>
      </c>
      <c r="E30" s="470">
        <v>80960</v>
      </c>
      <c r="F30" s="470">
        <v>95040</v>
      </c>
      <c r="G30" s="470">
        <v>95040</v>
      </c>
      <c r="H30" s="470">
        <v>119680</v>
      </c>
      <c r="I30" s="470">
        <v>119680</v>
      </c>
      <c r="J30" s="470">
        <v>133760</v>
      </c>
      <c r="K30" s="470">
        <v>133760</v>
      </c>
      <c r="L30" s="470">
        <v>146080</v>
      </c>
    </row>
    <row r="31" spans="2:24" s="105" customFormat="1" x14ac:dyDescent="0.2">
      <c r="B31" s="104"/>
      <c r="C31" s="104"/>
      <c r="D31" s="104"/>
      <c r="E31" s="104"/>
      <c r="F31" s="104"/>
      <c r="G31" s="104"/>
      <c r="H31" s="104"/>
      <c r="I31" s="104"/>
      <c r="J31" s="104"/>
      <c r="K31" s="104"/>
      <c r="L31" s="104"/>
      <c r="M31" s="2"/>
      <c r="N31" s="2"/>
      <c r="O31" s="2"/>
      <c r="P31" s="2"/>
      <c r="Q31" s="2"/>
      <c r="R31" s="2"/>
      <c r="S31" s="2"/>
      <c r="T31" s="2"/>
      <c r="U31" s="2"/>
      <c r="V31" s="2"/>
      <c r="W31" s="2"/>
      <c r="X31" s="2"/>
    </row>
    <row r="32" spans="2:24" s="105" customFormat="1" x14ac:dyDescent="0.2">
      <c r="B32" s="104"/>
      <c r="C32" s="104"/>
      <c r="D32" s="104"/>
      <c r="E32" s="104"/>
      <c r="F32" s="104"/>
      <c r="G32" s="104"/>
      <c r="H32" s="104"/>
      <c r="I32" s="104"/>
      <c r="J32" s="104"/>
      <c r="K32" s="104"/>
      <c r="L32" s="104"/>
    </row>
    <row r="33" spans="1:12" s="105" customFormat="1" x14ac:dyDescent="0.2">
      <c r="B33" s="103"/>
      <c r="C33" s="104"/>
      <c r="D33" s="104"/>
      <c r="E33" s="114"/>
      <c r="F33" s="104"/>
      <c r="G33" s="104"/>
      <c r="H33" s="104"/>
      <c r="I33" s="104"/>
      <c r="J33" s="104"/>
      <c r="K33" s="104"/>
      <c r="L33" s="104"/>
    </row>
    <row r="34" spans="1:12" s="101" customFormat="1" x14ac:dyDescent="0.2">
      <c r="A34" s="105"/>
      <c r="B34" s="365" t="s">
        <v>275</v>
      </c>
      <c r="C34" s="365"/>
      <c r="D34" s="365"/>
      <c r="E34" s="365"/>
      <c r="F34" s="365"/>
    </row>
    <row r="35" spans="1:12" s="101" customFormat="1" x14ac:dyDescent="0.2">
      <c r="B35" s="350" t="s">
        <v>127</v>
      </c>
      <c r="C35" s="355"/>
      <c r="D35" s="355"/>
      <c r="E35" s="356"/>
      <c r="F35" s="357">
        <f>'OSNOVNI PODATKI'!C237</f>
        <v>2956950</v>
      </c>
    </row>
    <row r="36" spans="1:12" s="101" customFormat="1" x14ac:dyDescent="0.2">
      <c r="B36" s="351" t="s">
        <v>150</v>
      </c>
      <c r="C36" s="358"/>
      <c r="D36" s="358"/>
      <c r="E36" s="359"/>
      <c r="F36" s="360" t="str">
        <f>'OSNOVNI PODATKI'!D237</f>
        <v>Cenovni razred III</v>
      </c>
    </row>
    <row r="37" spans="1:12" s="101" customFormat="1" x14ac:dyDescent="0.2">
      <c r="B37" s="110" t="s">
        <v>33</v>
      </c>
      <c r="C37" s="358"/>
      <c r="D37" s="109"/>
      <c r="E37" s="109"/>
      <c r="F37" s="109">
        <f>IFERROR(MATCH(F36,C4:L4),"/")</f>
        <v>5</v>
      </c>
    </row>
    <row r="38" spans="1:12" s="101" customFormat="1" x14ac:dyDescent="0.2">
      <c r="B38" s="110" t="s">
        <v>151</v>
      </c>
      <c r="C38" s="358"/>
      <c r="D38" s="109"/>
      <c r="E38" s="109"/>
      <c r="F38" s="109">
        <f>IFERROR(F37+1,"/")</f>
        <v>6</v>
      </c>
    </row>
    <row r="39" spans="1:12" s="101" customFormat="1" x14ac:dyDescent="0.2">
      <c r="B39" s="110" t="s">
        <v>34</v>
      </c>
      <c r="C39" s="358"/>
      <c r="D39" s="109"/>
      <c r="E39" s="109"/>
      <c r="F39" s="109">
        <f>IF(OR(F35&gt;B30,F35&lt;B7),"/",IFERROR(MATCH(F35,B7:B30),"/"))</f>
        <v>13</v>
      </c>
    </row>
    <row r="40" spans="1:12" s="101" customFormat="1" x14ac:dyDescent="0.2">
      <c r="B40" s="110" t="s">
        <v>35</v>
      </c>
      <c r="C40" s="358"/>
      <c r="D40" s="109"/>
      <c r="E40" s="109"/>
      <c r="F40" s="109">
        <f>IFERROR(F39+1,"/")</f>
        <v>14</v>
      </c>
    </row>
    <row r="41" spans="1:12" s="101" customFormat="1" x14ac:dyDescent="0.2">
      <c r="B41" s="110" t="s">
        <v>152</v>
      </c>
      <c r="C41" s="358"/>
      <c r="D41" s="109"/>
      <c r="E41" s="109"/>
      <c r="F41" s="109">
        <f>IFERROR(INDEX(C7:L30,F39,F37),0)</f>
        <v>2676</v>
      </c>
    </row>
    <row r="42" spans="1:12" s="101" customFormat="1" x14ac:dyDescent="0.2">
      <c r="B42" s="110" t="s">
        <v>110</v>
      </c>
      <c r="C42" s="358"/>
      <c r="D42" s="109"/>
      <c r="E42" s="109"/>
      <c r="F42" s="109">
        <f>IFERROR(INDEX(C7:L30,F40,F37),0)</f>
        <v>3827</v>
      </c>
    </row>
    <row r="43" spans="1:12" s="101" customFormat="1" x14ac:dyDescent="0.2">
      <c r="B43" s="110" t="s">
        <v>122</v>
      </c>
      <c r="C43" s="358"/>
      <c r="D43" s="109"/>
      <c r="E43" s="109"/>
      <c r="F43" s="109">
        <f>IFERROR(INDEX(B7:B30,F39),0)</f>
        <v>2000000</v>
      </c>
    </row>
    <row r="44" spans="1:12" s="101" customFormat="1" x14ac:dyDescent="0.2">
      <c r="B44" s="110" t="s">
        <v>154</v>
      </c>
      <c r="C44" s="358"/>
      <c r="D44" s="109"/>
      <c r="E44" s="109"/>
      <c r="F44" s="109">
        <f>IFERROR(INDEX(B7:B30,F40),0)</f>
        <v>3000000</v>
      </c>
    </row>
    <row r="45" spans="1:12" s="101" customFormat="1" x14ac:dyDescent="0.2">
      <c r="B45" s="502" t="s">
        <v>155</v>
      </c>
      <c r="C45" s="503"/>
      <c r="D45" s="504"/>
      <c r="E45" s="504"/>
      <c r="F45" s="504">
        <f>IFERROR(FORECAST(F35,F41:F42,F43:F44),0)</f>
        <v>3777.4494500000001</v>
      </c>
    </row>
    <row r="46" spans="1:12" s="101" customFormat="1" x14ac:dyDescent="0.2">
      <c r="B46" s="516"/>
      <c r="C46" s="517"/>
      <c r="D46" s="518"/>
      <c r="E46" s="518"/>
      <c r="F46" s="519">
        <f>IF(F39="/","NI DOLOČENO",F45)</f>
        <v>3777.4494500000001</v>
      </c>
    </row>
    <row r="47" spans="1:12" s="101" customFormat="1" x14ac:dyDescent="0.2">
      <c r="B47" s="353"/>
      <c r="D47" s="102"/>
      <c r="E47" s="102"/>
      <c r="F47" s="102"/>
    </row>
    <row r="48" spans="1:12" s="101" customFormat="1" x14ac:dyDescent="0.2">
      <c r="B48" s="361" t="s">
        <v>157</v>
      </c>
      <c r="C48" s="355"/>
      <c r="D48" s="362"/>
      <c r="E48" s="362"/>
      <c r="F48" s="362">
        <f>IFERROR(INDEX(C7:L30,F39,F38),0)</f>
        <v>3338</v>
      </c>
    </row>
    <row r="49" spans="2:12" s="101" customFormat="1" x14ac:dyDescent="0.2">
      <c r="B49" s="110" t="s">
        <v>110</v>
      </c>
      <c r="C49" s="358"/>
      <c r="D49" s="109"/>
      <c r="E49" s="109"/>
      <c r="F49" s="109">
        <f>IFERROR(INDEX(C7:L30,F40,F38),0)</f>
        <v>4773</v>
      </c>
    </row>
    <row r="50" spans="2:12" s="101" customFormat="1" x14ac:dyDescent="0.2">
      <c r="B50" s="502" t="s">
        <v>156</v>
      </c>
      <c r="C50" s="503"/>
      <c r="D50" s="504"/>
      <c r="E50" s="504"/>
      <c r="F50" s="504">
        <f>IFERROR(FORECAST(F35,F48:F49,F43:F44),0)</f>
        <v>4711.22325</v>
      </c>
    </row>
    <row r="51" spans="2:12" s="101" customFormat="1" x14ac:dyDescent="0.2">
      <c r="B51" s="518"/>
      <c r="C51" s="517"/>
      <c r="D51" s="518"/>
      <c r="E51" s="518"/>
      <c r="F51" s="519">
        <f>IF(F39="/","NI DOLOČENO",F50)</f>
        <v>4711.22325</v>
      </c>
    </row>
    <row r="52" spans="2:12" ht="14.25" x14ac:dyDescent="0.25">
      <c r="B52" s="7"/>
      <c r="C52" s="7"/>
      <c r="D52" s="7"/>
      <c r="E52" s="7"/>
      <c r="F52" s="7"/>
      <c r="G52" s="7"/>
      <c r="H52" s="7"/>
      <c r="I52" s="7"/>
      <c r="J52" s="7"/>
      <c r="K52" s="7"/>
      <c r="L52" s="7"/>
    </row>
    <row r="53" spans="2:12" ht="14.25" x14ac:dyDescent="0.25">
      <c r="B53" s="11"/>
      <c r="C53" s="7"/>
      <c r="D53" s="7"/>
      <c r="E53" s="12"/>
      <c r="F53" s="7"/>
      <c r="G53" s="7"/>
      <c r="H53" s="7"/>
      <c r="I53" s="7"/>
      <c r="J53" s="7"/>
      <c r="K53" s="7"/>
      <c r="L53" s="7"/>
    </row>
    <row r="54" spans="2:12" s="101" customFormat="1" x14ac:dyDescent="0.2">
      <c r="B54" s="365" t="s">
        <v>272</v>
      </c>
      <c r="C54" s="365"/>
      <c r="D54" s="365"/>
      <c r="E54" s="365"/>
      <c r="F54" s="365"/>
    </row>
    <row r="55" spans="2:12" s="101" customFormat="1" x14ac:dyDescent="0.2">
      <c r="B55" s="350" t="s">
        <v>127</v>
      </c>
      <c r="C55" s="355"/>
      <c r="D55" s="355"/>
      <c r="E55" s="356"/>
      <c r="F55" s="357">
        <f>'OSNOVNI PODATKI'!C238</f>
        <v>0</v>
      </c>
    </row>
    <row r="56" spans="2:12" s="101" customFormat="1" x14ac:dyDescent="0.2">
      <c r="B56" s="351" t="s">
        <v>150</v>
      </c>
      <c r="C56" s="358"/>
      <c r="D56" s="358"/>
      <c r="E56" s="359"/>
      <c r="F56" s="360" t="str">
        <f>'OSNOVNI PODATKI'!D238</f>
        <v>Cenovni razred III</v>
      </c>
    </row>
    <row r="57" spans="2:12" s="101" customFormat="1" x14ac:dyDescent="0.2">
      <c r="B57" s="110" t="s">
        <v>33</v>
      </c>
      <c r="C57" s="358"/>
      <c r="D57" s="109"/>
      <c r="E57" s="109"/>
      <c r="F57" s="109">
        <f>IFERROR(MATCH(F56,$C$4:$L$4),"/")</f>
        <v>5</v>
      </c>
    </row>
    <row r="58" spans="2:12" s="101" customFormat="1" x14ac:dyDescent="0.2">
      <c r="B58" s="110" t="s">
        <v>151</v>
      </c>
      <c r="C58" s="358"/>
      <c r="D58" s="109"/>
      <c r="E58" s="109"/>
      <c r="F58" s="109">
        <f>IFERROR(F57+1,"/")</f>
        <v>6</v>
      </c>
    </row>
    <row r="59" spans="2:12" s="101" customFormat="1" x14ac:dyDescent="0.2">
      <c r="B59" s="110" t="s">
        <v>34</v>
      </c>
      <c r="C59" s="358"/>
      <c r="D59" s="109"/>
      <c r="E59" s="109"/>
      <c r="F59" s="109" t="str">
        <f>IF(OR(F55&gt;B30,F55&lt;B7),"/",IFERROR(MATCH(F55,$B$7:$B$30),"/"))</f>
        <v>/</v>
      </c>
    </row>
    <row r="60" spans="2:12" s="101" customFormat="1" x14ac:dyDescent="0.2">
      <c r="B60" s="110" t="s">
        <v>35</v>
      </c>
      <c r="C60" s="358"/>
      <c r="D60" s="109"/>
      <c r="E60" s="109"/>
      <c r="F60" s="109" t="str">
        <f>IFERROR((F59+1),"/")</f>
        <v>/</v>
      </c>
    </row>
    <row r="61" spans="2:12" s="101" customFormat="1" x14ac:dyDescent="0.2">
      <c r="B61" s="110" t="s">
        <v>153</v>
      </c>
      <c r="C61" s="358"/>
      <c r="D61" s="109"/>
      <c r="E61" s="109"/>
      <c r="F61" s="109">
        <f>IFERROR(INDEX($C$7:$L$30,F59,F57),0)</f>
        <v>0</v>
      </c>
    </row>
    <row r="62" spans="2:12" s="101" customFormat="1" x14ac:dyDescent="0.2">
      <c r="B62" s="110" t="s">
        <v>110</v>
      </c>
      <c r="C62" s="358"/>
      <c r="D62" s="109"/>
      <c r="E62" s="109"/>
      <c r="F62" s="109">
        <f>IFERROR(INDEX($C$7:$L$30,F60,F57),0)</f>
        <v>0</v>
      </c>
    </row>
    <row r="63" spans="2:12" s="101" customFormat="1" x14ac:dyDescent="0.2">
      <c r="B63" s="110" t="s">
        <v>122</v>
      </c>
      <c r="C63" s="358"/>
      <c r="D63" s="109"/>
      <c r="E63" s="109"/>
      <c r="F63" s="109">
        <f>IFERROR(INDEX($B$7:$B$30,F59),0)</f>
        <v>0</v>
      </c>
    </row>
    <row r="64" spans="2:12" s="101" customFormat="1" x14ac:dyDescent="0.2">
      <c r="B64" s="110" t="s">
        <v>154</v>
      </c>
      <c r="C64" s="358"/>
      <c r="D64" s="109"/>
      <c r="E64" s="109"/>
      <c r="F64" s="109">
        <f>IFERROR(INDEX($B$7:$B$30,F60),0)</f>
        <v>0</v>
      </c>
    </row>
    <row r="65" spans="1:12" s="101" customFormat="1" x14ac:dyDescent="0.2">
      <c r="B65" s="502" t="s">
        <v>155</v>
      </c>
      <c r="C65" s="503"/>
      <c r="D65" s="504"/>
      <c r="E65" s="504"/>
      <c r="F65" s="523">
        <f>IFERROR(FORECAST(F55,F61:F62,F63:F64),0)</f>
        <v>0</v>
      </c>
    </row>
    <row r="66" spans="1:12" s="101" customFormat="1" x14ac:dyDescent="0.2">
      <c r="B66" s="516"/>
      <c r="C66" s="517"/>
      <c r="D66" s="518"/>
      <c r="E66" s="518"/>
      <c r="F66" s="519" t="str">
        <f>IF(F59="/","NI DOLOČENO",F65)</f>
        <v>NI DOLOČENO</v>
      </c>
    </row>
    <row r="67" spans="1:12" s="101" customFormat="1" x14ac:dyDescent="0.2">
      <c r="B67" s="353"/>
      <c r="D67" s="102"/>
      <c r="E67" s="102"/>
      <c r="F67" s="102"/>
    </row>
    <row r="68" spans="1:12" s="101" customFormat="1" x14ac:dyDescent="0.2">
      <c r="B68" s="361" t="s">
        <v>152</v>
      </c>
      <c r="C68" s="355"/>
      <c r="D68" s="362"/>
      <c r="E68" s="362"/>
      <c r="F68" s="362">
        <f>IFERROR(INDEX($C$7:$L$30,F59,F58),0)</f>
        <v>0</v>
      </c>
    </row>
    <row r="69" spans="1:12" s="101" customFormat="1" x14ac:dyDescent="0.2">
      <c r="B69" s="110" t="s">
        <v>110</v>
      </c>
      <c r="C69" s="358"/>
      <c r="D69" s="109"/>
      <c r="E69" s="109"/>
      <c r="F69" s="109">
        <f>IFERROR(INDEX($C$7:$L$30,F60,F58),0)</f>
        <v>0</v>
      </c>
    </row>
    <row r="70" spans="1:12" s="101" customFormat="1" x14ac:dyDescent="0.2">
      <c r="B70" s="502" t="s">
        <v>156</v>
      </c>
      <c r="C70" s="503"/>
      <c r="D70" s="504"/>
      <c r="E70" s="504"/>
      <c r="F70" s="523">
        <f>IFERROR(FORECAST(F55,F68:F69,F63:F64),0)</f>
        <v>0</v>
      </c>
    </row>
    <row r="71" spans="1:12" s="101" customFormat="1" x14ac:dyDescent="0.2">
      <c r="B71" s="516"/>
      <c r="C71" s="517"/>
      <c r="D71" s="518"/>
      <c r="E71" s="518"/>
      <c r="F71" s="519" t="str">
        <f>IF(F59="/","NI DOLOČENO",F70)</f>
        <v>NI DOLOČENO</v>
      </c>
    </row>
    <row r="72" spans="1:12" s="101" customFormat="1" x14ac:dyDescent="0.2">
      <c r="B72" s="353"/>
      <c r="D72" s="102"/>
      <c r="E72" s="102"/>
      <c r="F72" s="108"/>
    </row>
    <row r="73" spans="1:12" s="101" customFormat="1" x14ac:dyDescent="0.2">
      <c r="B73" s="353"/>
      <c r="D73" s="102"/>
      <c r="E73" s="102"/>
      <c r="F73" s="108"/>
    </row>
    <row r="74" spans="1:12" s="101" customFormat="1" x14ac:dyDescent="0.2">
      <c r="B74" s="102"/>
      <c r="D74" s="102"/>
      <c r="E74" s="102"/>
      <c r="F74" s="108"/>
    </row>
    <row r="75" spans="1:12" ht="14.25" x14ac:dyDescent="0.25">
      <c r="B75" s="7"/>
      <c r="C75" s="7"/>
      <c r="D75" s="7"/>
      <c r="E75" s="7"/>
      <c r="F75" s="7"/>
      <c r="G75" s="7"/>
      <c r="H75" s="7"/>
      <c r="I75" s="7"/>
      <c r="J75" s="7"/>
      <c r="K75" s="7"/>
      <c r="L75" s="7"/>
    </row>
    <row r="76" spans="1:12" s="101" customFormat="1" x14ac:dyDescent="0.2">
      <c r="A76" s="366"/>
      <c r="B76" s="366" t="s">
        <v>274</v>
      </c>
      <c r="C76" s="366"/>
      <c r="D76" s="366"/>
      <c r="E76" s="366"/>
      <c r="F76" s="366"/>
      <c r="G76" s="366"/>
      <c r="H76" s="458"/>
    </row>
    <row r="77" spans="1:12" s="101" customFormat="1" x14ac:dyDescent="0.2">
      <c r="A77" s="367"/>
      <c r="B77" s="367"/>
      <c r="C77" s="367"/>
      <c r="D77" s="367"/>
      <c r="E77" s="367"/>
      <c r="F77" s="458"/>
      <c r="G77" s="367"/>
      <c r="H77" s="367"/>
    </row>
    <row r="78" spans="1:12" s="101" customFormat="1" x14ac:dyDescent="0.2">
      <c r="A78" s="458"/>
      <c r="B78" s="470" t="str">
        <f>'OSNOVNI PODATKI'!$B$255</f>
        <v>PRIBITEK ZA PRENOVO</v>
      </c>
      <c r="C78" s="467"/>
      <c r="D78" s="471"/>
      <c r="E78" s="471"/>
      <c r="F78" s="520">
        <f>'OSNOVNI PODATKI'!$E$255</f>
        <v>0</v>
      </c>
      <c r="G78" s="467"/>
      <c r="H78" s="467"/>
    </row>
    <row r="79" spans="1:12" s="101" customFormat="1" x14ac:dyDescent="0.2">
      <c r="A79" s="458"/>
      <c r="B79" s="470" t="str">
        <f>'OSNOVNI PODATKI'!$B$257</f>
        <v>UPORABA BIM PROCESOV</v>
      </c>
      <c r="C79" s="467"/>
      <c r="D79" s="471"/>
      <c r="E79" s="471"/>
      <c r="F79" s="521">
        <f>'OSNOVNI PODATKI'!$E$257</f>
        <v>0</v>
      </c>
      <c r="G79" s="467"/>
      <c r="H79" s="467"/>
    </row>
    <row r="80" spans="1:12" s="101" customFormat="1" x14ac:dyDescent="0.2">
      <c r="A80" s="458"/>
      <c r="B80" s="470" t="str">
        <f>'OSNOVNI PODATKI'!$B$258</f>
        <v>VKLJUČEVANJE DRUGIH IZVAJALCEV V POGODBO</v>
      </c>
      <c r="C80" s="467"/>
      <c r="D80" s="471"/>
      <c r="E80" s="471"/>
      <c r="F80" s="520">
        <f>'OSNOVNI PODATKI'!$E$258</f>
        <v>0</v>
      </c>
      <c r="G80" s="467"/>
      <c r="H80" s="467"/>
    </row>
    <row r="81" spans="1:10" s="101" customFormat="1" x14ac:dyDescent="0.2">
      <c r="A81" s="458"/>
      <c r="B81" s="470" t="str">
        <f>'OSNOVNI PODATKI'!$B$259</f>
        <v>GRADBENI NADZOR</v>
      </c>
      <c r="C81" s="467"/>
      <c r="D81" s="471"/>
      <c r="E81" s="471"/>
      <c r="F81" s="520">
        <f>IF('OSNOVNI PODATKI'!E259=TRUE,20%,0%)</f>
        <v>0</v>
      </c>
      <c r="G81" s="467"/>
      <c r="H81" s="467"/>
    </row>
    <row r="82" spans="1:10" s="101" customFormat="1" x14ac:dyDescent="0.2">
      <c r="A82" s="458"/>
      <c r="B82" s="505"/>
      <c r="C82" s="506"/>
      <c r="D82" s="507"/>
      <c r="E82" s="507"/>
      <c r="F82" s="522"/>
      <c r="G82" s="458"/>
      <c r="H82" s="458"/>
    </row>
    <row r="83" spans="1:10" s="13" customFormat="1" ht="26.25" x14ac:dyDescent="0.25">
      <c r="A83" s="137"/>
      <c r="B83" s="138"/>
      <c r="C83" s="138"/>
      <c r="D83" s="138"/>
      <c r="E83" s="139" t="s">
        <v>31</v>
      </c>
      <c r="F83" s="509" t="s">
        <v>442</v>
      </c>
      <c r="G83" s="140" t="s">
        <v>76</v>
      </c>
      <c r="H83" s="141" t="s">
        <v>90</v>
      </c>
      <c r="J83" s="511"/>
    </row>
    <row r="84" spans="1:10" s="14" customFormat="1" ht="14.25" x14ac:dyDescent="0.2">
      <c r="A84" s="132" t="s">
        <v>38</v>
      </c>
      <c r="B84" s="133" t="s">
        <v>39</v>
      </c>
      <c r="C84" s="133"/>
      <c r="D84" s="133"/>
      <c r="E84" s="134"/>
      <c r="F84" s="134"/>
      <c r="G84" s="135"/>
      <c r="H84" s="136"/>
    </row>
    <row r="85" spans="1:10" s="14" customFormat="1" ht="14.25" x14ac:dyDescent="0.2">
      <c r="A85" s="115" t="s">
        <v>40</v>
      </c>
      <c r="B85" s="127" t="s">
        <v>85</v>
      </c>
      <c r="C85" s="127"/>
      <c r="D85" s="127"/>
      <c r="E85" s="116"/>
      <c r="F85" s="116"/>
      <c r="G85" s="125"/>
      <c r="H85" s="117"/>
    </row>
    <row r="86" spans="1:10" s="14" customFormat="1" ht="14.25" x14ac:dyDescent="0.2">
      <c r="A86" s="143" t="s">
        <v>41</v>
      </c>
      <c r="B86" s="144" t="s">
        <v>86</v>
      </c>
      <c r="C86" s="144"/>
      <c r="D86" s="144"/>
      <c r="E86" s="145"/>
      <c r="F86" s="145"/>
      <c r="G86" s="120"/>
      <c r="H86" s="121"/>
    </row>
    <row r="87" spans="1:10" s="14" customFormat="1" ht="14.25" x14ac:dyDescent="0.2">
      <c r="A87" s="142" t="s">
        <v>42</v>
      </c>
      <c r="B87" s="133" t="s">
        <v>43</v>
      </c>
      <c r="C87" s="133"/>
      <c r="D87" s="133"/>
      <c r="E87" s="134">
        <f>SUM(E88:E90)</f>
        <v>0.02</v>
      </c>
      <c r="F87" s="512">
        <f>SUM(F88:F90)</f>
        <v>0.02</v>
      </c>
      <c r="G87" s="135">
        <f>SUM(G88:G90)</f>
        <v>84.886726999999993</v>
      </c>
      <c r="H87" s="136">
        <f>SUM(H88:H90)</f>
        <v>3395.4690799999998</v>
      </c>
    </row>
    <row r="88" spans="1:10" s="14" customFormat="1" ht="14.25" x14ac:dyDescent="0.2">
      <c r="A88" s="118" t="s">
        <v>44</v>
      </c>
      <c r="B88" s="126" t="s">
        <v>87</v>
      </c>
      <c r="C88" s="126"/>
      <c r="D88" s="126"/>
      <c r="E88" s="116">
        <v>5.0000000000000001E-3</v>
      </c>
      <c r="F88" s="510">
        <f>E88*(100%+$F$78+$F$80)</f>
        <v>5.0000000000000001E-3</v>
      </c>
      <c r="G88" s="125">
        <f>F88*'OSNOVNI PODATKI'!$I$237</f>
        <v>21.221681749999998</v>
      </c>
      <c r="H88" s="117">
        <f>+G88*'ARHIGRAM 5'!$I$17</f>
        <v>848.86726999999996</v>
      </c>
    </row>
    <row r="89" spans="1:10" s="14" customFormat="1" ht="14.25" x14ac:dyDescent="0.2">
      <c r="A89" s="118" t="s">
        <v>45</v>
      </c>
      <c r="B89" s="126" t="s">
        <v>88</v>
      </c>
      <c r="C89" s="126"/>
      <c r="D89" s="126"/>
      <c r="E89" s="116">
        <v>0.01</v>
      </c>
      <c r="F89" s="510">
        <f t="shared" ref="F89:F90" si="0">E89*(100%+$F$78+$F$80)</f>
        <v>0.01</v>
      </c>
      <c r="G89" s="125">
        <f>F89*'OSNOVNI PODATKI'!$I$237</f>
        <v>42.443363499999997</v>
      </c>
      <c r="H89" s="117">
        <f>+G89*'ARHIGRAM 5'!$I$17</f>
        <v>1697.7345399999999</v>
      </c>
    </row>
    <row r="90" spans="1:10" s="14" customFormat="1" ht="14.25" x14ac:dyDescent="0.2">
      <c r="A90" s="148" t="s">
        <v>46</v>
      </c>
      <c r="B90" s="149" t="s">
        <v>741</v>
      </c>
      <c r="C90" s="149"/>
      <c r="D90" s="149"/>
      <c r="E90" s="145">
        <v>5.0000000000000001E-3</v>
      </c>
      <c r="F90" s="513">
        <f t="shared" si="0"/>
        <v>5.0000000000000001E-3</v>
      </c>
      <c r="G90" s="120">
        <f>F90*'OSNOVNI PODATKI'!$I$237</f>
        <v>21.221681749999998</v>
      </c>
      <c r="H90" s="121">
        <f>+G90*'ARHIGRAM 5'!$I$17</f>
        <v>848.86726999999996</v>
      </c>
    </row>
    <row r="91" spans="1:10" s="14" customFormat="1" ht="14.25" x14ac:dyDescent="0.2">
      <c r="A91" s="146">
        <v>2</v>
      </c>
      <c r="B91" s="133" t="s">
        <v>47</v>
      </c>
      <c r="C91" s="133"/>
      <c r="D91" s="133"/>
      <c r="E91" s="134">
        <f>+E92+E93+E94+E95+E96</f>
        <v>0.60000000000000009</v>
      </c>
      <c r="F91" s="514">
        <f>+F92+F93+F94+F95+F96</f>
        <v>0.60000000000000009</v>
      </c>
      <c r="G91" s="147">
        <f>SUM(G92:G96)</f>
        <v>2546.6018099999997</v>
      </c>
      <c r="H91" s="136">
        <f>SUM(H92:H96)</f>
        <v>101864.07239999999</v>
      </c>
      <c r="I91" s="164">
        <f>H91/'OSNOVNI PODATKI'!$D$170</f>
        <v>3.3954690799999999E-2</v>
      </c>
    </row>
    <row r="92" spans="1:10" s="14" customFormat="1" ht="14.25" x14ac:dyDescent="0.2">
      <c r="A92" s="118" t="s">
        <v>70</v>
      </c>
      <c r="B92" s="126" t="s">
        <v>124</v>
      </c>
      <c r="C92" s="126"/>
      <c r="D92" s="126"/>
      <c r="E92" s="129">
        <v>0.06</v>
      </c>
      <c r="F92" s="510">
        <f>E92*(100%+$F$78+$F$79+$F$80)</f>
        <v>0.06</v>
      </c>
      <c r="G92" s="125">
        <f>F92*'OSNOVNI PODATKI'!$I$237</f>
        <v>254.66018099999997</v>
      </c>
      <c r="H92" s="117">
        <f>+G92*'ARHIGRAM 5'!$I$17</f>
        <v>10186.407239999999</v>
      </c>
    </row>
    <row r="93" spans="1:10" s="14" customFormat="1" ht="14.25" x14ac:dyDescent="0.2">
      <c r="A93" s="130" t="s">
        <v>71</v>
      </c>
      <c r="B93" s="131" t="s">
        <v>617</v>
      </c>
      <c r="C93" s="131"/>
      <c r="D93" s="131"/>
      <c r="E93" s="129">
        <v>0.16</v>
      </c>
      <c r="F93" s="510">
        <f t="shared" ref="F93:F96" si="1">E93*(100%+$F$78+$F$79+$F$80)</f>
        <v>0.16</v>
      </c>
      <c r="G93" s="125">
        <f>F93*'OSNOVNI PODATKI'!$I$237</f>
        <v>679.09381599999995</v>
      </c>
      <c r="H93" s="117">
        <f>+G93*'ARHIGRAM 5'!$I$17</f>
        <v>27163.752639999999</v>
      </c>
    </row>
    <row r="94" spans="1:10" s="14" customFormat="1" ht="14.25" x14ac:dyDescent="0.2">
      <c r="A94" s="130" t="s">
        <v>72</v>
      </c>
      <c r="B94" s="131" t="s">
        <v>1074</v>
      </c>
      <c r="C94" s="131"/>
      <c r="D94" s="131"/>
      <c r="E94" s="129">
        <v>0.03</v>
      </c>
      <c r="F94" s="510">
        <f t="shared" si="1"/>
        <v>0.03</v>
      </c>
      <c r="G94" s="125">
        <f>F94*'OSNOVNI PODATKI'!$I$237</f>
        <v>127.33009049999998</v>
      </c>
      <c r="H94" s="117">
        <f>+G94*'ARHIGRAM 5'!$I$17</f>
        <v>5093.2036199999993</v>
      </c>
    </row>
    <row r="95" spans="1:10" s="14" customFormat="1" ht="14.25" x14ac:dyDescent="0.2">
      <c r="A95" s="130" t="s">
        <v>125</v>
      </c>
      <c r="B95" s="131" t="s">
        <v>618</v>
      </c>
      <c r="C95" s="131"/>
      <c r="D95" s="131"/>
      <c r="E95" s="129">
        <v>0.3</v>
      </c>
      <c r="F95" s="510">
        <f t="shared" si="1"/>
        <v>0.3</v>
      </c>
      <c r="G95" s="125">
        <f>F95*'OSNOVNI PODATKI'!$I$237</f>
        <v>1273.3009049999998</v>
      </c>
      <c r="H95" s="117">
        <f>+G95*'ARHIGRAM 5'!$I$17</f>
        <v>50932.036199999995</v>
      </c>
    </row>
    <row r="96" spans="1:10" s="14" customFormat="1" ht="14.25" x14ac:dyDescent="0.2">
      <c r="A96" s="151" t="s">
        <v>126</v>
      </c>
      <c r="B96" s="152" t="s">
        <v>742</v>
      </c>
      <c r="C96" s="152"/>
      <c r="D96" s="152"/>
      <c r="E96" s="153">
        <v>0.05</v>
      </c>
      <c r="F96" s="513">
        <f t="shared" si="1"/>
        <v>0.05</v>
      </c>
      <c r="G96" s="120">
        <f>F96*'OSNOVNI PODATKI'!$I$237</f>
        <v>212.21681749999999</v>
      </c>
      <c r="H96" s="121">
        <f>+G96*'ARHIGRAM 5'!$I$17</f>
        <v>8488.6726999999992</v>
      </c>
    </row>
    <row r="97" spans="1:9" s="14" customFormat="1" ht="14.25" x14ac:dyDescent="0.2">
      <c r="A97" s="150" t="s">
        <v>58</v>
      </c>
      <c r="B97" s="133" t="s">
        <v>801</v>
      </c>
      <c r="C97" s="133"/>
      <c r="D97" s="133"/>
      <c r="E97" s="134">
        <f>SUM(E98:E99)</f>
        <v>0.04</v>
      </c>
      <c r="F97" s="514">
        <f>SUM(F98:F99)</f>
        <v>0.04</v>
      </c>
      <c r="G97" s="135">
        <f>SUM(G98:G99)</f>
        <v>169.77345399999999</v>
      </c>
      <c r="H97" s="136">
        <f>SUM(H98:H99)</f>
        <v>6790.9381599999997</v>
      </c>
    </row>
    <row r="98" spans="1:9" s="14" customFormat="1" ht="14.25" x14ac:dyDescent="0.2">
      <c r="A98" s="119" t="s">
        <v>59</v>
      </c>
      <c r="B98" s="125" t="s">
        <v>743</v>
      </c>
      <c r="C98" s="125"/>
      <c r="D98" s="125"/>
      <c r="E98" s="116">
        <v>0.01</v>
      </c>
      <c r="F98" s="510">
        <f t="shared" ref="F98:F99" si="2">E98*(100%+$F$78+$F$80)</f>
        <v>0.01</v>
      </c>
      <c r="G98" s="125">
        <f>F98*'OSNOVNI PODATKI'!$I$237</f>
        <v>42.443363499999997</v>
      </c>
      <c r="H98" s="117">
        <f>+G98*'ARHIGRAM 5'!$I$17</f>
        <v>1697.7345399999999</v>
      </c>
    </row>
    <row r="99" spans="1:9" s="14" customFormat="1" ht="14.25" x14ac:dyDescent="0.2">
      <c r="A99" s="155" t="s">
        <v>60</v>
      </c>
      <c r="B99" s="120" t="s">
        <v>255</v>
      </c>
      <c r="C99" s="120"/>
      <c r="D99" s="120"/>
      <c r="E99" s="145">
        <v>0.03</v>
      </c>
      <c r="F99" s="513">
        <f t="shared" si="2"/>
        <v>0.03</v>
      </c>
      <c r="G99" s="120">
        <f>F99*'OSNOVNI PODATKI'!$I$237</f>
        <v>127.33009049999998</v>
      </c>
      <c r="H99" s="121">
        <f>+G99*'ARHIGRAM 5'!$I$17</f>
        <v>5093.2036199999993</v>
      </c>
    </row>
    <row r="100" spans="1:9" s="14" customFormat="1" ht="14.25" x14ac:dyDescent="0.2">
      <c r="A100" s="154">
        <v>4</v>
      </c>
      <c r="B100" s="133" t="s">
        <v>80</v>
      </c>
      <c r="C100" s="133"/>
      <c r="D100" s="133"/>
      <c r="E100" s="134">
        <f>SUM(E101:E105)</f>
        <v>0.32000000000000006</v>
      </c>
      <c r="F100" s="514">
        <f>SUM(F101:F105)</f>
        <v>0.12</v>
      </c>
      <c r="G100" s="135">
        <f>SUM(G101:G105)</f>
        <v>509.32036199999993</v>
      </c>
      <c r="H100" s="136">
        <f>SUM(H101:H105)</f>
        <v>20372.814479999997</v>
      </c>
      <c r="I100" s="164">
        <f>H100/'OSNOVNI PODATKI'!$D$170</f>
        <v>6.7909381599999992E-3</v>
      </c>
    </row>
    <row r="101" spans="1:9" s="14" customFormat="1" ht="14.25" x14ac:dyDescent="0.2">
      <c r="A101" s="119" t="s">
        <v>61</v>
      </c>
      <c r="B101" s="125" t="s">
        <v>256</v>
      </c>
      <c r="C101" s="125"/>
      <c r="D101" s="125"/>
      <c r="E101" s="116">
        <v>0.01</v>
      </c>
      <c r="F101" s="510">
        <f t="shared" ref="F101:F103" si="3">E101*(100%+$F$78+$F$80)</f>
        <v>0.01</v>
      </c>
      <c r="G101" s="125">
        <f>F101*'OSNOVNI PODATKI'!$I$237</f>
        <v>42.443363499999997</v>
      </c>
      <c r="H101" s="117">
        <f>+G101*'ARHIGRAM 5'!$I$17</f>
        <v>1697.7345399999999</v>
      </c>
    </row>
    <row r="102" spans="1:9" s="14" customFormat="1" ht="14.25" x14ac:dyDescent="0.2">
      <c r="A102" s="119" t="s">
        <v>62</v>
      </c>
      <c r="B102" s="125" t="s">
        <v>779</v>
      </c>
      <c r="C102" s="125"/>
      <c r="D102" s="125"/>
      <c r="E102" s="116">
        <v>0.26</v>
      </c>
      <c r="F102" s="510">
        <f>(E102-20%+F81)*(100%+$F$78+$F$80)</f>
        <v>0.06</v>
      </c>
      <c r="G102" s="125">
        <f>F102*'OSNOVNI PODATKI'!$I$237</f>
        <v>254.66018099999997</v>
      </c>
      <c r="H102" s="117">
        <f>+G102*'ARHIGRAM 5'!$I$17</f>
        <v>10186.407239999999</v>
      </c>
    </row>
    <row r="103" spans="1:9" s="14" customFormat="1" ht="14.25" x14ac:dyDescent="0.2">
      <c r="A103" s="119" t="s">
        <v>63</v>
      </c>
      <c r="B103" s="125" t="s">
        <v>1076</v>
      </c>
      <c r="C103" s="125"/>
      <c r="D103" s="125"/>
      <c r="E103" s="116">
        <v>0.01</v>
      </c>
      <c r="F103" s="510">
        <f t="shared" si="3"/>
        <v>0.01</v>
      </c>
      <c r="G103" s="125">
        <f>F103*'OSNOVNI PODATKI'!$I$237</f>
        <v>42.443363499999997</v>
      </c>
      <c r="H103" s="117">
        <f>+G103*'ARHIGRAM 5'!$I$17</f>
        <v>1697.7345399999999</v>
      </c>
    </row>
    <row r="104" spans="1:9" s="14" customFormat="1" ht="14.25" x14ac:dyDescent="0.2">
      <c r="A104" s="119" t="s">
        <v>64</v>
      </c>
      <c r="B104" s="125" t="s">
        <v>780</v>
      </c>
      <c r="C104" s="125"/>
      <c r="D104" s="125"/>
      <c r="E104" s="116">
        <v>0.02</v>
      </c>
      <c r="F104" s="510">
        <f>E104*(100%+$F$78+$F$80)</f>
        <v>0.02</v>
      </c>
      <c r="G104" s="125">
        <f>F104*'OSNOVNI PODATKI'!$I$237</f>
        <v>84.886726999999993</v>
      </c>
      <c r="H104" s="117">
        <f>+G104*'ARHIGRAM 5'!$I$17</f>
        <v>3395.4690799999998</v>
      </c>
    </row>
    <row r="105" spans="1:9" s="14" customFormat="1" ht="14.25" x14ac:dyDescent="0.2">
      <c r="A105" s="155" t="s">
        <v>65</v>
      </c>
      <c r="B105" s="120" t="s">
        <v>744</v>
      </c>
      <c r="C105" s="120"/>
      <c r="D105" s="120"/>
      <c r="E105" s="145">
        <v>0.02</v>
      </c>
      <c r="F105" s="513">
        <f>E105*(100%+$F$78+$F$79+$F$80)</f>
        <v>0.02</v>
      </c>
      <c r="G105" s="120">
        <f>F105*'OSNOVNI PODATKI'!$I$237</f>
        <v>84.886726999999993</v>
      </c>
      <c r="H105" s="121">
        <f>+G105*'ARHIGRAM 5'!$I$17</f>
        <v>3395.4690799999998</v>
      </c>
    </row>
    <row r="106" spans="1:9" s="14" customFormat="1" ht="14.25" x14ac:dyDescent="0.2">
      <c r="A106" s="156">
        <v>5</v>
      </c>
      <c r="B106" s="133" t="s">
        <v>66</v>
      </c>
      <c r="C106" s="133"/>
      <c r="D106" s="133"/>
      <c r="E106" s="134">
        <f>SUM(E107:E108)</f>
        <v>0.02</v>
      </c>
      <c r="F106" s="514">
        <f>SUM(F107:F108)</f>
        <v>0.02</v>
      </c>
      <c r="G106" s="135">
        <f>SUM(G107:G108)</f>
        <v>84.886726999999993</v>
      </c>
      <c r="H106" s="136">
        <f>SUM(H107:H108)</f>
        <v>3395.4690799999998</v>
      </c>
    </row>
    <row r="107" spans="1:9" s="14" customFormat="1" ht="14.25" x14ac:dyDescent="0.2">
      <c r="A107" s="119" t="s">
        <v>67</v>
      </c>
      <c r="B107" s="128" t="s">
        <v>257</v>
      </c>
      <c r="C107" s="128"/>
      <c r="D107" s="128"/>
      <c r="E107" s="116">
        <v>0.01</v>
      </c>
      <c r="F107" s="510">
        <f t="shared" ref="F107:F108" si="4">E107*(100%+$F$78+$F$80)</f>
        <v>0.01</v>
      </c>
      <c r="G107" s="125">
        <f>F107*'OSNOVNI PODATKI'!$I$237</f>
        <v>42.443363499999997</v>
      </c>
      <c r="H107" s="117">
        <f>+G107*'ARHIGRAM 5'!$I$17</f>
        <v>1697.7345399999999</v>
      </c>
    </row>
    <row r="108" spans="1:9" s="14" customFormat="1" ht="14.25" x14ac:dyDescent="0.2">
      <c r="A108" s="155" t="s">
        <v>68</v>
      </c>
      <c r="B108" s="158" t="s">
        <v>781</v>
      </c>
      <c r="C108" s="158"/>
      <c r="D108" s="158"/>
      <c r="E108" s="145">
        <v>0.01</v>
      </c>
      <c r="F108" s="513">
        <f t="shared" si="4"/>
        <v>0.01</v>
      </c>
      <c r="G108" s="120">
        <f>F108*'OSNOVNI PODATKI'!$I$237</f>
        <v>42.443363499999997</v>
      </c>
      <c r="H108" s="121">
        <f>+G108*'ARHIGRAM 5'!$I$17</f>
        <v>1697.7345399999999</v>
      </c>
    </row>
    <row r="109" spans="1:9" s="14" customFormat="1" ht="14.25" x14ac:dyDescent="0.2">
      <c r="A109" s="157">
        <v>6</v>
      </c>
      <c r="B109" s="133" t="s">
        <v>69</v>
      </c>
      <c r="C109" s="133"/>
      <c r="D109" s="133"/>
      <c r="E109" s="134"/>
      <c r="F109" s="515"/>
      <c r="G109" s="135"/>
      <c r="H109" s="136"/>
    </row>
    <row r="110" spans="1:9" s="14" customFormat="1" ht="14.25" x14ac:dyDescent="0.2">
      <c r="A110" s="119" t="s">
        <v>73</v>
      </c>
      <c r="B110" s="128" t="s">
        <v>259</v>
      </c>
      <c r="C110" s="128"/>
      <c r="D110" s="128"/>
      <c r="E110" s="116"/>
      <c r="F110" s="116"/>
      <c r="G110" s="125"/>
      <c r="H110" s="117"/>
    </row>
    <row r="111" spans="1:9" s="14" customFormat="1" ht="14.25" x14ac:dyDescent="0.2">
      <c r="A111" s="119" t="s">
        <v>74</v>
      </c>
      <c r="B111" s="128" t="s">
        <v>260</v>
      </c>
      <c r="C111" s="128"/>
      <c r="D111" s="128"/>
      <c r="E111" s="116"/>
      <c r="F111" s="116"/>
      <c r="G111" s="125"/>
      <c r="H111" s="117"/>
    </row>
    <row r="112" spans="1:9" s="14" customFormat="1" ht="14.25" x14ac:dyDescent="0.2">
      <c r="A112" s="155" t="s">
        <v>75</v>
      </c>
      <c r="B112" s="158" t="s">
        <v>261</v>
      </c>
      <c r="C112" s="158"/>
      <c r="D112" s="158"/>
      <c r="E112" s="145"/>
      <c r="F112" s="145"/>
      <c r="G112" s="120"/>
      <c r="H112" s="121"/>
    </row>
    <row r="113" spans="1:8" s="14" customFormat="1" ht="14.25" x14ac:dyDescent="0.2">
      <c r="A113" s="122"/>
      <c r="B113" s="123"/>
      <c r="C113" s="123"/>
      <c r="D113" s="123"/>
      <c r="E113" s="124"/>
      <c r="F113" s="124"/>
      <c r="G113" s="159"/>
      <c r="H113" s="160"/>
    </row>
    <row r="114" spans="1:8" s="14" customFormat="1" ht="14.25" x14ac:dyDescent="0.2">
      <c r="A114" s="165"/>
      <c r="B114" s="166" t="s">
        <v>0</v>
      </c>
      <c r="C114" s="166"/>
      <c r="D114" s="166"/>
      <c r="E114" s="167">
        <f>E84+E87+E91+E97+E100+E106+E109</f>
        <v>1.0000000000000002</v>
      </c>
      <c r="F114" s="167">
        <f>F84+F87+F91+F97+F100+F106+F109</f>
        <v>0.80000000000000016</v>
      </c>
      <c r="G114" s="174">
        <f>G84+G87+G91+G97+G100+G106+G109</f>
        <v>3395.4690799999998</v>
      </c>
      <c r="H114" s="168">
        <f>H84+H87+H91+H97+H100+H106+H109</f>
        <v>135818.76319999999</v>
      </c>
    </row>
    <row r="115" spans="1:8" s="14" customFormat="1" ht="14.25" x14ac:dyDescent="0.2">
      <c r="A115" s="161"/>
      <c r="B115" s="162" t="s">
        <v>415</v>
      </c>
      <c r="C115" s="163"/>
      <c r="D115" s="163"/>
      <c r="E115" s="33"/>
      <c r="G115" s="33"/>
      <c r="H115" s="164">
        <f>+H114/'OSNOVNI PODATKI'!$D$170</f>
        <v>4.5272921066666659E-2</v>
      </c>
    </row>
    <row r="116" spans="1:8" s="14" customFormat="1" ht="14.25" x14ac:dyDescent="0.2">
      <c r="A116" s="161"/>
      <c r="B116" s="162" t="s">
        <v>247</v>
      </c>
      <c r="C116" s="163"/>
      <c r="D116" s="163"/>
      <c r="E116" s="33"/>
      <c r="G116" s="33"/>
      <c r="H116" s="164">
        <f>+H114/'OSNOVNI PODATKI'!$D$206</f>
        <v>4.4530742032786882E-2</v>
      </c>
    </row>
    <row r="117" spans="1:8" s="14" customFormat="1" ht="14.25" x14ac:dyDescent="0.2">
      <c r="A117" s="161"/>
      <c r="B117" s="162"/>
      <c r="C117" s="163"/>
      <c r="D117" s="163"/>
      <c r="E117" s="33"/>
      <c r="G117" s="33"/>
      <c r="H117" s="164"/>
    </row>
    <row r="119" spans="1:8" s="101" customFormat="1" x14ac:dyDescent="0.2">
      <c r="A119" s="363"/>
      <c r="B119" s="363" t="s">
        <v>273</v>
      </c>
      <c r="C119" s="363"/>
      <c r="D119" s="363"/>
      <c r="E119" s="363"/>
      <c r="F119" s="363"/>
      <c r="G119" s="363"/>
      <c r="H119" s="458"/>
    </row>
    <row r="120" spans="1:8" x14ac:dyDescent="0.2">
      <c r="H120" s="367"/>
    </row>
    <row r="121" spans="1:8" s="101" customFormat="1" x14ac:dyDescent="0.2">
      <c r="A121" s="458"/>
      <c r="B121" s="470" t="str">
        <f>'OSNOVNI PODATKI'!$B$255</f>
        <v>PRIBITEK ZA PRENOVO</v>
      </c>
      <c r="C121" s="467"/>
      <c r="D121" s="471"/>
      <c r="E121" s="471"/>
      <c r="F121" s="520">
        <f>'OSNOVNI PODATKI'!$E$255</f>
        <v>0</v>
      </c>
      <c r="G121" s="467"/>
      <c r="H121" s="467"/>
    </row>
    <row r="122" spans="1:8" s="101" customFormat="1" x14ac:dyDescent="0.2">
      <c r="A122" s="458"/>
      <c r="B122" s="470" t="str">
        <f>'OSNOVNI PODATKI'!$B$257</f>
        <v>UPORABA BIM PROCESOV</v>
      </c>
      <c r="C122" s="467"/>
      <c r="D122" s="471"/>
      <c r="E122" s="471"/>
      <c r="F122" s="521">
        <f>'OSNOVNI PODATKI'!$E$257</f>
        <v>0</v>
      </c>
      <c r="G122" s="467"/>
      <c r="H122" s="467"/>
    </row>
    <row r="123" spans="1:8" s="101" customFormat="1" x14ac:dyDescent="0.2">
      <c r="A123" s="458"/>
      <c r="B123" s="470" t="str">
        <f>'OSNOVNI PODATKI'!$B$259</f>
        <v>GRADBENI NADZOR</v>
      </c>
      <c r="C123" s="467"/>
      <c r="D123" s="471"/>
      <c r="E123" s="471"/>
      <c r="F123" s="520">
        <f>IF('OSNOVNI PODATKI'!E302=TRUE,20%,0%)</f>
        <v>0</v>
      </c>
      <c r="G123" s="467"/>
      <c r="H123" s="467"/>
    </row>
    <row r="124" spans="1:8" s="101" customFormat="1" x14ac:dyDescent="0.2">
      <c r="A124" s="458"/>
      <c r="B124" s="505"/>
      <c r="C124" s="506"/>
      <c r="D124" s="507"/>
      <c r="E124" s="507"/>
      <c r="F124" s="522"/>
      <c r="G124" s="458"/>
      <c r="H124" s="458"/>
    </row>
    <row r="125" spans="1:8" s="13" customFormat="1" ht="26.25" x14ac:dyDescent="0.25">
      <c r="A125" s="137"/>
      <c r="B125" s="138"/>
      <c r="C125" s="138"/>
      <c r="D125" s="138"/>
      <c r="E125" s="139" t="s">
        <v>31</v>
      </c>
      <c r="F125" s="509" t="s">
        <v>442</v>
      </c>
      <c r="G125" s="140" t="s">
        <v>76</v>
      </c>
      <c r="H125" s="141" t="s">
        <v>90</v>
      </c>
    </row>
    <row r="126" spans="1:8" s="14" customFormat="1" ht="14.25" x14ac:dyDescent="0.2">
      <c r="A126" s="132" t="s">
        <v>38</v>
      </c>
      <c r="B126" s="133" t="s">
        <v>39</v>
      </c>
      <c r="C126" s="133"/>
      <c r="D126" s="133"/>
      <c r="E126" s="134"/>
      <c r="F126" s="134"/>
      <c r="G126" s="135"/>
      <c r="H126" s="136"/>
    </row>
    <row r="127" spans="1:8" s="14" customFormat="1" ht="14.25" x14ac:dyDescent="0.2">
      <c r="A127" s="115" t="s">
        <v>40</v>
      </c>
      <c r="B127" s="127" t="s">
        <v>85</v>
      </c>
      <c r="C127" s="127"/>
      <c r="D127" s="127"/>
      <c r="E127" s="116"/>
      <c r="F127" s="116"/>
      <c r="G127" s="125"/>
      <c r="H127" s="117"/>
    </row>
    <row r="128" spans="1:8" s="14" customFormat="1" ht="14.25" x14ac:dyDescent="0.2">
      <c r="A128" s="143" t="s">
        <v>41</v>
      </c>
      <c r="B128" s="144" t="s">
        <v>86</v>
      </c>
      <c r="C128" s="144"/>
      <c r="D128" s="144"/>
      <c r="E128" s="145"/>
      <c r="F128" s="145"/>
      <c r="G128" s="120"/>
      <c r="H128" s="121"/>
    </row>
    <row r="129" spans="1:8" s="14" customFormat="1" ht="14.25" x14ac:dyDescent="0.2">
      <c r="A129" s="142" t="s">
        <v>42</v>
      </c>
      <c r="B129" s="133" t="s">
        <v>43</v>
      </c>
      <c r="C129" s="133"/>
      <c r="D129" s="133"/>
      <c r="E129" s="134">
        <f>SUM(E130:E132)</f>
        <v>0.02</v>
      </c>
      <c r="F129" s="134">
        <f>SUM(F130:F132)</f>
        <v>0.02</v>
      </c>
      <c r="G129" s="135">
        <f>SUM(G130:G132)</f>
        <v>0</v>
      </c>
      <c r="H129" s="136">
        <f>SUM(H130:H132)</f>
        <v>0</v>
      </c>
    </row>
    <row r="130" spans="1:8" s="14" customFormat="1" ht="14.25" x14ac:dyDescent="0.2">
      <c r="A130" s="118" t="s">
        <v>44</v>
      </c>
      <c r="B130" s="126" t="s">
        <v>87</v>
      </c>
      <c r="C130" s="126"/>
      <c r="D130" s="126"/>
      <c r="E130" s="116">
        <v>5.0000000000000001E-3</v>
      </c>
      <c r="F130" s="510">
        <f>E130*(100%+$F$121)</f>
        <v>5.0000000000000001E-3</v>
      </c>
      <c r="G130" s="125">
        <f>F130*'OSNOVNI PODATKI'!$I$238</f>
        <v>0</v>
      </c>
      <c r="H130" s="117">
        <f>+G130*'ARHIGRAM 5'!$I$17</f>
        <v>0</v>
      </c>
    </row>
    <row r="131" spans="1:8" s="14" customFormat="1" ht="14.25" x14ac:dyDescent="0.2">
      <c r="A131" s="118" t="s">
        <v>45</v>
      </c>
      <c r="B131" s="126" t="s">
        <v>88</v>
      </c>
      <c r="C131" s="126"/>
      <c r="D131" s="126"/>
      <c r="E131" s="116">
        <v>0.01</v>
      </c>
      <c r="F131" s="116">
        <f t="shared" ref="F131:F132" si="5">E131*(100%+$F$121)</f>
        <v>0.01</v>
      </c>
      <c r="G131" s="125">
        <f>F131*'OSNOVNI PODATKI'!$I$238</f>
        <v>0</v>
      </c>
      <c r="H131" s="117">
        <f>+G131*'ARHIGRAM 5'!$I$17</f>
        <v>0</v>
      </c>
    </row>
    <row r="132" spans="1:8" s="14" customFormat="1" ht="14.25" x14ac:dyDescent="0.2">
      <c r="A132" s="148" t="s">
        <v>46</v>
      </c>
      <c r="B132" s="149" t="s">
        <v>741</v>
      </c>
      <c r="C132" s="149"/>
      <c r="D132" s="149"/>
      <c r="E132" s="145">
        <v>5.0000000000000001E-3</v>
      </c>
      <c r="F132" s="145">
        <f t="shared" si="5"/>
        <v>5.0000000000000001E-3</v>
      </c>
      <c r="G132" s="120">
        <f>F132*'OSNOVNI PODATKI'!$I$238</f>
        <v>0</v>
      </c>
      <c r="H132" s="121">
        <f>+G132*'ARHIGRAM 5'!$I$17</f>
        <v>0</v>
      </c>
    </row>
    <row r="133" spans="1:8" s="14" customFormat="1" ht="14.25" x14ac:dyDescent="0.2">
      <c r="A133" s="146">
        <v>2</v>
      </c>
      <c r="B133" s="133" t="s">
        <v>47</v>
      </c>
      <c r="C133" s="133"/>
      <c r="D133" s="133"/>
      <c r="E133" s="134">
        <f>+E134+E135+E136+E137+E138</f>
        <v>0.61</v>
      </c>
      <c r="F133" s="134">
        <f>+F134+F135+F136+F137+F138</f>
        <v>0.61</v>
      </c>
      <c r="G133" s="147">
        <f>SUM(G134:G138)</f>
        <v>0</v>
      </c>
      <c r="H133" s="136">
        <f>SUM(H134:H138)</f>
        <v>0</v>
      </c>
    </row>
    <row r="134" spans="1:8" s="14" customFormat="1" ht="14.25" x14ac:dyDescent="0.2">
      <c r="A134" s="118" t="s">
        <v>70</v>
      </c>
      <c r="B134" s="126" t="s">
        <v>124</v>
      </c>
      <c r="C134" s="126"/>
      <c r="D134" s="126"/>
      <c r="E134" s="129">
        <v>0.08</v>
      </c>
      <c r="F134" s="510">
        <f>E134*(100%+$F$121+$F$122)</f>
        <v>0.08</v>
      </c>
      <c r="G134" s="125">
        <f>F134*'OSNOVNI PODATKI'!$I$238</f>
        <v>0</v>
      </c>
      <c r="H134" s="117">
        <f>+G134*'ARHIGRAM 5'!$I$17</f>
        <v>0</v>
      </c>
    </row>
    <row r="135" spans="1:8" s="14" customFormat="1" ht="14.25" x14ac:dyDescent="0.2">
      <c r="A135" s="130" t="s">
        <v>71</v>
      </c>
      <c r="B135" s="131" t="s">
        <v>617</v>
      </c>
      <c r="C135" s="131"/>
      <c r="D135" s="131"/>
      <c r="E135" s="129">
        <v>0.15</v>
      </c>
      <c r="F135" s="129">
        <f t="shared" ref="F135:F138" si="6">E135*(100%+$F$121+$F$122)</f>
        <v>0.15</v>
      </c>
      <c r="G135" s="125">
        <f>F135*'OSNOVNI PODATKI'!$I$238</f>
        <v>0</v>
      </c>
      <c r="H135" s="117">
        <f>+G135*'ARHIGRAM 5'!$I$17</f>
        <v>0</v>
      </c>
    </row>
    <row r="136" spans="1:8" s="14" customFormat="1" ht="14.25" x14ac:dyDescent="0.2">
      <c r="A136" s="130" t="s">
        <v>72</v>
      </c>
      <c r="B136" s="131" t="s">
        <v>1074</v>
      </c>
      <c r="C136" s="131"/>
      <c r="D136" s="131"/>
      <c r="E136" s="129">
        <v>0</v>
      </c>
      <c r="F136" s="129">
        <f t="shared" si="6"/>
        <v>0</v>
      </c>
      <c r="G136" s="125">
        <f>F136*'OSNOVNI PODATKI'!$I$238</f>
        <v>0</v>
      </c>
      <c r="H136" s="117">
        <f>+G136*'ARHIGRAM 5'!$I$17</f>
        <v>0</v>
      </c>
    </row>
    <row r="137" spans="1:8" s="14" customFormat="1" ht="14.25" x14ac:dyDescent="0.2">
      <c r="A137" s="130" t="s">
        <v>125</v>
      </c>
      <c r="B137" s="131" t="s">
        <v>618</v>
      </c>
      <c r="C137" s="131"/>
      <c r="D137" s="131"/>
      <c r="E137" s="129">
        <v>0.3</v>
      </c>
      <c r="F137" s="129">
        <f t="shared" si="6"/>
        <v>0.3</v>
      </c>
      <c r="G137" s="125">
        <f>F137*'OSNOVNI PODATKI'!$I$238</f>
        <v>0</v>
      </c>
      <c r="H137" s="117">
        <f>+G137*'ARHIGRAM 5'!$I$17</f>
        <v>0</v>
      </c>
    </row>
    <row r="138" spans="1:8" s="14" customFormat="1" ht="14.25" x14ac:dyDescent="0.2">
      <c r="A138" s="151" t="s">
        <v>126</v>
      </c>
      <c r="B138" s="152" t="s">
        <v>742</v>
      </c>
      <c r="C138" s="152"/>
      <c r="D138" s="152"/>
      <c r="E138" s="153">
        <v>0.08</v>
      </c>
      <c r="F138" s="153">
        <f t="shared" si="6"/>
        <v>0.08</v>
      </c>
      <c r="G138" s="120">
        <f>F138*'OSNOVNI PODATKI'!$I$238</f>
        <v>0</v>
      </c>
      <c r="H138" s="121">
        <f>+G138*'ARHIGRAM 5'!$I$17</f>
        <v>0</v>
      </c>
    </row>
    <row r="139" spans="1:8" s="14" customFormat="1" ht="14.25" x14ac:dyDescent="0.2">
      <c r="A139" s="150" t="s">
        <v>58</v>
      </c>
      <c r="B139" s="133" t="s">
        <v>801</v>
      </c>
      <c r="C139" s="133"/>
      <c r="D139" s="133"/>
      <c r="E139" s="134">
        <f>SUM(E140:E141)</f>
        <v>0.03</v>
      </c>
      <c r="F139" s="134">
        <f>SUM(F140:F141)</f>
        <v>0.03</v>
      </c>
      <c r="G139" s="135">
        <f>SUM(G140:G141)</f>
        <v>0</v>
      </c>
      <c r="H139" s="136">
        <f>SUM(H140:H141)</f>
        <v>0</v>
      </c>
    </row>
    <row r="140" spans="1:8" s="14" customFormat="1" ht="14.25" x14ac:dyDescent="0.2">
      <c r="A140" s="119" t="s">
        <v>59</v>
      </c>
      <c r="B140" s="125" t="s">
        <v>743</v>
      </c>
      <c r="C140" s="125"/>
      <c r="D140" s="125"/>
      <c r="E140" s="116">
        <v>0.01</v>
      </c>
      <c r="F140" s="116">
        <f t="shared" ref="F140:F141" si="7">E140*(100%+$F$121)</f>
        <v>0.01</v>
      </c>
      <c r="G140" s="125">
        <f>F140*'OSNOVNI PODATKI'!$I$238</f>
        <v>0</v>
      </c>
      <c r="H140" s="117">
        <f>+G140*'ARHIGRAM 5'!$I$17</f>
        <v>0</v>
      </c>
    </row>
    <row r="141" spans="1:8" s="14" customFormat="1" ht="14.25" x14ac:dyDescent="0.2">
      <c r="A141" s="155" t="s">
        <v>60</v>
      </c>
      <c r="B141" s="120" t="s">
        <v>255</v>
      </c>
      <c r="C141" s="120"/>
      <c r="D141" s="120"/>
      <c r="E141" s="145">
        <v>0.02</v>
      </c>
      <c r="F141" s="145">
        <f t="shared" si="7"/>
        <v>0.02</v>
      </c>
      <c r="G141" s="120">
        <f>F141*'OSNOVNI PODATKI'!$I$238</f>
        <v>0</v>
      </c>
      <c r="H141" s="121">
        <f>+G141*'ARHIGRAM 5'!$I$17</f>
        <v>0</v>
      </c>
    </row>
    <row r="142" spans="1:8" s="14" customFormat="1" ht="14.25" x14ac:dyDescent="0.2">
      <c r="A142" s="154">
        <v>4</v>
      </c>
      <c r="B142" s="133" t="s">
        <v>80</v>
      </c>
      <c r="C142" s="133"/>
      <c r="D142" s="133"/>
      <c r="E142" s="134">
        <f>SUM(E143:E147)</f>
        <v>0.32000000000000006</v>
      </c>
      <c r="F142" s="134">
        <f>SUM(F143:F147)</f>
        <v>0.12000000000000001</v>
      </c>
      <c r="G142" s="135">
        <f>SUM(G143:G147)</f>
        <v>0</v>
      </c>
      <c r="H142" s="136">
        <f>SUM(H143:H147)</f>
        <v>0</v>
      </c>
    </row>
    <row r="143" spans="1:8" s="14" customFormat="1" ht="14.25" x14ac:dyDescent="0.2">
      <c r="A143" s="119" t="s">
        <v>61</v>
      </c>
      <c r="B143" s="125" t="s">
        <v>256</v>
      </c>
      <c r="C143" s="125"/>
      <c r="D143" s="125"/>
      <c r="E143" s="116">
        <v>0.01</v>
      </c>
      <c r="F143" s="116">
        <f t="shared" ref="F143:F145" si="8">E143*(100%+$F$121)</f>
        <v>0.01</v>
      </c>
      <c r="G143" s="125">
        <f>F143*'OSNOVNI PODATKI'!$I$238</f>
        <v>0</v>
      </c>
      <c r="H143" s="117">
        <f>+G143*'ARHIGRAM 5'!$I$17</f>
        <v>0</v>
      </c>
    </row>
    <row r="144" spans="1:8" s="14" customFormat="1" ht="14.25" x14ac:dyDescent="0.2">
      <c r="A144" s="119" t="s">
        <v>62</v>
      </c>
      <c r="B144" s="125" t="s">
        <v>779</v>
      </c>
      <c r="C144" s="125"/>
      <c r="D144" s="125"/>
      <c r="E144" s="116">
        <v>0.28000000000000003</v>
      </c>
      <c r="F144" s="510">
        <f>(E144-20%+F123)*(100%+$F$121)</f>
        <v>8.0000000000000016E-2</v>
      </c>
      <c r="G144" s="125">
        <f>F144*'OSNOVNI PODATKI'!$I$238</f>
        <v>0</v>
      </c>
      <c r="H144" s="117">
        <f>+G144*'ARHIGRAM 5'!$I$17</f>
        <v>0</v>
      </c>
    </row>
    <row r="145" spans="1:8" s="14" customFormat="1" ht="14.25" x14ac:dyDescent="0.2">
      <c r="A145" s="119" t="s">
        <v>63</v>
      </c>
      <c r="B145" s="125" t="s">
        <v>1076</v>
      </c>
      <c r="C145" s="125"/>
      <c r="D145" s="125"/>
      <c r="E145" s="116">
        <v>0.01</v>
      </c>
      <c r="F145" s="116">
        <f t="shared" si="8"/>
        <v>0.01</v>
      </c>
      <c r="G145" s="125">
        <f>F145*'OSNOVNI PODATKI'!$I$238</f>
        <v>0</v>
      </c>
      <c r="H145" s="117">
        <f>+G145*'ARHIGRAM 5'!$I$17</f>
        <v>0</v>
      </c>
    </row>
    <row r="146" spans="1:8" s="14" customFormat="1" ht="14.25" x14ac:dyDescent="0.2">
      <c r="A146" s="119" t="s">
        <v>64</v>
      </c>
      <c r="B146" s="125" t="s">
        <v>780</v>
      </c>
      <c r="C146" s="125"/>
      <c r="D146" s="125"/>
      <c r="E146" s="116">
        <v>0.02</v>
      </c>
      <c r="F146" s="116">
        <f>E146*(100%+$F$121)</f>
        <v>0.02</v>
      </c>
      <c r="G146" s="125">
        <f>F146*'OSNOVNI PODATKI'!$I$238</f>
        <v>0</v>
      </c>
      <c r="H146" s="117">
        <f>+G146*'ARHIGRAM 5'!$I$17</f>
        <v>0</v>
      </c>
    </row>
    <row r="147" spans="1:8" s="14" customFormat="1" ht="14.25" x14ac:dyDescent="0.2">
      <c r="A147" s="155" t="s">
        <v>65</v>
      </c>
      <c r="B147" s="120" t="s">
        <v>744</v>
      </c>
      <c r="C147" s="120"/>
      <c r="D147" s="120"/>
      <c r="E147" s="145">
        <v>0</v>
      </c>
      <c r="F147" s="145">
        <f>E147*(100%+$F$121+$F$122)</f>
        <v>0</v>
      </c>
      <c r="G147" s="120">
        <f>F147*'OSNOVNI PODATKI'!$I$238</f>
        <v>0</v>
      </c>
      <c r="H147" s="121">
        <f>+G147*'ARHIGRAM 5'!$I$17</f>
        <v>0</v>
      </c>
    </row>
    <row r="148" spans="1:8" s="14" customFormat="1" ht="14.25" x14ac:dyDescent="0.2">
      <c r="A148" s="156">
        <v>5</v>
      </c>
      <c r="B148" s="133" t="s">
        <v>66</v>
      </c>
      <c r="C148" s="133"/>
      <c r="D148" s="133"/>
      <c r="E148" s="134">
        <f>SUM(E149:E150)</f>
        <v>0.02</v>
      </c>
      <c r="F148" s="134">
        <f>SUM(F149:F150)</f>
        <v>0.02</v>
      </c>
      <c r="G148" s="135">
        <f>SUM(G149:G150)</f>
        <v>0</v>
      </c>
      <c r="H148" s="136">
        <f>SUM(H149:H150)</f>
        <v>0</v>
      </c>
    </row>
    <row r="149" spans="1:8" s="14" customFormat="1" ht="14.25" x14ac:dyDescent="0.2">
      <c r="A149" s="119" t="s">
        <v>67</v>
      </c>
      <c r="B149" s="128" t="s">
        <v>257</v>
      </c>
      <c r="C149" s="128"/>
      <c r="D149" s="128"/>
      <c r="E149" s="116">
        <v>0.01</v>
      </c>
      <c r="F149" s="116">
        <f t="shared" ref="F149:F150" si="9">E149*(100%+$F$121)</f>
        <v>0.01</v>
      </c>
      <c r="G149" s="125">
        <f>F149*'OSNOVNI PODATKI'!$I$238</f>
        <v>0</v>
      </c>
      <c r="H149" s="117">
        <f>+G149*'ARHIGRAM 5'!$I$17</f>
        <v>0</v>
      </c>
    </row>
    <row r="150" spans="1:8" s="14" customFormat="1" ht="14.25" x14ac:dyDescent="0.2">
      <c r="A150" s="155" t="s">
        <v>68</v>
      </c>
      <c r="B150" s="158" t="s">
        <v>781</v>
      </c>
      <c r="C150" s="158"/>
      <c r="D150" s="158"/>
      <c r="E150" s="145">
        <v>0.01</v>
      </c>
      <c r="F150" s="145">
        <f t="shared" si="9"/>
        <v>0.01</v>
      </c>
      <c r="G150" s="120">
        <f>F150*'OSNOVNI PODATKI'!$I$238</f>
        <v>0</v>
      </c>
      <c r="H150" s="121">
        <f>+G150*'ARHIGRAM 5'!$I$17</f>
        <v>0</v>
      </c>
    </row>
    <row r="151" spans="1:8" s="14" customFormat="1" ht="14.25" x14ac:dyDescent="0.2">
      <c r="A151" s="157">
        <v>6</v>
      </c>
      <c r="B151" s="133" t="s">
        <v>69</v>
      </c>
      <c r="C151" s="133"/>
      <c r="D151" s="133"/>
      <c r="E151" s="134"/>
      <c r="F151" s="134"/>
      <c r="G151" s="135"/>
      <c r="H151" s="136"/>
    </row>
    <row r="152" spans="1:8" s="14" customFormat="1" ht="14.25" x14ac:dyDescent="0.2">
      <c r="A152" s="119" t="s">
        <v>73</v>
      </c>
      <c r="B152" s="128" t="s">
        <v>259</v>
      </c>
      <c r="C152" s="128"/>
      <c r="D152" s="128"/>
      <c r="E152" s="116"/>
      <c r="F152" s="116"/>
      <c r="G152" s="125"/>
      <c r="H152" s="117"/>
    </row>
    <row r="153" spans="1:8" s="14" customFormat="1" ht="14.25" x14ac:dyDescent="0.2">
      <c r="A153" s="119" t="s">
        <v>74</v>
      </c>
      <c r="B153" s="128" t="s">
        <v>260</v>
      </c>
      <c r="C153" s="128"/>
      <c r="D153" s="128"/>
      <c r="E153" s="116"/>
      <c r="F153" s="116"/>
      <c r="G153" s="125"/>
      <c r="H153" s="117"/>
    </row>
    <row r="154" spans="1:8" s="14" customFormat="1" ht="14.25" x14ac:dyDescent="0.2">
      <c r="A154" s="155" t="s">
        <v>75</v>
      </c>
      <c r="B154" s="158" t="s">
        <v>261</v>
      </c>
      <c r="C154" s="158"/>
      <c r="D154" s="158"/>
      <c r="E154" s="145"/>
      <c r="F154" s="145"/>
      <c r="G154" s="120"/>
      <c r="H154" s="121"/>
    </row>
    <row r="155" spans="1:8" s="14" customFormat="1" ht="14.25" x14ac:dyDescent="0.2">
      <c r="A155" s="122"/>
      <c r="B155" s="123"/>
      <c r="C155" s="123"/>
      <c r="D155" s="123"/>
      <c r="E155" s="124"/>
      <c r="F155" s="124"/>
      <c r="G155" s="159"/>
      <c r="H155" s="160"/>
    </row>
    <row r="156" spans="1:8" s="14" customFormat="1" ht="14.25" x14ac:dyDescent="0.2">
      <c r="A156" s="165"/>
      <c r="B156" s="166" t="s">
        <v>0</v>
      </c>
      <c r="C156" s="166"/>
      <c r="D156" s="166"/>
      <c r="E156" s="167">
        <f>E126+E129+E133+E139+E142+E148+E151</f>
        <v>1</v>
      </c>
      <c r="F156" s="167"/>
      <c r="G156" s="174">
        <f>G126+G129+G133+G139+G142+G148+G151</f>
        <v>0</v>
      </c>
      <c r="H156" s="168">
        <f>H126+H129+H133+H139+H142+H148+H151</f>
        <v>0</v>
      </c>
    </row>
    <row r="157" spans="1:8" s="14" customFormat="1" ht="14.25" x14ac:dyDescent="0.2">
      <c r="A157" s="161"/>
      <c r="B157" s="162" t="s">
        <v>434</v>
      </c>
      <c r="C157" s="163"/>
      <c r="D157" s="163"/>
      <c r="E157" s="33"/>
      <c r="G157" s="33"/>
      <c r="H157" s="164">
        <f>IFERROR(H156/'OSNOVNI PODATKI'!D179,0)</f>
        <v>0</v>
      </c>
    </row>
    <row r="158" spans="1:8" x14ac:dyDescent="0.2">
      <c r="B158" s="162" t="s">
        <v>247</v>
      </c>
      <c r="H158" s="164">
        <f>IFERROR(H156/'OSNOVNI PODATKI'!D206,0)</f>
        <v>0</v>
      </c>
    </row>
    <row r="164" ht="63.75" customHeight="1" x14ac:dyDescent="0.2"/>
    <row r="165" ht="89.25" customHeight="1" x14ac:dyDescent="0.2"/>
    <row r="166" ht="102" customHeight="1" x14ac:dyDescent="0.2"/>
    <row r="167" ht="102" customHeight="1" x14ac:dyDescent="0.2"/>
    <row r="168" ht="38.25" customHeight="1" x14ac:dyDescent="0.2"/>
    <row r="169" ht="38.25" customHeight="1" x14ac:dyDescent="0.2"/>
  </sheetData>
  <mergeCells count="1">
    <mergeCell ref="B4:B5"/>
  </mergeCells>
  <pageMargins left="0.7" right="0.7" top="0.75" bottom="0.75" header="0.3" footer="0.3"/>
  <pageSetup paperSize="9" orientation="portrait" r:id="rId1"/>
  <ignoredErrors>
    <ignoredError sqref="F102 F39"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L104"/>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6384" width="9.140625" style="98"/>
  </cols>
  <sheetData>
    <row r="1" spans="2:12" s="99" customFormat="1" ht="25.5" x14ac:dyDescent="0.2">
      <c r="B1" s="6" t="s">
        <v>417</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123" t="s">
        <v>91</v>
      </c>
      <c r="C4" s="109" t="s">
        <v>92</v>
      </c>
      <c r="D4" s="109"/>
      <c r="E4" s="109" t="s">
        <v>93</v>
      </c>
      <c r="F4" s="109"/>
      <c r="G4" s="109" t="s">
        <v>94</v>
      </c>
      <c r="H4" s="109"/>
      <c r="I4" s="109" t="s">
        <v>95</v>
      </c>
      <c r="J4" s="109"/>
      <c r="K4" s="109" t="s">
        <v>96</v>
      </c>
      <c r="L4" s="109"/>
    </row>
    <row r="5" spans="2:12" x14ac:dyDescent="0.2">
      <c r="B5" s="1124"/>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889">
        <v>10000</v>
      </c>
      <c r="C7" s="110">
        <v>37</v>
      </c>
      <c r="D7" s="110">
        <v>45</v>
      </c>
      <c r="E7" s="110">
        <v>45</v>
      </c>
      <c r="F7" s="110">
        <v>53</v>
      </c>
      <c r="G7" s="110">
        <v>53</v>
      </c>
      <c r="H7" s="110">
        <v>64</v>
      </c>
      <c r="I7" s="110">
        <v>64</v>
      </c>
      <c r="J7" s="110">
        <v>81</v>
      </c>
      <c r="K7" s="110">
        <v>81</v>
      </c>
      <c r="L7" s="110">
        <v>92</v>
      </c>
    </row>
    <row r="8" spans="2:12" x14ac:dyDescent="0.2">
      <c r="B8" s="110">
        <v>20000</v>
      </c>
      <c r="C8" s="110">
        <v>46</v>
      </c>
      <c r="D8" s="110">
        <v>54</v>
      </c>
      <c r="E8" s="110">
        <v>54</v>
      </c>
      <c r="F8" s="110">
        <v>65</v>
      </c>
      <c r="G8" s="110">
        <v>65</v>
      </c>
      <c r="H8" s="110">
        <v>82</v>
      </c>
      <c r="I8" s="110">
        <v>82</v>
      </c>
      <c r="J8" s="110">
        <v>93</v>
      </c>
      <c r="K8" s="110">
        <v>93</v>
      </c>
      <c r="L8" s="110">
        <v>101</v>
      </c>
    </row>
    <row r="9" spans="2:12" x14ac:dyDescent="0.2">
      <c r="B9" s="110">
        <v>25000</v>
      </c>
      <c r="C9" s="110">
        <v>55</v>
      </c>
      <c r="D9" s="110">
        <v>66</v>
      </c>
      <c r="E9" s="110">
        <v>66</v>
      </c>
      <c r="F9" s="110">
        <v>79</v>
      </c>
      <c r="G9" s="110">
        <v>79</v>
      </c>
      <c r="H9" s="110">
        <v>99</v>
      </c>
      <c r="I9" s="110">
        <v>99</v>
      </c>
      <c r="J9" s="110">
        <v>112</v>
      </c>
      <c r="K9" s="110">
        <v>112</v>
      </c>
      <c r="L9" s="110">
        <v>123</v>
      </c>
    </row>
    <row r="10" spans="2:12" x14ac:dyDescent="0.2">
      <c r="B10" s="110">
        <v>30000</v>
      </c>
      <c r="C10" s="110">
        <v>64</v>
      </c>
      <c r="D10" s="110">
        <v>77</v>
      </c>
      <c r="E10" s="110">
        <v>77</v>
      </c>
      <c r="F10" s="110">
        <v>92</v>
      </c>
      <c r="G10" s="110">
        <v>92</v>
      </c>
      <c r="H10" s="110">
        <v>115</v>
      </c>
      <c r="I10" s="110">
        <v>115</v>
      </c>
      <c r="J10" s="110">
        <v>131</v>
      </c>
      <c r="K10" s="110">
        <v>131</v>
      </c>
      <c r="L10" s="110">
        <v>143</v>
      </c>
    </row>
    <row r="11" spans="2:12" x14ac:dyDescent="0.2">
      <c r="B11" s="110">
        <v>35000</v>
      </c>
      <c r="C11" s="110">
        <v>73</v>
      </c>
      <c r="D11" s="110">
        <v>88</v>
      </c>
      <c r="E11" s="110">
        <v>88</v>
      </c>
      <c r="F11" s="110">
        <v>105</v>
      </c>
      <c r="G11" s="110">
        <v>105</v>
      </c>
      <c r="H11" s="110">
        <v>131</v>
      </c>
      <c r="I11" s="110">
        <v>131</v>
      </c>
      <c r="J11" s="110">
        <v>149</v>
      </c>
      <c r="K11" s="110">
        <v>149</v>
      </c>
      <c r="L11" s="110">
        <v>163</v>
      </c>
    </row>
    <row r="12" spans="2:12" x14ac:dyDescent="0.2">
      <c r="B12" s="110">
        <v>40000</v>
      </c>
      <c r="C12" s="110">
        <v>82</v>
      </c>
      <c r="D12" s="110">
        <v>98</v>
      </c>
      <c r="E12" s="110">
        <v>98</v>
      </c>
      <c r="F12" s="110">
        <v>118</v>
      </c>
      <c r="G12" s="110">
        <v>118</v>
      </c>
      <c r="H12" s="110">
        <v>147</v>
      </c>
      <c r="I12" s="110">
        <v>147</v>
      </c>
      <c r="J12" s="110">
        <v>167</v>
      </c>
      <c r="K12" s="110">
        <v>167</v>
      </c>
      <c r="L12" s="110">
        <v>183</v>
      </c>
    </row>
    <row r="13" spans="2:12" x14ac:dyDescent="0.2">
      <c r="B13" s="110">
        <v>50000</v>
      </c>
      <c r="C13" s="110">
        <v>99</v>
      </c>
      <c r="D13" s="110">
        <v>119</v>
      </c>
      <c r="E13" s="110">
        <v>119</v>
      </c>
      <c r="F13" s="110">
        <v>143</v>
      </c>
      <c r="G13" s="110">
        <v>143</v>
      </c>
      <c r="H13" s="110">
        <v>178</v>
      </c>
      <c r="I13" s="110">
        <v>178</v>
      </c>
      <c r="J13" s="110">
        <v>202</v>
      </c>
      <c r="K13" s="110">
        <v>202</v>
      </c>
      <c r="L13" s="110">
        <v>221</v>
      </c>
    </row>
    <row r="14" spans="2:12" x14ac:dyDescent="0.2">
      <c r="B14" s="110">
        <v>60000</v>
      </c>
      <c r="C14" s="110">
        <v>116</v>
      </c>
      <c r="D14" s="110">
        <v>139</v>
      </c>
      <c r="E14" s="110">
        <v>139</v>
      </c>
      <c r="F14" s="110">
        <v>167</v>
      </c>
      <c r="G14" s="110">
        <v>167</v>
      </c>
      <c r="H14" s="110">
        <v>208</v>
      </c>
      <c r="I14" s="110">
        <v>208</v>
      </c>
      <c r="J14" s="110">
        <v>236</v>
      </c>
      <c r="K14" s="110">
        <v>236</v>
      </c>
      <c r="L14" s="110">
        <v>258</v>
      </c>
    </row>
    <row r="15" spans="2:12" x14ac:dyDescent="0.2">
      <c r="B15" s="110">
        <v>75000</v>
      </c>
      <c r="C15" s="110">
        <v>140</v>
      </c>
      <c r="D15" s="110">
        <v>168</v>
      </c>
      <c r="E15" s="110">
        <v>168</v>
      </c>
      <c r="F15" s="110">
        <v>201</v>
      </c>
      <c r="G15" s="110">
        <v>201</v>
      </c>
      <c r="H15" s="110">
        <v>251</v>
      </c>
      <c r="I15" s="110">
        <v>251</v>
      </c>
      <c r="J15" s="110">
        <v>285</v>
      </c>
      <c r="K15" s="110">
        <v>285</v>
      </c>
      <c r="L15" s="110">
        <v>312</v>
      </c>
    </row>
    <row r="16" spans="2:12" x14ac:dyDescent="0.2">
      <c r="B16" s="110">
        <v>100000</v>
      </c>
      <c r="C16" s="110">
        <v>179</v>
      </c>
      <c r="D16" s="110">
        <v>214</v>
      </c>
      <c r="E16" s="110">
        <v>214</v>
      </c>
      <c r="F16" s="110">
        <v>257</v>
      </c>
      <c r="G16" s="110">
        <v>257</v>
      </c>
      <c r="H16" s="110">
        <v>321</v>
      </c>
      <c r="I16" s="110">
        <v>321</v>
      </c>
      <c r="J16" s="110">
        <v>364</v>
      </c>
      <c r="K16" s="110">
        <v>364</v>
      </c>
      <c r="L16" s="110">
        <v>399</v>
      </c>
    </row>
    <row r="17" spans="2:12" x14ac:dyDescent="0.2">
      <c r="B17" s="110">
        <v>125000</v>
      </c>
      <c r="C17" s="110">
        <v>216</v>
      </c>
      <c r="D17" s="110">
        <v>258</v>
      </c>
      <c r="E17" s="110">
        <v>258</v>
      </c>
      <c r="F17" s="110">
        <v>311</v>
      </c>
      <c r="G17" s="110">
        <v>311</v>
      </c>
      <c r="H17" s="110">
        <v>387</v>
      </c>
      <c r="I17" s="110">
        <v>387</v>
      </c>
      <c r="J17" s="110">
        <v>440</v>
      </c>
      <c r="K17" s="110">
        <v>440</v>
      </c>
      <c r="L17" s="110">
        <v>482</v>
      </c>
    </row>
    <row r="18" spans="2:12" x14ac:dyDescent="0.2">
      <c r="B18" s="110">
        <v>150000</v>
      </c>
      <c r="C18" s="110">
        <v>253</v>
      </c>
      <c r="D18" s="110">
        <v>301</v>
      </c>
      <c r="E18" s="110">
        <v>301</v>
      </c>
      <c r="F18" s="110">
        <v>362</v>
      </c>
      <c r="G18" s="110">
        <v>362</v>
      </c>
      <c r="H18" s="110">
        <v>452</v>
      </c>
      <c r="I18" s="110">
        <v>452</v>
      </c>
      <c r="J18" s="110">
        <v>513</v>
      </c>
      <c r="K18" s="110">
        <v>513</v>
      </c>
      <c r="L18" s="110">
        <v>562</v>
      </c>
    </row>
    <row r="19" spans="2:12" x14ac:dyDescent="0.2">
      <c r="B19" s="110">
        <v>200000</v>
      </c>
      <c r="C19" s="110">
        <v>322</v>
      </c>
      <c r="D19" s="110">
        <v>384</v>
      </c>
      <c r="E19" s="110">
        <v>384</v>
      </c>
      <c r="F19" s="110">
        <v>462</v>
      </c>
      <c r="G19" s="110">
        <v>462</v>
      </c>
      <c r="H19" s="110">
        <v>576</v>
      </c>
      <c r="I19" s="110">
        <v>576</v>
      </c>
      <c r="J19" s="110">
        <v>654</v>
      </c>
      <c r="K19" s="110">
        <v>654</v>
      </c>
      <c r="L19" s="110">
        <v>716</v>
      </c>
    </row>
    <row r="20" spans="2:12" x14ac:dyDescent="0.2">
      <c r="B20" s="110">
        <v>250000</v>
      </c>
      <c r="C20" s="110">
        <v>388</v>
      </c>
      <c r="D20" s="110">
        <v>463</v>
      </c>
      <c r="E20" s="110">
        <v>463</v>
      </c>
      <c r="F20" s="110">
        <v>557</v>
      </c>
      <c r="G20" s="110">
        <v>557</v>
      </c>
      <c r="H20" s="110">
        <v>695</v>
      </c>
      <c r="I20" s="110">
        <v>695</v>
      </c>
      <c r="J20" s="110">
        <v>789</v>
      </c>
      <c r="K20" s="110">
        <v>789</v>
      </c>
      <c r="L20" s="110">
        <v>864</v>
      </c>
    </row>
    <row r="21" spans="2:12" x14ac:dyDescent="0.2">
      <c r="B21" s="110">
        <v>350000</v>
      </c>
      <c r="C21" s="110">
        <v>514</v>
      </c>
      <c r="D21" s="110">
        <v>614</v>
      </c>
      <c r="E21" s="110">
        <v>614</v>
      </c>
      <c r="F21" s="110">
        <v>738</v>
      </c>
      <c r="G21" s="110">
        <v>738</v>
      </c>
      <c r="H21" s="110">
        <v>921</v>
      </c>
      <c r="I21" s="110">
        <v>921</v>
      </c>
      <c r="J21" s="110">
        <v>1045</v>
      </c>
      <c r="K21" s="110">
        <v>1045</v>
      </c>
      <c r="L21" s="110">
        <v>1145</v>
      </c>
    </row>
    <row r="22" spans="2:12" x14ac:dyDescent="0.2">
      <c r="B22" s="110">
        <v>500000</v>
      </c>
      <c r="C22" s="110">
        <v>691</v>
      </c>
      <c r="D22" s="110">
        <v>825</v>
      </c>
      <c r="E22" s="110">
        <v>825</v>
      </c>
      <c r="F22" s="110">
        <v>992</v>
      </c>
      <c r="G22" s="110">
        <v>992</v>
      </c>
      <c r="H22" s="110">
        <v>1238</v>
      </c>
      <c r="I22" s="110">
        <v>1238</v>
      </c>
      <c r="J22" s="110">
        <v>1405</v>
      </c>
      <c r="K22" s="110">
        <v>1405</v>
      </c>
      <c r="L22" s="110">
        <v>1539</v>
      </c>
    </row>
    <row r="23" spans="2:12" x14ac:dyDescent="0.2">
      <c r="B23" s="110">
        <v>650000</v>
      </c>
      <c r="C23" s="110">
        <v>864</v>
      </c>
      <c r="D23" s="110">
        <v>1031</v>
      </c>
      <c r="E23" s="110">
        <v>1031</v>
      </c>
      <c r="F23" s="110">
        <v>1240</v>
      </c>
      <c r="G23" s="110">
        <v>1240</v>
      </c>
      <c r="H23" s="110">
        <v>1547</v>
      </c>
      <c r="I23" s="110">
        <v>1547</v>
      </c>
      <c r="J23" s="110">
        <v>1756</v>
      </c>
      <c r="K23" s="110">
        <v>1756</v>
      </c>
      <c r="L23" s="110">
        <v>1923</v>
      </c>
    </row>
    <row r="24" spans="2:12" x14ac:dyDescent="0.2">
      <c r="B24" s="110">
        <v>800000</v>
      </c>
      <c r="C24" s="110">
        <v>1030</v>
      </c>
      <c r="D24" s="110">
        <v>1230</v>
      </c>
      <c r="E24" s="110">
        <v>1230</v>
      </c>
      <c r="F24" s="110">
        <v>1479</v>
      </c>
      <c r="G24" s="110">
        <v>1479</v>
      </c>
      <c r="H24" s="110">
        <v>1845</v>
      </c>
      <c r="I24" s="110">
        <v>1845</v>
      </c>
      <c r="J24" s="110">
        <v>2094</v>
      </c>
      <c r="K24" s="110">
        <v>2094</v>
      </c>
      <c r="L24" s="110">
        <v>2293</v>
      </c>
    </row>
    <row r="25" spans="2:12" x14ac:dyDescent="0.2">
      <c r="B25" s="110">
        <v>1000000</v>
      </c>
      <c r="C25" s="110">
        <v>1245</v>
      </c>
      <c r="D25" s="110">
        <v>1486</v>
      </c>
      <c r="E25" s="110">
        <v>1486</v>
      </c>
      <c r="F25" s="110">
        <v>1787</v>
      </c>
      <c r="G25" s="110">
        <v>1787</v>
      </c>
      <c r="H25" s="110">
        <v>2228</v>
      </c>
      <c r="I25" s="110">
        <v>2228</v>
      </c>
      <c r="J25" s="110">
        <v>2530</v>
      </c>
      <c r="K25" s="110">
        <v>2530</v>
      </c>
      <c r="L25" s="110">
        <v>2771</v>
      </c>
    </row>
    <row r="26" spans="2:12" x14ac:dyDescent="0.2">
      <c r="B26" s="110">
        <v>1250000</v>
      </c>
      <c r="C26" s="110">
        <v>1503</v>
      </c>
      <c r="D26" s="110">
        <v>1794</v>
      </c>
      <c r="E26" s="110">
        <v>1794</v>
      </c>
      <c r="F26" s="110">
        <v>2158</v>
      </c>
      <c r="G26" s="110">
        <v>2158</v>
      </c>
      <c r="H26" s="110">
        <v>2691</v>
      </c>
      <c r="I26" s="110">
        <v>2691</v>
      </c>
      <c r="J26" s="110">
        <v>3054</v>
      </c>
      <c r="K26" s="110">
        <v>3054</v>
      </c>
      <c r="L26" s="110">
        <v>3345</v>
      </c>
    </row>
    <row r="27" spans="2:12" x14ac:dyDescent="0.2">
      <c r="B27" s="110">
        <v>1500000</v>
      </c>
      <c r="C27" s="110">
        <v>1753</v>
      </c>
      <c r="D27" s="110">
        <v>2092</v>
      </c>
      <c r="E27" s="110">
        <v>2092</v>
      </c>
      <c r="F27" s="110">
        <v>2516</v>
      </c>
      <c r="G27" s="110">
        <v>2516</v>
      </c>
      <c r="H27" s="110">
        <v>3138</v>
      </c>
      <c r="I27" s="110">
        <v>3138</v>
      </c>
      <c r="J27" s="110">
        <v>3562</v>
      </c>
      <c r="K27" s="110">
        <v>3562</v>
      </c>
      <c r="L27" s="110">
        <v>3901</v>
      </c>
    </row>
    <row r="28" spans="2:12" x14ac:dyDescent="0.2">
      <c r="B28" s="470">
        <v>2000000</v>
      </c>
      <c r="C28" s="470">
        <v>2220</v>
      </c>
      <c r="D28" s="470">
        <v>2700</v>
      </c>
      <c r="E28" s="470">
        <v>2700</v>
      </c>
      <c r="F28" s="470">
        <v>3180</v>
      </c>
      <c r="G28" s="470">
        <v>3180</v>
      </c>
      <c r="H28" s="470">
        <v>3840</v>
      </c>
      <c r="I28" s="470">
        <v>3840</v>
      </c>
      <c r="J28" s="470">
        <v>4860</v>
      </c>
      <c r="K28" s="470">
        <v>4860</v>
      </c>
      <c r="L28" s="470">
        <v>5520</v>
      </c>
    </row>
    <row r="29" spans="2:12" x14ac:dyDescent="0.2">
      <c r="B29" s="470">
        <v>3000000</v>
      </c>
      <c r="C29" s="470">
        <v>3108.0000000000005</v>
      </c>
      <c r="D29" s="470">
        <v>3780.0000000000005</v>
      </c>
      <c r="E29" s="470">
        <v>3780.0000000000005</v>
      </c>
      <c r="F29" s="470">
        <v>4452</v>
      </c>
      <c r="G29" s="470">
        <v>4452</v>
      </c>
      <c r="H29" s="470">
        <v>5376.0000000000009</v>
      </c>
      <c r="I29" s="470">
        <v>5376.0000000000009</v>
      </c>
      <c r="J29" s="470">
        <v>6804.0000000000009</v>
      </c>
      <c r="K29" s="470">
        <v>6804.0000000000009</v>
      </c>
      <c r="L29" s="470">
        <v>7728.0000000000009</v>
      </c>
    </row>
    <row r="30" spans="2:12" x14ac:dyDescent="0.2">
      <c r="B30" s="470">
        <v>5000000</v>
      </c>
      <c r="C30" s="470">
        <v>4810</v>
      </c>
      <c r="D30" s="470">
        <v>5850</v>
      </c>
      <c r="E30" s="470">
        <v>5850</v>
      </c>
      <c r="F30" s="470">
        <v>6890</v>
      </c>
      <c r="G30" s="470">
        <v>6890</v>
      </c>
      <c r="H30" s="470">
        <v>8320</v>
      </c>
      <c r="I30" s="470">
        <v>8320</v>
      </c>
      <c r="J30" s="470">
        <v>10530</v>
      </c>
      <c r="K30" s="470">
        <v>10530</v>
      </c>
      <c r="L30" s="470">
        <v>11960</v>
      </c>
    </row>
    <row r="31" spans="2:12" x14ac:dyDescent="0.2">
      <c r="B31" s="470">
        <v>7500000</v>
      </c>
      <c r="C31" s="470">
        <v>6660</v>
      </c>
      <c r="D31" s="470">
        <v>8100</v>
      </c>
      <c r="E31" s="470">
        <v>8100</v>
      </c>
      <c r="F31" s="470">
        <v>9540</v>
      </c>
      <c r="G31" s="470">
        <v>9540</v>
      </c>
      <c r="H31" s="470">
        <v>11520</v>
      </c>
      <c r="I31" s="470">
        <v>11520</v>
      </c>
      <c r="J31" s="470">
        <v>14580</v>
      </c>
      <c r="K31" s="470">
        <v>14580</v>
      </c>
      <c r="L31" s="470">
        <v>16560</v>
      </c>
    </row>
    <row r="32" spans="2:12" x14ac:dyDescent="0.2">
      <c r="B32" s="470">
        <v>10000000</v>
      </c>
      <c r="C32" s="470">
        <v>8140</v>
      </c>
      <c r="D32" s="470">
        <v>9900</v>
      </c>
      <c r="E32" s="470">
        <v>9900</v>
      </c>
      <c r="F32" s="470">
        <v>11660</v>
      </c>
      <c r="G32" s="470">
        <v>11660</v>
      </c>
      <c r="H32" s="470">
        <v>14080</v>
      </c>
      <c r="I32" s="470">
        <v>14080</v>
      </c>
      <c r="J32" s="470">
        <v>17820</v>
      </c>
      <c r="K32" s="470">
        <v>17820</v>
      </c>
      <c r="L32" s="470">
        <v>20240</v>
      </c>
    </row>
    <row r="33" spans="1:12" x14ac:dyDescent="0.2">
      <c r="B33" s="470">
        <v>15000000</v>
      </c>
      <c r="C33" s="470">
        <v>11100</v>
      </c>
      <c r="D33" s="470">
        <v>13500</v>
      </c>
      <c r="E33" s="470">
        <v>13500</v>
      </c>
      <c r="F33" s="470">
        <v>15900</v>
      </c>
      <c r="G33" s="470">
        <v>15900</v>
      </c>
      <c r="H33" s="470">
        <v>19200</v>
      </c>
      <c r="I33" s="470">
        <v>19200</v>
      </c>
      <c r="J33" s="470">
        <v>24300</v>
      </c>
      <c r="K33" s="470">
        <v>24300</v>
      </c>
      <c r="L33" s="470">
        <v>27600</v>
      </c>
    </row>
    <row r="34" spans="1:12" x14ac:dyDescent="0.2">
      <c r="B34" s="470">
        <v>20000000</v>
      </c>
      <c r="C34" s="470">
        <v>13320</v>
      </c>
      <c r="D34" s="470">
        <v>16200</v>
      </c>
      <c r="E34" s="470">
        <v>16200</v>
      </c>
      <c r="F34" s="470">
        <v>19080</v>
      </c>
      <c r="G34" s="470">
        <v>19080</v>
      </c>
      <c r="H34" s="470">
        <v>23040</v>
      </c>
      <c r="I34" s="470">
        <v>23040</v>
      </c>
      <c r="J34" s="470">
        <v>29160</v>
      </c>
      <c r="K34" s="470">
        <v>29160</v>
      </c>
      <c r="L34" s="470">
        <v>33120</v>
      </c>
    </row>
    <row r="35" spans="1:12" x14ac:dyDescent="0.2">
      <c r="B35" s="470">
        <v>25000000</v>
      </c>
      <c r="C35" s="470">
        <v>14800</v>
      </c>
      <c r="D35" s="470">
        <v>18000</v>
      </c>
      <c r="E35" s="470">
        <v>18000</v>
      </c>
      <c r="F35" s="470">
        <v>21200</v>
      </c>
      <c r="G35" s="470">
        <v>21200</v>
      </c>
      <c r="H35" s="470">
        <v>25600</v>
      </c>
      <c r="I35" s="470">
        <v>25600</v>
      </c>
      <c r="J35" s="470">
        <v>32400</v>
      </c>
      <c r="K35" s="470">
        <v>32400</v>
      </c>
      <c r="L35" s="470">
        <v>36800</v>
      </c>
    </row>
    <row r="36" spans="1:12" x14ac:dyDescent="0.2">
      <c r="B36" s="470">
        <v>50000000</v>
      </c>
      <c r="C36" s="470">
        <v>17575</v>
      </c>
      <c r="D36" s="470">
        <v>21375</v>
      </c>
      <c r="E36" s="470">
        <v>21375</v>
      </c>
      <c r="F36" s="470">
        <v>25175</v>
      </c>
      <c r="G36" s="470">
        <v>25175</v>
      </c>
      <c r="H36" s="470">
        <v>30400</v>
      </c>
      <c r="I36" s="470">
        <v>30400</v>
      </c>
      <c r="J36" s="470">
        <v>38475</v>
      </c>
      <c r="K36" s="470">
        <v>38475</v>
      </c>
      <c r="L36" s="470">
        <v>43700</v>
      </c>
    </row>
    <row r="38" spans="1:12" s="31" customFormat="1" x14ac:dyDescent="0.2">
      <c r="A38" s="36"/>
      <c r="C38" s="37"/>
    </row>
    <row r="39" spans="1:12" s="101" customFormat="1" x14ac:dyDescent="0.2">
      <c r="B39" s="365" t="s">
        <v>412</v>
      </c>
      <c r="C39" s="365"/>
      <c r="D39" s="365"/>
      <c r="E39" s="365"/>
      <c r="F39" s="365"/>
    </row>
    <row r="40" spans="1:12" s="101" customFormat="1" x14ac:dyDescent="0.2">
      <c r="B40" s="350" t="s">
        <v>127</v>
      </c>
      <c r="C40" s="355"/>
      <c r="D40" s="355"/>
      <c r="E40" s="356"/>
      <c r="F40" s="357">
        <f>'OSNOVNI PODATKI'!C239</f>
        <v>50000</v>
      </c>
    </row>
    <row r="41" spans="1:12" s="101" customFormat="1" x14ac:dyDescent="0.2">
      <c r="B41" s="351" t="s">
        <v>150</v>
      </c>
      <c r="C41" s="358"/>
      <c r="D41" s="358"/>
      <c r="E41" s="359"/>
      <c r="F41" s="360" t="str">
        <f>'OSNOVNI PODATKI'!D239</f>
        <v>Cenovni razred IV</v>
      </c>
    </row>
    <row r="42" spans="1:12" s="101" customFormat="1" x14ac:dyDescent="0.2">
      <c r="B42" s="110" t="s">
        <v>33</v>
      </c>
      <c r="C42" s="358"/>
      <c r="D42" s="109"/>
      <c r="E42" s="109"/>
      <c r="F42" s="109">
        <f>IFERROR(MATCH(F41,C4:L4),"/")</f>
        <v>7</v>
      </c>
    </row>
    <row r="43" spans="1:12" s="101" customFormat="1" x14ac:dyDescent="0.2">
      <c r="B43" s="110" t="s">
        <v>151</v>
      </c>
      <c r="C43" s="358"/>
      <c r="D43" s="109"/>
      <c r="E43" s="109"/>
      <c r="F43" s="109">
        <f>IFERROR(F42+1,"/")</f>
        <v>8</v>
      </c>
    </row>
    <row r="44" spans="1:12" s="101" customFormat="1" x14ac:dyDescent="0.2">
      <c r="B44" s="110" t="s">
        <v>34</v>
      </c>
      <c r="C44" s="358"/>
      <c r="D44" s="109"/>
      <c r="E44" s="109"/>
      <c r="F44" s="109">
        <f>IF(OR(F40&gt;B36,F40&lt;B7),"/",IFERROR(MATCH(F40,B7:B36),"/"))</f>
        <v>7</v>
      </c>
    </row>
    <row r="45" spans="1:12" s="101" customFormat="1" x14ac:dyDescent="0.2">
      <c r="B45" s="110" t="s">
        <v>35</v>
      </c>
      <c r="C45" s="358"/>
      <c r="D45" s="109"/>
      <c r="E45" s="109"/>
      <c r="F45" s="109">
        <f>IFERROR(F44+1,"/")</f>
        <v>8</v>
      </c>
    </row>
    <row r="46" spans="1:12" s="101" customFormat="1" x14ac:dyDescent="0.2">
      <c r="B46" s="110" t="s">
        <v>153</v>
      </c>
      <c r="C46" s="358"/>
      <c r="D46" s="109"/>
      <c r="E46" s="109"/>
      <c r="F46" s="109">
        <f>IFERROR(INDEX($C$8:$L$36,F44,F42),0)</f>
        <v>208</v>
      </c>
    </row>
    <row r="47" spans="1:12" s="101" customFormat="1" x14ac:dyDescent="0.2">
      <c r="B47" s="110" t="s">
        <v>110</v>
      </c>
      <c r="C47" s="358"/>
      <c r="D47" s="109"/>
      <c r="E47" s="109"/>
      <c r="F47" s="109">
        <f>IFERROR(INDEX($C$8:$L$36,F45,F42),0)</f>
        <v>251</v>
      </c>
    </row>
    <row r="48" spans="1:12" s="101" customFormat="1" x14ac:dyDescent="0.2">
      <c r="B48" s="110" t="s">
        <v>122</v>
      </c>
      <c r="C48" s="358"/>
      <c r="D48" s="109"/>
      <c r="E48" s="109"/>
      <c r="F48" s="109">
        <f>IFERROR(INDEX($B$8:$B$36,F44),0)</f>
        <v>60000</v>
      </c>
    </row>
    <row r="49" spans="1:7" s="101" customFormat="1" x14ac:dyDescent="0.2">
      <c r="B49" s="110" t="s">
        <v>154</v>
      </c>
      <c r="C49" s="358"/>
      <c r="D49" s="109"/>
      <c r="E49" s="109"/>
      <c r="F49" s="109">
        <f>IFERROR(INDEX($B$8:$B$36,F45),0)</f>
        <v>75000</v>
      </c>
    </row>
    <row r="50" spans="1:7" s="101" customFormat="1" x14ac:dyDescent="0.2">
      <c r="B50" s="502" t="s">
        <v>155</v>
      </c>
      <c r="C50" s="503"/>
      <c r="D50" s="504"/>
      <c r="E50" s="504"/>
      <c r="F50" s="504">
        <f>IFERROR(FORECAST(F40,F46:F47,F48:F49),0)</f>
        <v>179.33333333333334</v>
      </c>
    </row>
    <row r="51" spans="1:7" x14ac:dyDescent="0.2">
      <c r="B51" s="516"/>
      <c r="C51" s="517"/>
      <c r="D51" s="518"/>
      <c r="E51" s="518"/>
      <c r="F51" s="519">
        <f>IF(F44="/","NI DOLOČENO",F50)</f>
        <v>179.33333333333334</v>
      </c>
    </row>
    <row r="52" spans="1:7" s="101" customFormat="1" x14ac:dyDescent="0.2">
      <c r="B52" s="353"/>
      <c r="D52" s="102"/>
      <c r="E52" s="102"/>
      <c r="F52" s="102"/>
    </row>
    <row r="53" spans="1:7" s="101" customFormat="1" x14ac:dyDescent="0.2">
      <c r="B53" s="361" t="s">
        <v>152</v>
      </c>
      <c r="C53" s="355"/>
      <c r="D53" s="362"/>
      <c r="E53" s="362"/>
      <c r="F53" s="362">
        <f>IFERROR(INDEX($C$8:$L$36,F44,F43),0)</f>
        <v>236</v>
      </c>
    </row>
    <row r="54" spans="1:7" s="101" customFormat="1" x14ac:dyDescent="0.2">
      <c r="B54" s="110" t="s">
        <v>110</v>
      </c>
      <c r="C54" s="358"/>
      <c r="D54" s="109"/>
      <c r="E54" s="109"/>
      <c r="F54" s="109">
        <f>IFERROR(INDEX($C$8:$L$36,F45,F43),0)</f>
        <v>285</v>
      </c>
    </row>
    <row r="55" spans="1:7" s="101" customFormat="1" x14ac:dyDescent="0.2">
      <c r="B55" s="502" t="s">
        <v>156</v>
      </c>
      <c r="C55" s="503"/>
      <c r="D55" s="504"/>
      <c r="E55" s="504"/>
      <c r="F55" s="504">
        <f>IFERROR(FORECAST(F40,F53:F54,F48:F49),0)</f>
        <v>203.33333333333334</v>
      </c>
    </row>
    <row r="56" spans="1:7" x14ac:dyDescent="0.2">
      <c r="B56" s="518"/>
      <c r="C56" s="517"/>
      <c r="D56" s="518"/>
      <c r="E56" s="518"/>
      <c r="F56" s="519">
        <f>IF(F44="/","NI DOLOČENO",F55)</f>
        <v>203.33333333333334</v>
      </c>
    </row>
    <row r="57" spans="1:7" x14ac:dyDescent="0.2">
      <c r="B57" s="102"/>
      <c r="C57" s="535"/>
      <c r="D57" s="102"/>
      <c r="E57" s="102"/>
      <c r="F57" s="108"/>
    </row>
    <row r="58" spans="1:7" x14ac:dyDescent="0.2">
      <c r="B58" s="102"/>
      <c r="C58" s="535"/>
      <c r="D58" s="102"/>
      <c r="E58" s="102"/>
      <c r="F58" s="108"/>
    </row>
    <row r="59" spans="1:7" x14ac:dyDescent="0.2">
      <c r="B59" s="102"/>
      <c r="C59" s="535"/>
      <c r="D59" s="102"/>
      <c r="E59" s="102"/>
      <c r="F59" s="108"/>
    </row>
    <row r="60" spans="1:7" x14ac:dyDescent="0.2">
      <c r="B60" s="102"/>
      <c r="C60" s="535"/>
      <c r="D60" s="102"/>
      <c r="E60" s="102"/>
      <c r="F60" s="108"/>
    </row>
    <row r="64" spans="1:7" s="101" customFormat="1" x14ac:dyDescent="0.2">
      <c r="A64" s="366"/>
      <c r="B64" s="366" t="s">
        <v>413</v>
      </c>
      <c r="C64" s="366"/>
      <c r="D64" s="366"/>
      <c r="E64" s="366"/>
      <c r="F64" s="366"/>
      <c r="G64" s="366"/>
    </row>
    <row r="65" spans="1:8" s="2" customFormat="1" x14ac:dyDescent="0.2">
      <c r="A65" s="364"/>
      <c r="B65" s="364"/>
      <c r="C65" s="364"/>
      <c r="D65" s="364"/>
      <c r="E65" s="364"/>
      <c r="F65" s="364"/>
      <c r="G65" s="364"/>
      <c r="H65" s="364"/>
    </row>
    <row r="66" spans="1:8" s="101" customFormat="1" x14ac:dyDescent="0.2">
      <c r="A66" s="458"/>
      <c r="B66" s="470" t="str">
        <f>'OSNOVNI PODATKI'!$B$255</f>
        <v>PRIBITEK ZA PRENOVO</v>
      </c>
      <c r="C66" s="467"/>
      <c r="D66" s="471"/>
      <c r="E66" s="471"/>
      <c r="F66" s="520">
        <f>'OSNOVNI PODATKI'!$E$255</f>
        <v>0</v>
      </c>
      <c r="G66" s="467"/>
      <c r="H66" s="467"/>
    </row>
    <row r="67" spans="1:8" s="101" customFormat="1" x14ac:dyDescent="0.2">
      <c r="A67" s="458"/>
      <c r="B67" s="470" t="str">
        <f>'OSNOVNI PODATKI'!$B$257</f>
        <v>UPORABA BIM PROCESOV</v>
      </c>
      <c r="C67" s="467"/>
      <c r="D67" s="471"/>
      <c r="E67" s="471"/>
      <c r="F67" s="521">
        <f>'OSNOVNI PODATKI'!$E$257</f>
        <v>0</v>
      </c>
      <c r="G67" s="467"/>
      <c r="H67" s="467"/>
    </row>
    <row r="68" spans="1:8" s="101" customFormat="1" x14ac:dyDescent="0.2">
      <c r="A68" s="458"/>
      <c r="B68" s="470" t="str">
        <f>'OSNOVNI PODATKI'!$B$258</f>
        <v>VKLJUČEVANJE DRUGIH IZVAJALCEV V POGODBO</v>
      </c>
      <c r="C68" s="467"/>
      <c r="D68" s="471"/>
      <c r="E68" s="471"/>
      <c r="F68" s="520">
        <f>'OSNOVNI PODATKI'!$E$258</f>
        <v>0</v>
      </c>
      <c r="G68" s="467"/>
      <c r="H68" s="467"/>
    </row>
    <row r="69" spans="1:8" s="101" customFormat="1" x14ac:dyDescent="0.2">
      <c r="A69" s="458"/>
      <c r="B69" s="470" t="str">
        <f>'OSNOVNI PODATKI'!$B$259</f>
        <v>GRADBENI NADZOR</v>
      </c>
      <c r="C69" s="467"/>
      <c r="D69" s="471"/>
      <c r="E69" s="471"/>
      <c r="F69" s="520">
        <f>IF('OSNOVNI PODATKI'!$E$259=TRUE,20%,0%)</f>
        <v>0</v>
      </c>
      <c r="G69" s="467"/>
      <c r="H69" s="467"/>
    </row>
    <row r="70" spans="1:8" s="101" customFormat="1" x14ac:dyDescent="0.2">
      <c r="A70" s="458"/>
      <c r="B70" s="505"/>
      <c r="C70" s="506"/>
      <c r="D70" s="507"/>
      <c r="E70" s="507"/>
      <c r="F70" s="522"/>
      <c r="G70" s="458"/>
      <c r="H70" s="458"/>
    </row>
    <row r="71" spans="1:8" s="13" customFormat="1" ht="26.25" x14ac:dyDescent="0.25">
      <c r="A71" s="137"/>
      <c r="B71" s="138"/>
      <c r="C71" s="138"/>
      <c r="D71" s="138"/>
      <c r="E71" s="139" t="s">
        <v>31</v>
      </c>
      <c r="F71" s="509" t="s">
        <v>442</v>
      </c>
      <c r="G71" s="140" t="s">
        <v>76</v>
      </c>
      <c r="H71" s="141" t="s">
        <v>90</v>
      </c>
    </row>
    <row r="72" spans="1:8" s="14" customFormat="1" ht="14.25" x14ac:dyDescent="0.2">
      <c r="A72" s="132" t="s">
        <v>38</v>
      </c>
      <c r="B72" s="133" t="s">
        <v>39</v>
      </c>
      <c r="C72" s="133"/>
      <c r="D72" s="133"/>
      <c r="E72" s="134"/>
      <c r="F72" s="134"/>
      <c r="G72" s="135"/>
      <c r="H72" s="136"/>
    </row>
    <row r="73" spans="1:8" s="14" customFormat="1" ht="14.25" x14ac:dyDescent="0.2">
      <c r="A73" s="115" t="s">
        <v>40</v>
      </c>
      <c r="B73" s="127" t="s">
        <v>85</v>
      </c>
      <c r="C73" s="127"/>
      <c r="D73" s="127"/>
      <c r="E73" s="116"/>
      <c r="F73" s="116"/>
      <c r="G73" s="125"/>
      <c r="H73" s="117"/>
    </row>
    <row r="74" spans="1:8" s="14" customFormat="1" ht="14.25" x14ac:dyDescent="0.2">
      <c r="A74" s="143" t="s">
        <v>41</v>
      </c>
      <c r="B74" s="144" t="s">
        <v>86</v>
      </c>
      <c r="C74" s="144"/>
      <c r="D74" s="144"/>
      <c r="E74" s="145"/>
      <c r="F74" s="145"/>
      <c r="G74" s="120"/>
      <c r="H74" s="121"/>
    </row>
    <row r="75" spans="1:8" s="14" customFormat="1" ht="14.25" x14ac:dyDescent="0.2">
      <c r="A75" s="142" t="s">
        <v>42</v>
      </c>
      <c r="B75" s="133" t="s">
        <v>43</v>
      </c>
      <c r="C75" s="133"/>
      <c r="D75" s="133"/>
      <c r="E75" s="134">
        <f>SUM(E76:E78)</f>
        <v>0.03</v>
      </c>
      <c r="F75" s="134">
        <f>SUM(F76:F78)</f>
        <v>0.03</v>
      </c>
      <c r="G75" s="135">
        <f>SUM(G76:G78)</f>
        <v>5.74</v>
      </c>
      <c r="H75" s="136">
        <f>SUM(H76:H78)</f>
        <v>229.60000000000002</v>
      </c>
    </row>
    <row r="76" spans="1:8" s="14" customFormat="1" ht="14.25" x14ac:dyDescent="0.2">
      <c r="A76" s="118" t="s">
        <v>44</v>
      </c>
      <c r="B76" s="126" t="s">
        <v>87</v>
      </c>
      <c r="C76" s="126"/>
      <c r="D76" s="126"/>
      <c r="E76" s="116">
        <v>0.01</v>
      </c>
      <c r="F76" s="510">
        <f>E76*(100%+$F$66+$F$68)</f>
        <v>0.01</v>
      </c>
      <c r="G76" s="125">
        <f>F76*'OSNOVNI PODATKI'!$I$239</f>
        <v>1.9133333333333336</v>
      </c>
      <c r="H76" s="117">
        <f>+G76*'ARHIGRAM 5'!$I$17</f>
        <v>76.533333333333346</v>
      </c>
    </row>
    <row r="77" spans="1:8" s="14" customFormat="1" ht="14.25" x14ac:dyDescent="0.2">
      <c r="A77" s="118" t="s">
        <v>45</v>
      </c>
      <c r="B77" s="126" t="s">
        <v>88</v>
      </c>
      <c r="C77" s="126"/>
      <c r="D77" s="126"/>
      <c r="E77" s="116">
        <v>0.01</v>
      </c>
      <c r="F77" s="116">
        <f>E77*(100%+$F$66+$F$68)</f>
        <v>0.01</v>
      </c>
      <c r="G77" s="125">
        <f>F77*'OSNOVNI PODATKI'!$I$239</f>
        <v>1.9133333333333336</v>
      </c>
      <c r="H77" s="117">
        <f>+G77*'ARHIGRAM 5'!$I$17</f>
        <v>76.533333333333346</v>
      </c>
    </row>
    <row r="78" spans="1:8" s="14" customFormat="1" ht="14.25" x14ac:dyDescent="0.2">
      <c r="A78" s="148" t="s">
        <v>46</v>
      </c>
      <c r="B78" s="149" t="s">
        <v>741</v>
      </c>
      <c r="C78" s="149"/>
      <c r="D78" s="149"/>
      <c r="E78" s="145">
        <v>0.01</v>
      </c>
      <c r="F78" s="145">
        <f>E78*(100%+$F$66+$F$68)</f>
        <v>0.01</v>
      </c>
      <c r="G78" s="120">
        <f>F78*'OSNOVNI PODATKI'!$I$239</f>
        <v>1.9133333333333336</v>
      </c>
      <c r="H78" s="121">
        <f>+G78*'ARHIGRAM 5'!$I$17</f>
        <v>76.533333333333346</v>
      </c>
    </row>
    <row r="79" spans="1:8" s="14" customFormat="1" ht="14.25" x14ac:dyDescent="0.2">
      <c r="A79" s="146">
        <v>2</v>
      </c>
      <c r="B79" s="133" t="s">
        <v>47</v>
      </c>
      <c r="C79" s="133"/>
      <c r="D79" s="133"/>
      <c r="E79" s="134">
        <f>+E80+E81+E82+E83+E84</f>
        <v>0.62000000000000011</v>
      </c>
      <c r="F79" s="134">
        <f>+F80+F81+F82+F83+F84</f>
        <v>0.62000000000000011</v>
      </c>
      <c r="G79" s="147">
        <f>SUM(G80:G84)</f>
        <v>118.62666666666668</v>
      </c>
      <c r="H79" s="136">
        <f>SUM(H80:H84)</f>
        <v>4745.0666666666675</v>
      </c>
    </row>
    <row r="80" spans="1:8" s="14" customFormat="1" ht="14.25" x14ac:dyDescent="0.2">
      <c r="A80" s="118" t="s">
        <v>70</v>
      </c>
      <c r="B80" s="126" t="s">
        <v>124</v>
      </c>
      <c r="C80" s="126"/>
      <c r="D80" s="126"/>
      <c r="E80" s="129">
        <v>0.1</v>
      </c>
      <c r="F80" s="129">
        <f>E80*(100%+$F$66+$F$67+$F$68)</f>
        <v>0.1</v>
      </c>
      <c r="G80" s="125">
        <f>F80*'OSNOVNI PODATKI'!$I$239</f>
        <v>19.133333333333336</v>
      </c>
      <c r="H80" s="117">
        <f>+G80*'ARHIGRAM 5'!$I$17</f>
        <v>765.33333333333348</v>
      </c>
    </row>
    <row r="81" spans="1:8" s="14" customFormat="1" ht="14.25" x14ac:dyDescent="0.2">
      <c r="A81" s="130" t="s">
        <v>71</v>
      </c>
      <c r="B81" s="131" t="s">
        <v>617</v>
      </c>
      <c r="C81" s="131"/>
      <c r="D81" s="131"/>
      <c r="E81" s="129">
        <v>0.16</v>
      </c>
      <c r="F81" s="129">
        <f>E81*(100%+$F$66+$F$67+$F$68)</f>
        <v>0.16</v>
      </c>
      <c r="G81" s="125">
        <f>F81*'OSNOVNI PODATKI'!$I$239</f>
        <v>30.613333333333337</v>
      </c>
      <c r="H81" s="117">
        <f>+G81*'ARHIGRAM 5'!$I$17</f>
        <v>1224.5333333333335</v>
      </c>
    </row>
    <row r="82" spans="1:8" s="14" customFormat="1" ht="14.25" x14ac:dyDescent="0.2">
      <c r="A82" s="130" t="s">
        <v>72</v>
      </c>
      <c r="B82" s="131" t="s">
        <v>1074</v>
      </c>
      <c r="C82" s="131"/>
      <c r="D82" s="131"/>
      <c r="E82" s="129">
        <v>0.04</v>
      </c>
      <c r="F82" s="129">
        <f>E82*(100%+$F$66+$F$67+$F$68)</f>
        <v>0.04</v>
      </c>
      <c r="G82" s="125">
        <f>F82*'OSNOVNI PODATKI'!$I$239</f>
        <v>7.6533333333333342</v>
      </c>
      <c r="H82" s="117">
        <f>+G82*'ARHIGRAM 5'!$I$17</f>
        <v>306.13333333333338</v>
      </c>
    </row>
    <row r="83" spans="1:8" s="14" customFormat="1" ht="14.25" x14ac:dyDescent="0.2">
      <c r="A83" s="130" t="s">
        <v>125</v>
      </c>
      <c r="B83" s="131" t="s">
        <v>618</v>
      </c>
      <c r="C83" s="131"/>
      <c r="D83" s="131"/>
      <c r="E83" s="129">
        <v>0.25</v>
      </c>
      <c r="F83" s="129">
        <f>E83*(100%+$F$66+$F$67+$F$68)</f>
        <v>0.25</v>
      </c>
      <c r="G83" s="125">
        <f>F83*'OSNOVNI PODATKI'!$I$239</f>
        <v>47.833333333333336</v>
      </c>
      <c r="H83" s="117">
        <f>+G83*'ARHIGRAM 5'!$I$17</f>
        <v>1913.3333333333335</v>
      </c>
    </row>
    <row r="84" spans="1:8" s="14" customFormat="1" ht="14.25" x14ac:dyDescent="0.2">
      <c r="A84" s="151" t="s">
        <v>126</v>
      </c>
      <c r="B84" s="152" t="s">
        <v>742</v>
      </c>
      <c r="C84" s="152"/>
      <c r="D84" s="152"/>
      <c r="E84" s="153">
        <v>7.0000000000000007E-2</v>
      </c>
      <c r="F84" s="153">
        <f>E84*(100%+$F$66+$F$67+$F$68)</f>
        <v>7.0000000000000007E-2</v>
      </c>
      <c r="G84" s="120">
        <f>F84*'OSNOVNI PODATKI'!$I$239</f>
        <v>13.393333333333334</v>
      </c>
      <c r="H84" s="121">
        <f>+G84*'ARHIGRAM 5'!$I$17</f>
        <v>535.73333333333335</v>
      </c>
    </row>
    <row r="85" spans="1:8" s="14" customFormat="1" ht="14.25" x14ac:dyDescent="0.2">
      <c r="A85" s="150" t="s">
        <v>58</v>
      </c>
      <c r="B85" s="133" t="s">
        <v>801</v>
      </c>
      <c r="C85" s="133"/>
      <c r="D85" s="133"/>
      <c r="E85" s="134">
        <f>SUM(E86:E87)</f>
        <v>0.03</v>
      </c>
      <c r="F85" s="134">
        <f>SUM(F86:F87)</f>
        <v>0.03</v>
      </c>
      <c r="G85" s="135">
        <f>SUM(G86:G87)</f>
        <v>5.74</v>
      </c>
      <c r="H85" s="136">
        <f>SUM(H86:H87)</f>
        <v>229.60000000000002</v>
      </c>
    </row>
    <row r="86" spans="1:8" s="14" customFormat="1" ht="14.25" x14ac:dyDescent="0.2">
      <c r="A86" s="119" t="s">
        <v>59</v>
      </c>
      <c r="B86" s="125" t="s">
        <v>743</v>
      </c>
      <c r="C86" s="125"/>
      <c r="D86" s="125"/>
      <c r="E86" s="116">
        <v>0.01</v>
      </c>
      <c r="F86" s="116">
        <f>E86*(100%+$F$66+$F$68)</f>
        <v>0.01</v>
      </c>
      <c r="G86" s="125">
        <f>F86*'OSNOVNI PODATKI'!$I$239</f>
        <v>1.9133333333333336</v>
      </c>
      <c r="H86" s="117">
        <f>+G86*'ARHIGRAM 5'!$I$17</f>
        <v>76.533333333333346</v>
      </c>
    </row>
    <row r="87" spans="1:8" s="14" customFormat="1" ht="14.25" x14ac:dyDescent="0.2">
      <c r="A87" s="155" t="s">
        <v>60</v>
      </c>
      <c r="B87" s="120" t="s">
        <v>255</v>
      </c>
      <c r="C87" s="120"/>
      <c r="D87" s="120"/>
      <c r="E87" s="145">
        <v>0.02</v>
      </c>
      <c r="F87" s="145">
        <f>E87*(100%+$F$66+$F$68)</f>
        <v>0.02</v>
      </c>
      <c r="G87" s="120">
        <f>F87*'OSNOVNI PODATKI'!$I$239</f>
        <v>3.8266666666666671</v>
      </c>
      <c r="H87" s="121">
        <f>+G87*'ARHIGRAM 5'!$I$17</f>
        <v>153.06666666666669</v>
      </c>
    </row>
    <row r="88" spans="1:8" s="14" customFormat="1" ht="14.25" x14ac:dyDescent="0.2">
      <c r="A88" s="154">
        <v>4</v>
      </c>
      <c r="B88" s="133" t="s">
        <v>80</v>
      </c>
      <c r="C88" s="133"/>
      <c r="D88" s="133"/>
      <c r="E88" s="134">
        <f>SUM(E89:E93)</f>
        <v>0.30000000000000004</v>
      </c>
      <c r="F88" s="134">
        <f>SUM(F89:F93)</f>
        <v>0.12</v>
      </c>
      <c r="G88" s="135">
        <f>SUM(G89:G93)</f>
        <v>22.960000000000004</v>
      </c>
      <c r="H88" s="136">
        <f>SUM(H89:H93)</f>
        <v>918.40000000000009</v>
      </c>
    </row>
    <row r="89" spans="1:8" s="14" customFormat="1" ht="14.25" x14ac:dyDescent="0.2">
      <c r="A89" s="119" t="s">
        <v>61</v>
      </c>
      <c r="B89" s="125" t="s">
        <v>256</v>
      </c>
      <c r="C89" s="125"/>
      <c r="D89" s="125"/>
      <c r="E89" s="116">
        <v>0.01</v>
      </c>
      <c r="F89" s="116">
        <f>E89*(100%+$F$66+$F$68)</f>
        <v>0.01</v>
      </c>
      <c r="G89" s="125">
        <f>F89*'OSNOVNI PODATKI'!$I$239</f>
        <v>1.9133333333333336</v>
      </c>
      <c r="H89" s="117">
        <f>+G89*'ARHIGRAM 5'!$I$17</f>
        <v>76.533333333333346</v>
      </c>
    </row>
    <row r="90" spans="1:8" s="14" customFormat="1" ht="14.25" x14ac:dyDescent="0.2">
      <c r="A90" s="119" t="s">
        <v>62</v>
      </c>
      <c r="B90" s="125" t="s">
        <v>779</v>
      </c>
      <c r="C90" s="125"/>
      <c r="D90" s="125"/>
      <c r="E90" s="116">
        <v>0.24</v>
      </c>
      <c r="F90" s="510">
        <f>(E90-18%+F69)*(100%+$F$66+$F$68)</f>
        <v>0.06</v>
      </c>
      <c r="G90" s="125">
        <f>F90*'OSNOVNI PODATKI'!$I$239</f>
        <v>11.48</v>
      </c>
      <c r="H90" s="117">
        <f>+G90*'ARHIGRAM 5'!$I$17</f>
        <v>459.20000000000005</v>
      </c>
    </row>
    <row r="91" spans="1:8" s="14" customFormat="1" ht="14.25" x14ac:dyDescent="0.2">
      <c r="A91" s="119" t="s">
        <v>63</v>
      </c>
      <c r="B91" s="125" t="s">
        <v>1076</v>
      </c>
      <c r="C91" s="125"/>
      <c r="D91" s="125"/>
      <c r="E91" s="116">
        <v>0.01</v>
      </c>
      <c r="F91" s="116">
        <f>E91*(100%+$F$66+$F$68)</f>
        <v>0.01</v>
      </c>
      <c r="G91" s="125">
        <f>F91*'OSNOVNI PODATKI'!$I$239</f>
        <v>1.9133333333333336</v>
      </c>
      <c r="H91" s="117">
        <f>+G91*'ARHIGRAM 5'!$I$17</f>
        <v>76.533333333333346</v>
      </c>
    </row>
    <row r="92" spans="1:8" s="14" customFormat="1" ht="14.25" x14ac:dyDescent="0.2">
      <c r="A92" s="119" t="s">
        <v>64</v>
      </c>
      <c r="B92" s="125" t="s">
        <v>780</v>
      </c>
      <c r="C92" s="125"/>
      <c r="D92" s="125"/>
      <c r="E92" s="116">
        <v>0.02</v>
      </c>
      <c r="F92" s="116">
        <f>E92*(100%+$F$66+$F$68)</f>
        <v>0.02</v>
      </c>
      <c r="G92" s="125">
        <f>F92*'OSNOVNI PODATKI'!$I$239</f>
        <v>3.8266666666666671</v>
      </c>
      <c r="H92" s="117">
        <f>+G92*'ARHIGRAM 5'!$I$17</f>
        <v>153.06666666666669</v>
      </c>
    </row>
    <row r="93" spans="1:8" s="14" customFormat="1" ht="14.25" x14ac:dyDescent="0.2">
      <c r="A93" s="155" t="s">
        <v>65</v>
      </c>
      <c r="B93" s="120" t="s">
        <v>744</v>
      </c>
      <c r="C93" s="120"/>
      <c r="D93" s="120"/>
      <c r="E93" s="145">
        <v>0.02</v>
      </c>
      <c r="F93" s="145">
        <f>E93*(100%+$F$66+$F$67+$F$68)</f>
        <v>0.02</v>
      </c>
      <c r="G93" s="120">
        <f>F93*'OSNOVNI PODATKI'!$I$239</f>
        <v>3.8266666666666671</v>
      </c>
      <c r="H93" s="121">
        <f>+G93*'ARHIGRAM 5'!$I$17</f>
        <v>153.06666666666669</v>
      </c>
    </row>
    <row r="94" spans="1:8" s="14" customFormat="1" ht="14.25" x14ac:dyDescent="0.2">
      <c r="A94" s="156">
        <v>5</v>
      </c>
      <c r="B94" s="133" t="s">
        <v>66</v>
      </c>
      <c r="C94" s="133"/>
      <c r="D94" s="133"/>
      <c r="E94" s="134">
        <f>SUM(E95:E96)</f>
        <v>0.02</v>
      </c>
      <c r="F94" s="134">
        <f>SUM(F95:F96)</f>
        <v>0.02</v>
      </c>
      <c r="G94" s="135">
        <f>SUM(G95:G96)</f>
        <v>3.8266666666666671</v>
      </c>
      <c r="H94" s="136">
        <f>SUM(H95:H96)</f>
        <v>153.06666666666669</v>
      </c>
    </row>
    <row r="95" spans="1:8" s="14" customFormat="1" ht="14.25" x14ac:dyDescent="0.2">
      <c r="A95" s="119" t="s">
        <v>67</v>
      </c>
      <c r="B95" s="128" t="s">
        <v>257</v>
      </c>
      <c r="C95" s="128"/>
      <c r="D95" s="128"/>
      <c r="E95" s="116">
        <v>0.01</v>
      </c>
      <c r="F95" s="116">
        <f>E95*(100%+$F$66+$F$68)</f>
        <v>0.01</v>
      </c>
      <c r="G95" s="125">
        <f>F95*'OSNOVNI PODATKI'!$I$239</f>
        <v>1.9133333333333336</v>
      </c>
      <c r="H95" s="117">
        <f>+G95*'ARHIGRAM 5'!$I$17</f>
        <v>76.533333333333346</v>
      </c>
    </row>
    <row r="96" spans="1:8" s="14" customFormat="1" ht="14.25" x14ac:dyDescent="0.2">
      <c r="A96" s="155" t="s">
        <v>68</v>
      </c>
      <c r="B96" s="158" t="s">
        <v>781</v>
      </c>
      <c r="C96" s="158"/>
      <c r="D96" s="158"/>
      <c r="E96" s="145">
        <v>0.01</v>
      </c>
      <c r="F96" s="145">
        <f>E96*(100%+$F$66+$F$68)</f>
        <v>0.01</v>
      </c>
      <c r="G96" s="120">
        <f>F96*'OSNOVNI PODATKI'!$I$239</f>
        <v>1.9133333333333336</v>
      </c>
      <c r="H96" s="121">
        <f>+G96*'ARHIGRAM 5'!$I$17</f>
        <v>76.533333333333346</v>
      </c>
    </row>
    <row r="97" spans="1:8" s="14" customFormat="1" ht="14.25" x14ac:dyDescent="0.2">
      <c r="A97" s="157">
        <v>6</v>
      </c>
      <c r="B97" s="133" t="s">
        <v>69</v>
      </c>
      <c r="C97" s="133"/>
      <c r="D97" s="133"/>
      <c r="E97" s="134"/>
      <c r="F97" s="134"/>
      <c r="G97" s="135"/>
      <c r="H97" s="136"/>
    </row>
    <row r="98" spans="1:8" s="14" customFormat="1" ht="14.25" x14ac:dyDescent="0.2">
      <c r="A98" s="119" t="s">
        <v>73</v>
      </c>
      <c r="B98" s="128" t="s">
        <v>259</v>
      </c>
      <c r="C98" s="128"/>
      <c r="D98" s="128"/>
      <c r="E98" s="116"/>
      <c r="F98" s="116"/>
      <c r="G98" s="125"/>
      <c r="H98" s="117"/>
    </row>
    <row r="99" spans="1:8" s="14" customFormat="1" ht="14.25" x14ac:dyDescent="0.2">
      <c r="A99" s="119" t="s">
        <v>74</v>
      </c>
      <c r="B99" s="128" t="s">
        <v>260</v>
      </c>
      <c r="C99" s="128"/>
      <c r="D99" s="128"/>
      <c r="E99" s="116"/>
      <c r="F99" s="116"/>
      <c r="G99" s="125"/>
      <c r="H99" s="117"/>
    </row>
    <row r="100" spans="1:8" s="14" customFormat="1" ht="14.25" x14ac:dyDescent="0.2">
      <c r="A100" s="155" t="s">
        <v>75</v>
      </c>
      <c r="B100" s="158" t="s">
        <v>261</v>
      </c>
      <c r="C100" s="158"/>
      <c r="D100" s="158"/>
      <c r="E100" s="145"/>
      <c r="F100" s="145"/>
      <c r="G100" s="120"/>
      <c r="H100" s="121"/>
    </row>
    <row r="101" spans="1:8" s="14" customFormat="1" ht="14.25" x14ac:dyDescent="0.2">
      <c r="A101" s="122"/>
      <c r="B101" s="123"/>
      <c r="C101" s="123"/>
      <c r="D101" s="123"/>
      <c r="E101" s="124"/>
      <c r="F101" s="124"/>
      <c r="G101" s="159"/>
      <c r="H101" s="160"/>
    </row>
    <row r="102" spans="1:8" s="14" customFormat="1" ht="14.25" x14ac:dyDescent="0.2">
      <c r="A102" s="165"/>
      <c r="B102" s="166" t="s">
        <v>1</v>
      </c>
      <c r="C102" s="166"/>
      <c r="D102" s="166"/>
      <c r="E102" s="167">
        <f>E72+E75+E79+E85+E88+E94+E97</f>
        <v>1.0000000000000002</v>
      </c>
      <c r="F102" s="167"/>
      <c r="G102" s="174">
        <f>G72+G75+G79+G85+G88+G94+G97</f>
        <v>156.89333333333335</v>
      </c>
      <c r="H102" s="168">
        <f>H72+H75+H79+H85+H88+H94+H97</f>
        <v>6275.7333333333345</v>
      </c>
    </row>
    <row r="103" spans="1:8" s="14" customFormat="1" ht="14.25" x14ac:dyDescent="0.2">
      <c r="A103" s="161"/>
      <c r="B103" s="162" t="s">
        <v>414</v>
      </c>
      <c r="C103" s="163"/>
      <c r="D103" s="163"/>
      <c r="E103" s="33"/>
      <c r="G103" s="33"/>
      <c r="H103" s="164">
        <f>IFERROR(H102/'OSNOVNI PODATKI'!$D$184,0)</f>
        <v>0.12551466666666669</v>
      </c>
    </row>
    <row r="104" spans="1:8" ht="14.25" x14ac:dyDescent="0.2">
      <c r="A104" s="161"/>
      <c r="B104" s="162" t="s">
        <v>247</v>
      </c>
      <c r="C104" s="163"/>
      <c r="D104" s="163"/>
      <c r="E104" s="33"/>
      <c r="G104" s="33"/>
      <c r="H104" s="164">
        <f>IFERROR(H102/'OSNOVNI PODATKI'!$D$206,0)</f>
        <v>2.0576174863387981E-3</v>
      </c>
    </row>
  </sheetData>
  <mergeCells count="1">
    <mergeCell ref="B4:B5"/>
  </mergeCells>
  <pageMargins left="0.7" right="0.7" top="0.75" bottom="0.75" header="0.3" footer="0.3"/>
  <ignoredErrors>
    <ignoredError sqref="F90"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57A96-60E4-4F3B-9C5A-FDEF307CD543}">
  <sheetPr codeName="Sheet11"/>
  <dimension ref="A1:L97"/>
  <sheetViews>
    <sheetView workbookViewId="0">
      <selection activeCell="F11" sqref="F11"/>
    </sheetView>
  </sheetViews>
  <sheetFormatPr defaultColWidth="9.140625" defaultRowHeight="12.75" x14ac:dyDescent="0.2"/>
  <cols>
    <col min="1" max="1" width="8.140625" style="98" customWidth="1"/>
    <col min="2" max="2" width="15" style="98" customWidth="1"/>
    <col min="3" max="12" width="13.5703125" style="98" customWidth="1"/>
    <col min="13" max="14" width="9.140625" style="98"/>
    <col min="15" max="15" width="14.85546875" style="98" customWidth="1"/>
    <col min="16" max="16384" width="9.140625" style="98"/>
  </cols>
  <sheetData>
    <row r="1" spans="2:12" s="99" customFormat="1" ht="25.5" x14ac:dyDescent="0.2">
      <c r="B1" s="6" t="s">
        <v>418</v>
      </c>
      <c r="C1" s="4"/>
      <c r="D1" s="4"/>
      <c r="E1" s="4"/>
      <c r="F1" s="4"/>
      <c r="G1" s="4"/>
      <c r="H1" s="4"/>
      <c r="I1" s="5"/>
      <c r="J1" s="5"/>
      <c r="K1" s="5"/>
      <c r="L1" s="5"/>
    </row>
    <row r="2" spans="2:12" ht="14.25" x14ac:dyDescent="0.25">
      <c r="B2" s="10"/>
      <c r="C2" s="8"/>
      <c r="D2" s="8"/>
      <c r="E2" s="8"/>
      <c r="F2" s="8"/>
      <c r="G2" s="8"/>
      <c r="H2" s="8"/>
      <c r="I2" s="9"/>
      <c r="J2" s="9"/>
      <c r="K2" s="9"/>
      <c r="L2" s="9"/>
    </row>
    <row r="3" spans="2:12" ht="13.5" customHeight="1" x14ac:dyDescent="0.25">
      <c r="B3" s="7"/>
      <c r="C3" s="7"/>
      <c r="D3" s="7"/>
      <c r="E3" s="7"/>
      <c r="F3" s="7"/>
      <c r="G3" s="7"/>
      <c r="H3" s="7"/>
      <c r="I3" s="7"/>
      <c r="J3" s="7"/>
      <c r="K3" s="7"/>
      <c r="L3" s="9"/>
    </row>
    <row r="4" spans="2:12" ht="13.5" customHeight="1" x14ac:dyDescent="0.2">
      <c r="B4" s="1123" t="s">
        <v>91</v>
      </c>
      <c r="C4" s="109" t="s">
        <v>92</v>
      </c>
      <c r="D4" s="109"/>
      <c r="E4" s="109" t="s">
        <v>93</v>
      </c>
      <c r="F4" s="109"/>
      <c r="G4" s="109" t="s">
        <v>94</v>
      </c>
      <c r="H4" s="109"/>
      <c r="I4" s="109" t="s">
        <v>95</v>
      </c>
      <c r="J4" s="109"/>
      <c r="K4" s="109" t="s">
        <v>96</v>
      </c>
      <c r="L4" s="109"/>
    </row>
    <row r="5" spans="2:12" x14ac:dyDescent="0.2">
      <c r="B5" s="1124"/>
      <c r="C5" s="348" t="s">
        <v>97</v>
      </c>
      <c r="D5" s="348"/>
      <c r="E5" s="348" t="s">
        <v>98</v>
      </c>
      <c r="F5" s="348"/>
      <c r="G5" s="348" t="s">
        <v>99</v>
      </c>
      <c r="H5" s="348"/>
      <c r="I5" s="348" t="s">
        <v>100</v>
      </c>
      <c r="J5" s="348"/>
      <c r="K5" s="348" t="s">
        <v>101</v>
      </c>
      <c r="L5" s="348"/>
    </row>
    <row r="6" spans="2:12" x14ac:dyDescent="0.2">
      <c r="B6" s="349"/>
      <c r="C6" s="349"/>
      <c r="D6" s="349"/>
      <c r="E6" s="349"/>
      <c r="F6" s="349"/>
      <c r="G6" s="349"/>
      <c r="H6" s="349"/>
      <c r="I6" s="349"/>
      <c r="J6" s="349"/>
      <c r="K6" s="349"/>
      <c r="L6" s="349"/>
    </row>
    <row r="7" spans="2:12" x14ac:dyDescent="0.2">
      <c r="B7" s="470">
        <v>25000</v>
      </c>
      <c r="C7" s="470">
        <v>43</v>
      </c>
      <c r="D7" s="470">
        <v>51</v>
      </c>
      <c r="E7" s="470">
        <v>51</v>
      </c>
      <c r="F7" s="470">
        <v>60</v>
      </c>
      <c r="G7" s="470">
        <v>60</v>
      </c>
      <c r="H7" s="470">
        <v>68</v>
      </c>
      <c r="I7" s="470">
        <v>68</v>
      </c>
      <c r="J7" s="470">
        <v>75</v>
      </c>
      <c r="K7" s="470">
        <v>75</v>
      </c>
      <c r="L7" s="470">
        <v>84</v>
      </c>
    </row>
    <row r="8" spans="2:12" x14ac:dyDescent="0.2">
      <c r="B8" s="470">
        <v>35000</v>
      </c>
      <c r="C8" s="470">
        <v>56</v>
      </c>
      <c r="D8" s="470">
        <v>67</v>
      </c>
      <c r="E8" s="470">
        <v>67</v>
      </c>
      <c r="F8" s="470">
        <v>77</v>
      </c>
      <c r="G8" s="470">
        <v>77</v>
      </c>
      <c r="H8" s="470">
        <v>88</v>
      </c>
      <c r="I8" s="470">
        <v>88</v>
      </c>
      <c r="J8" s="470">
        <v>98</v>
      </c>
      <c r="K8" s="470">
        <v>98</v>
      </c>
      <c r="L8" s="470">
        <v>109</v>
      </c>
    </row>
    <row r="9" spans="2:12" x14ac:dyDescent="0.2">
      <c r="B9" s="470">
        <v>50000</v>
      </c>
      <c r="C9" s="470">
        <v>74</v>
      </c>
      <c r="D9" s="470">
        <v>88</v>
      </c>
      <c r="E9" s="470">
        <v>88</v>
      </c>
      <c r="F9" s="470">
        <v>102</v>
      </c>
      <c r="G9" s="470">
        <v>102</v>
      </c>
      <c r="H9" s="470">
        <v>116</v>
      </c>
      <c r="I9" s="470">
        <v>116</v>
      </c>
      <c r="J9" s="470">
        <v>129</v>
      </c>
      <c r="K9" s="470">
        <v>129</v>
      </c>
      <c r="L9" s="470">
        <v>143</v>
      </c>
    </row>
    <row r="10" spans="2:12" x14ac:dyDescent="0.2">
      <c r="B10" s="470">
        <v>75000</v>
      </c>
      <c r="C10" s="470">
        <v>101</v>
      </c>
      <c r="D10" s="470">
        <v>120</v>
      </c>
      <c r="E10" s="470">
        <v>120</v>
      </c>
      <c r="F10" s="470">
        <v>139</v>
      </c>
      <c r="G10" s="470">
        <v>139</v>
      </c>
      <c r="H10" s="470">
        <v>159</v>
      </c>
      <c r="I10" s="470">
        <v>159</v>
      </c>
      <c r="J10" s="470">
        <v>177</v>
      </c>
      <c r="K10" s="470">
        <v>177</v>
      </c>
      <c r="L10" s="470">
        <v>196</v>
      </c>
    </row>
    <row r="11" spans="2:12" x14ac:dyDescent="0.2">
      <c r="B11" s="470">
        <v>100000</v>
      </c>
      <c r="C11" s="470">
        <v>126</v>
      </c>
      <c r="D11" s="470">
        <v>150</v>
      </c>
      <c r="E11" s="470">
        <v>150</v>
      </c>
      <c r="F11" s="470">
        <v>174</v>
      </c>
      <c r="G11" s="470">
        <v>174</v>
      </c>
      <c r="H11" s="470">
        <v>198</v>
      </c>
      <c r="I11" s="470">
        <v>198</v>
      </c>
      <c r="J11" s="470">
        <v>220</v>
      </c>
      <c r="K11" s="470">
        <v>220</v>
      </c>
      <c r="L11" s="470">
        <v>245</v>
      </c>
    </row>
    <row r="12" spans="2:12" x14ac:dyDescent="0.2">
      <c r="B12" s="470">
        <v>150000</v>
      </c>
      <c r="C12" s="470">
        <v>172</v>
      </c>
      <c r="D12" s="470">
        <v>205</v>
      </c>
      <c r="E12" s="470">
        <v>205</v>
      </c>
      <c r="F12" s="470">
        <v>238</v>
      </c>
      <c r="G12" s="470">
        <v>238</v>
      </c>
      <c r="H12" s="470">
        <v>271</v>
      </c>
      <c r="I12" s="470">
        <v>271</v>
      </c>
      <c r="J12" s="470">
        <v>302</v>
      </c>
      <c r="K12" s="470">
        <v>302</v>
      </c>
      <c r="L12" s="470">
        <v>335</v>
      </c>
    </row>
    <row r="13" spans="2:12" x14ac:dyDescent="0.2">
      <c r="B13" s="470">
        <v>200000</v>
      </c>
      <c r="C13" s="470">
        <v>215</v>
      </c>
      <c r="D13" s="470">
        <v>256</v>
      </c>
      <c r="E13" s="470">
        <v>256</v>
      </c>
      <c r="F13" s="470">
        <v>297</v>
      </c>
      <c r="G13" s="470">
        <v>297</v>
      </c>
      <c r="H13" s="470">
        <v>339</v>
      </c>
      <c r="I13" s="470">
        <v>339</v>
      </c>
      <c r="J13" s="470">
        <v>377</v>
      </c>
      <c r="K13" s="470">
        <v>377</v>
      </c>
      <c r="L13" s="470">
        <v>418</v>
      </c>
    </row>
    <row r="14" spans="2:12" x14ac:dyDescent="0.2">
      <c r="B14" s="470">
        <v>300000</v>
      </c>
      <c r="C14" s="470">
        <v>294</v>
      </c>
      <c r="D14" s="470">
        <v>350</v>
      </c>
      <c r="E14" s="470">
        <v>350</v>
      </c>
      <c r="F14" s="470">
        <v>407</v>
      </c>
      <c r="G14" s="470">
        <v>407</v>
      </c>
      <c r="H14" s="470">
        <v>463</v>
      </c>
      <c r="I14" s="470">
        <v>463</v>
      </c>
      <c r="J14" s="470">
        <v>515</v>
      </c>
      <c r="K14" s="470">
        <v>515</v>
      </c>
      <c r="L14" s="470">
        <v>571</v>
      </c>
    </row>
    <row r="15" spans="2:12" x14ac:dyDescent="0.2">
      <c r="B15" s="470">
        <v>500000</v>
      </c>
      <c r="C15" s="470">
        <v>436</v>
      </c>
      <c r="D15" s="470">
        <v>519</v>
      </c>
      <c r="E15" s="470">
        <v>519</v>
      </c>
      <c r="F15" s="470">
        <v>602</v>
      </c>
      <c r="G15" s="470">
        <v>602</v>
      </c>
      <c r="H15" s="470">
        <v>686</v>
      </c>
      <c r="I15" s="470">
        <v>686</v>
      </c>
      <c r="J15" s="470">
        <v>763</v>
      </c>
      <c r="K15" s="470">
        <v>763</v>
      </c>
      <c r="L15" s="470">
        <v>846</v>
      </c>
    </row>
    <row r="16" spans="2:12" x14ac:dyDescent="0.2">
      <c r="B16" s="470">
        <v>750000</v>
      </c>
      <c r="C16" s="470">
        <v>595</v>
      </c>
      <c r="D16" s="470">
        <v>708</v>
      </c>
      <c r="E16" s="470">
        <v>708</v>
      </c>
      <c r="F16" s="470">
        <v>822</v>
      </c>
      <c r="G16" s="470">
        <v>822</v>
      </c>
      <c r="H16" s="470">
        <v>936</v>
      </c>
      <c r="I16" s="470">
        <v>936</v>
      </c>
      <c r="J16" s="470">
        <v>1041</v>
      </c>
      <c r="K16" s="470">
        <v>1041</v>
      </c>
      <c r="L16" s="470">
        <v>1154</v>
      </c>
    </row>
    <row r="17" spans="2:12" x14ac:dyDescent="0.2">
      <c r="B17" s="470">
        <v>1000000</v>
      </c>
      <c r="C17" s="470">
        <v>741</v>
      </c>
      <c r="D17" s="470">
        <v>882</v>
      </c>
      <c r="E17" s="470">
        <v>882</v>
      </c>
      <c r="F17" s="470">
        <v>1024</v>
      </c>
      <c r="G17" s="470">
        <v>1024</v>
      </c>
      <c r="H17" s="470">
        <v>1166</v>
      </c>
      <c r="I17" s="470">
        <v>1166</v>
      </c>
      <c r="J17" s="470">
        <v>1296</v>
      </c>
      <c r="K17" s="470">
        <v>1296</v>
      </c>
      <c r="L17" s="470">
        <v>1438</v>
      </c>
    </row>
    <row r="18" spans="2:12" x14ac:dyDescent="0.2">
      <c r="B18" s="470">
        <v>1500000</v>
      </c>
      <c r="C18" s="470">
        <v>1012</v>
      </c>
      <c r="D18" s="470">
        <v>1206</v>
      </c>
      <c r="E18" s="470">
        <v>1206</v>
      </c>
      <c r="F18" s="470">
        <v>1400</v>
      </c>
      <c r="G18" s="470">
        <v>1400</v>
      </c>
      <c r="H18" s="470">
        <v>1593</v>
      </c>
      <c r="I18" s="470">
        <v>1593</v>
      </c>
      <c r="J18" s="470">
        <v>1772</v>
      </c>
      <c r="K18" s="470">
        <v>1772</v>
      </c>
      <c r="L18" s="470">
        <v>1965</v>
      </c>
    </row>
    <row r="19" spans="2:12" x14ac:dyDescent="0.2">
      <c r="B19" s="470">
        <v>2000000</v>
      </c>
      <c r="C19" s="470">
        <v>1263</v>
      </c>
      <c r="D19" s="470">
        <v>1505</v>
      </c>
      <c r="E19" s="470">
        <v>1505</v>
      </c>
      <c r="F19" s="470">
        <v>1746</v>
      </c>
      <c r="G19" s="470">
        <v>1746</v>
      </c>
      <c r="H19" s="470">
        <v>1988</v>
      </c>
      <c r="I19" s="470">
        <v>1988</v>
      </c>
      <c r="J19" s="470">
        <v>2211</v>
      </c>
      <c r="K19" s="470">
        <v>2211</v>
      </c>
      <c r="L19" s="470">
        <v>2452</v>
      </c>
    </row>
    <row r="20" spans="2:12" x14ac:dyDescent="0.2">
      <c r="B20" s="470">
        <v>3000000</v>
      </c>
      <c r="C20" s="470">
        <v>1724</v>
      </c>
      <c r="D20" s="470">
        <v>2053</v>
      </c>
      <c r="E20" s="470">
        <v>2053</v>
      </c>
      <c r="F20" s="470">
        <v>2383</v>
      </c>
      <c r="G20" s="470">
        <v>2383</v>
      </c>
      <c r="H20" s="470">
        <v>2713</v>
      </c>
      <c r="I20" s="470">
        <v>2713</v>
      </c>
      <c r="J20" s="470">
        <v>3017</v>
      </c>
      <c r="K20" s="470">
        <v>3017</v>
      </c>
      <c r="L20" s="470">
        <v>3346</v>
      </c>
    </row>
    <row r="21" spans="2:12" x14ac:dyDescent="0.2">
      <c r="B21" s="470">
        <v>5000000</v>
      </c>
      <c r="C21" s="470">
        <v>2545</v>
      </c>
      <c r="D21" s="470">
        <v>3031</v>
      </c>
      <c r="E21" s="470">
        <v>3031</v>
      </c>
      <c r="F21" s="470">
        <v>3518</v>
      </c>
      <c r="G21" s="470">
        <v>3518</v>
      </c>
      <c r="H21" s="470">
        <v>4004</v>
      </c>
      <c r="I21" s="470">
        <v>4004</v>
      </c>
      <c r="J21" s="470">
        <v>4453</v>
      </c>
      <c r="K21" s="470">
        <v>4453</v>
      </c>
      <c r="L21" s="470">
        <v>4940</v>
      </c>
    </row>
    <row r="22" spans="2:12" x14ac:dyDescent="0.2">
      <c r="B22" s="470">
        <v>7500000</v>
      </c>
      <c r="C22" s="470">
        <v>3480</v>
      </c>
      <c r="D22" s="470">
        <v>4146</v>
      </c>
      <c r="E22" s="470">
        <v>4146</v>
      </c>
      <c r="F22" s="470">
        <v>4811</v>
      </c>
      <c r="G22" s="470">
        <v>4811</v>
      </c>
      <c r="H22" s="470">
        <v>5476</v>
      </c>
      <c r="I22" s="470">
        <v>5476</v>
      </c>
      <c r="J22" s="470">
        <v>6090</v>
      </c>
      <c r="K22" s="470">
        <v>6090</v>
      </c>
      <c r="L22" s="470">
        <v>6756</v>
      </c>
    </row>
    <row r="23" spans="2:12" x14ac:dyDescent="0.2">
      <c r="B23" s="470">
        <v>10000000</v>
      </c>
      <c r="C23" s="470">
        <v>4345</v>
      </c>
      <c r="D23" s="470">
        <v>5175</v>
      </c>
      <c r="E23" s="470">
        <v>5175</v>
      </c>
      <c r="F23" s="470">
        <v>6006</v>
      </c>
      <c r="G23" s="470">
        <v>6006</v>
      </c>
      <c r="H23" s="470">
        <v>6836</v>
      </c>
      <c r="I23" s="470">
        <v>6836</v>
      </c>
      <c r="J23" s="470">
        <v>7603</v>
      </c>
      <c r="K23" s="470">
        <v>7603</v>
      </c>
      <c r="L23" s="470">
        <v>8434</v>
      </c>
    </row>
    <row r="24" spans="2:12" x14ac:dyDescent="0.2">
      <c r="B24" s="470">
        <v>15000000</v>
      </c>
      <c r="C24" s="470">
        <v>5936</v>
      </c>
      <c r="D24" s="470">
        <v>7071</v>
      </c>
      <c r="E24" s="470">
        <v>7071</v>
      </c>
      <c r="F24" s="470">
        <v>8206</v>
      </c>
      <c r="G24" s="470">
        <v>8206</v>
      </c>
      <c r="H24" s="470">
        <v>9341</v>
      </c>
      <c r="I24" s="470">
        <v>9341</v>
      </c>
      <c r="J24" s="470">
        <v>10388</v>
      </c>
      <c r="K24" s="470">
        <v>10388</v>
      </c>
      <c r="L24" s="470">
        <v>11523</v>
      </c>
    </row>
    <row r="25" spans="2:12" x14ac:dyDescent="0.2">
      <c r="B25" s="470">
        <v>20000000</v>
      </c>
      <c r="C25" s="470">
        <v>7404</v>
      </c>
      <c r="D25" s="470">
        <v>8820</v>
      </c>
      <c r="E25" s="470">
        <v>8820</v>
      </c>
      <c r="F25" s="470">
        <v>10235</v>
      </c>
      <c r="G25" s="470">
        <v>10235</v>
      </c>
      <c r="H25" s="470">
        <v>11651</v>
      </c>
      <c r="I25" s="470">
        <v>11651</v>
      </c>
      <c r="J25" s="470">
        <v>12957</v>
      </c>
      <c r="K25" s="470">
        <v>12957</v>
      </c>
      <c r="L25" s="470">
        <v>14373</v>
      </c>
    </row>
    <row r="26" spans="2:12" x14ac:dyDescent="0.2">
      <c r="B26" s="470">
        <v>25000000</v>
      </c>
      <c r="C26" s="470">
        <v>8785</v>
      </c>
      <c r="D26" s="470">
        <v>10464</v>
      </c>
      <c r="E26" s="470">
        <v>10464</v>
      </c>
      <c r="F26" s="470">
        <v>12143</v>
      </c>
      <c r="G26" s="470">
        <v>12143</v>
      </c>
      <c r="H26" s="470">
        <v>13823</v>
      </c>
      <c r="I26" s="470">
        <v>13823</v>
      </c>
      <c r="J26" s="470">
        <v>15373</v>
      </c>
      <c r="K26" s="470">
        <v>15373</v>
      </c>
      <c r="L26" s="470">
        <v>17053</v>
      </c>
    </row>
    <row r="27" spans="2:12" s="2" customFormat="1" x14ac:dyDescent="0.2">
      <c r="B27" s="470">
        <v>50000000</v>
      </c>
      <c r="C27" s="470">
        <v>13860</v>
      </c>
      <c r="D27" s="470">
        <v>16500</v>
      </c>
      <c r="E27" s="470">
        <v>16500</v>
      </c>
      <c r="F27" s="470">
        <v>19140</v>
      </c>
      <c r="G27" s="470">
        <v>19140</v>
      </c>
      <c r="H27" s="470">
        <v>21780</v>
      </c>
      <c r="I27" s="470">
        <v>21780</v>
      </c>
      <c r="J27" s="470">
        <v>24200</v>
      </c>
      <c r="K27" s="470">
        <v>24200</v>
      </c>
      <c r="L27" s="470">
        <v>26950</v>
      </c>
    </row>
    <row r="28" spans="2:12" s="2" customFormat="1" x14ac:dyDescent="0.2">
      <c r="B28" s="470">
        <v>100000000</v>
      </c>
      <c r="C28" s="470">
        <v>22680</v>
      </c>
      <c r="D28" s="470">
        <v>27000</v>
      </c>
      <c r="E28" s="470">
        <v>27000</v>
      </c>
      <c r="F28" s="470">
        <v>31320</v>
      </c>
      <c r="G28" s="470">
        <v>31320</v>
      </c>
      <c r="H28" s="470">
        <v>35640</v>
      </c>
      <c r="I28" s="470">
        <v>35640</v>
      </c>
      <c r="J28" s="470">
        <v>39600</v>
      </c>
      <c r="K28" s="470">
        <v>39600</v>
      </c>
      <c r="L28" s="470">
        <v>44100</v>
      </c>
    </row>
    <row r="29" spans="2:12" s="2" customFormat="1" x14ac:dyDescent="0.2">
      <c r="B29" s="470">
        <v>150000000</v>
      </c>
      <c r="C29" s="470">
        <v>30240</v>
      </c>
      <c r="D29" s="470">
        <v>36000</v>
      </c>
      <c r="E29" s="470">
        <v>36000</v>
      </c>
      <c r="F29" s="470">
        <v>41760</v>
      </c>
      <c r="G29" s="470">
        <v>41760</v>
      </c>
      <c r="H29" s="470">
        <v>47520</v>
      </c>
      <c r="I29" s="470">
        <v>47520</v>
      </c>
      <c r="J29" s="470">
        <v>52800</v>
      </c>
      <c r="K29" s="470">
        <v>52800</v>
      </c>
      <c r="L29" s="470">
        <v>58800</v>
      </c>
    </row>
    <row r="30" spans="2:12" s="2" customFormat="1" x14ac:dyDescent="0.2">
      <c r="B30" s="470">
        <v>200000000</v>
      </c>
      <c r="C30" s="470">
        <v>35280</v>
      </c>
      <c r="D30" s="470">
        <v>42000.000000000007</v>
      </c>
      <c r="E30" s="470">
        <v>42000.000000000007</v>
      </c>
      <c r="F30" s="470">
        <v>48720.000000000007</v>
      </c>
      <c r="G30" s="470">
        <v>48720.000000000007</v>
      </c>
      <c r="H30" s="470">
        <v>55440.000000000007</v>
      </c>
      <c r="I30" s="470">
        <v>55440.000000000007</v>
      </c>
      <c r="J30" s="470">
        <v>61600.000000000007</v>
      </c>
      <c r="K30" s="470">
        <v>61600.000000000007</v>
      </c>
      <c r="L30" s="470">
        <v>68600</v>
      </c>
    </row>
    <row r="33" spans="2:12" s="2" customFormat="1" ht="14.25" x14ac:dyDescent="0.25">
      <c r="B33" s="461"/>
      <c r="C33" s="462"/>
      <c r="D33" s="462"/>
      <c r="E33" s="463"/>
      <c r="F33" s="462"/>
      <c r="G33" s="462"/>
      <c r="H33" s="7"/>
      <c r="I33" s="7"/>
      <c r="J33" s="7"/>
      <c r="K33" s="7"/>
      <c r="L33" s="7"/>
    </row>
    <row r="34" spans="2:12" s="101" customFormat="1" x14ac:dyDescent="0.2">
      <c r="B34" s="365" t="s">
        <v>412</v>
      </c>
      <c r="C34" s="365"/>
      <c r="D34" s="365"/>
      <c r="E34" s="365"/>
      <c r="F34" s="365"/>
      <c r="G34" s="458"/>
    </row>
    <row r="35" spans="2:12" s="101" customFormat="1" x14ac:dyDescent="0.2">
      <c r="B35" s="459" t="s">
        <v>127</v>
      </c>
      <c r="C35" s="464"/>
      <c r="D35" s="464"/>
      <c r="E35" s="465"/>
      <c r="F35" s="466">
        <f>'OSNOVNI PODATKI'!C240</f>
        <v>0</v>
      </c>
      <c r="G35" s="458"/>
    </row>
    <row r="36" spans="2:12" s="101" customFormat="1" x14ac:dyDescent="0.2">
      <c r="B36" s="460" t="s">
        <v>150</v>
      </c>
      <c r="C36" s="467"/>
      <c r="D36" s="467"/>
      <c r="E36" s="468"/>
      <c r="F36" s="469">
        <f>'OSNOVNI PODATKI'!D240</f>
        <v>0</v>
      </c>
      <c r="G36" s="458"/>
    </row>
    <row r="37" spans="2:12" s="101" customFormat="1" x14ac:dyDescent="0.2">
      <c r="B37" s="470" t="s">
        <v>33</v>
      </c>
      <c r="C37" s="467"/>
      <c r="D37" s="471"/>
      <c r="E37" s="471"/>
      <c r="F37" s="471" t="str">
        <f>IFERROR(MATCH(F36,C4:L4),"/")</f>
        <v>/</v>
      </c>
      <c r="G37" s="458"/>
    </row>
    <row r="38" spans="2:12" s="101" customFormat="1" x14ac:dyDescent="0.2">
      <c r="B38" s="470" t="s">
        <v>151</v>
      </c>
      <c r="C38" s="467"/>
      <c r="D38" s="471"/>
      <c r="E38" s="471"/>
      <c r="F38" s="471" t="str">
        <f>IFERROR(F37+1,"/")</f>
        <v>/</v>
      </c>
      <c r="G38" s="458"/>
    </row>
    <row r="39" spans="2:12" s="101" customFormat="1" x14ac:dyDescent="0.2">
      <c r="B39" s="470" t="s">
        <v>34</v>
      </c>
      <c r="C39" s="467"/>
      <c r="D39" s="471"/>
      <c r="E39" s="471"/>
      <c r="F39" s="471" t="str">
        <f>IF(OR(F35&gt;B30,F35&lt;B7),"/",IFERROR(MATCH(F35,B7:B30),"/"))</f>
        <v>/</v>
      </c>
      <c r="G39" s="458"/>
    </row>
    <row r="40" spans="2:12" s="101" customFormat="1" x14ac:dyDescent="0.2">
      <c r="B40" s="470" t="s">
        <v>35</v>
      </c>
      <c r="C40" s="467"/>
      <c r="D40" s="471"/>
      <c r="E40" s="471"/>
      <c r="F40" s="471" t="str">
        <f>IFERROR(F39+1,"/")</f>
        <v>/</v>
      </c>
      <c r="G40" s="458"/>
    </row>
    <row r="41" spans="2:12" s="101" customFormat="1" x14ac:dyDescent="0.2">
      <c r="B41" s="470" t="s">
        <v>153</v>
      </c>
      <c r="C41" s="467"/>
      <c r="D41" s="471"/>
      <c r="E41" s="471"/>
      <c r="F41" s="471">
        <f>IFERROR(INDEX($C$7:$L$30,F39,F37),0)</f>
        <v>0</v>
      </c>
      <c r="G41" s="458"/>
    </row>
    <row r="42" spans="2:12" s="101" customFormat="1" x14ac:dyDescent="0.2">
      <c r="B42" s="470" t="s">
        <v>110</v>
      </c>
      <c r="C42" s="467"/>
      <c r="D42" s="471"/>
      <c r="E42" s="471"/>
      <c r="F42" s="471">
        <f>IFERROR(INDEX($C$7:$L$30,F40,F37),0)</f>
        <v>0</v>
      </c>
      <c r="G42" s="458"/>
    </row>
    <row r="43" spans="2:12" s="101" customFormat="1" x14ac:dyDescent="0.2">
      <c r="B43" s="470" t="s">
        <v>122</v>
      </c>
      <c r="C43" s="467"/>
      <c r="D43" s="471"/>
      <c r="E43" s="471"/>
      <c r="F43" s="471">
        <f>IFERROR(INDEX($B$7:$B$30,F39),0)</f>
        <v>0</v>
      </c>
      <c r="G43" s="458"/>
    </row>
    <row r="44" spans="2:12" s="101" customFormat="1" x14ac:dyDescent="0.2">
      <c r="B44" s="470" t="s">
        <v>154</v>
      </c>
      <c r="C44" s="467"/>
      <c r="D44" s="471"/>
      <c r="E44" s="471"/>
      <c r="F44" s="471">
        <f>IFERROR(INDEX($B$7:$B$30,F40),0)</f>
        <v>0</v>
      </c>
      <c r="G44" s="458"/>
    </row>
    <row r="45" spans="2:12" s="101" customFormat="1" x14ac:dyDescent="0.2">
      <c r="B45" s="505" t="s">
        <v>155</v>
      </c>
      <c r="C45" s="506"/>
      <c r="D45" s="507"/>
      <c r="E45" s="507"/>
      <c r="F45" s="507">
        <f>IFERROR(FORECAST(F35,F41:F42,F43:F44),0)</f>
        <v>0</v>
      </c>
      <c r="G45" s="458"/>
    </row>
    <row r="46" spans="2:12" x14ac:dyDescent="0.2">
      <c r="B46" s="524"/>
      <c r="C46" s="525"/>
      <c r="D46" s="526"/>
      <c r="E46" s="526"/>
      <c r="F46" s="527" t="str">
        <f>IF(F39="/","NI DOLOČENO",F45)</f>
        <v>NI DOLOČENO</v>
      </c>
      <c r="G46" s="478"/>
    </row>
    <row r="47" spans="2:12" s="101" customFormat="1" x14ac:dyDescent="0.2">
      <c r="B47" s="475"/>
      <c r="C47" s="458"/>
      <c r="D47" s="476"/>
      <c r="E47" s="476"/>
      <c r="F47" s="476"/>
      <c r="G47" s="458"/>
    </row>
    <row r="48" spans="2:12" s="101" customFormat="1" x14ac:dyDescent="0.2">
      <c r="B48" s="479" t="s">
        <v>152</v>
      </c>
      <c r="C48" s="464"/>
      <c r="D48" s="480"/>
      <c r="E48" s="480"/>
      <c r="F48" s="480">
        <f>IFERROR(INDEX($C$7:$L$30,F39,F38),0)</f>
        <v>0</v>
      </c>
      <c r="G48" s="458"/>
    </row>
    <row r="49" spans="1:8" s="101" customFormat="1" x14ac:dyDescent="0.2">
      <c r="B49" s="470" t="s">
        <v>110</v>
      </c>
      <c r="C49" s="467"/>
      <c r="D49" s="471"/>
      <c r="E49" s="471"/>
      <c r="F49" s="471">
        <f>IFERROR(INDEX($C$7:$L$30,F40,F38),0)</f>
        <v>0</v>
      </c>
      <c r="G49" s="458"/>
    </row>
    <row r="50" spans="1:8" s="101" customFormat="1" x14ac:dyDescent="0.2">
      <c r="B50" s="505" t="s">
        <v>156</v>
      </c>
      <c r="C50" s="506"/>
      <c r="D50" s="507"/>
      <c r="E50" s="507"/>
      <c r="F50" s="507">
        <f>IFERROR(FORECAST(F35,F48:F49,F43:F44),0)</f>
        <v>0</v>
      </c>
      <c r="G50" s="458"/>
    </row>
    <row r="51" spans="1:8" x14ac:dyDescent="0.2">
      <c r="B51" s="526"/>
      <c r="C51" s="525"/>
      <c r="D51" s="526"/>
      <c r="E51" s="526"/>
      <c r="F51" s="527" t="str">
        <f>IF(F39="/","NI DOLOČENO",F50)</f>
        <v>NI DOLOČENO</v>
      </c>
      <c r="G51" s="478"/>
    </row>
    <row r="55" spans="1:8" s="101" customFormat="1" x14ac:dyDescent="0.2">
      <c r="A55" s="366"/>
      <c r="B55" s="366" t="s">
        <v>413</v>
      </c>
      <c r="C55" s="366"/>
      <c r="D55" s="366"/>
      <c r="E55" s="366"/>
      <c r="F55" s="366"/>
      <c r="G55" s="366"/>
    </row>
    <row r="56" spans="1:8" s="101" customFormat="1" x14ac:dyDescent="0.2">
      <c r="A56" s="367"/>
      <c r="B56" s="367"/>
      <c r="C56" s="367"/>
      <c r="D56" s="367"/>
      <c r="E56" s="367"/>
      <c r="F56" s="458"/>
      <c r="G56" s="367"/>
      <c r="H56" s="367"/>
    </row>
    <row r="57" spans="1:8" s="101" customFormat="1" x14ac:dyDescent="0.2">
      <c r="A57" s="458"/>
      <c r="B57" s="470" t="str">
        <f>'OSNOVNI PODATKI'!$B$255</f>
        <v>PRIBITEK ZA PRENOVO</v>
      </c>
      <c r="C57" s="467"/>
      <c r="D57" s="471"/>
      <c r="E57" s="471"/>
      <c r="F57" s="520">
        <f>'OSNOVNI PODATKI'!$E$255</f>
        <v>0</v>
      </c>
      <c r="G57" s="467"/>
      <c r="H57" s="467"/>
    </row>
    <row r="58" spans="1:8" s="101" customFormat="1" x14ac:dyDescent="0.2">
      <c r="A58" s="458"/>
      <c r="B58" s="470" t="str">
        <f>'OSNOVNI PODATKI'!$B$257</f>
        <v>UPORABA BIM PROCESOV</v>
      </c>
      <c r="C58" s="467"/>
      <c r="D58" s="471"/>
      <c r="E58" s="471"/>
      <c r="F58" s="521">
        <f>'OSNOVNI PODATKI'!$E$257</f>
        <v>0</v>
      </c>
      <c r="G58" s="467"/>
      <c r="H58" s="467"/>
    </row>
    <row r="59" spans="1:8" s="101" customFormat="1" x14ac:dyDescent="0.2">
      <c r="A59" s="458"/>
      <c r="B59" s="470" t="str">
        <f>'OSNOVNI PODATKI'!$B$258</f>
        <v>VKLJUČEVANJE DRUGIH IZVAJALCEV V POGODBO</v>
      </c>
      <c r="C59" s="467"/>
      <c r="D59" s="471"/>
      <c r="E59" s="471"/>
      <c r="F59" s="520">
        <f>'OSNOVNI PODATKI'!$E$258</f>
        <v>0</v>
      </c>
      <c r="G59" s="467"/>
      <c r="H59" s="467"/>
    </row>
    <row r="60" spans="1:8" s="101" customFormat="1" x14ac:dyDescent="0.2">
      <c r="A60" s="458"/>
      <c r="B60" s="470" t="str">
        <f>'OSNOVNI PODATKI'!$B$259</f>
        <v>GRADBENI NADZOR</v>
      </c>
      <c r="C60" s="467"/>
      <c r="D60" s="471"/>
      <c r="E60" s="471"/>
      <c r="F60" s="520">
        <f>IF('OSNOVNI PODATKI'!$E$259=TRUE,20%,0%)</f>
        <v>0</v>
      </c>
      <c r="G60" s="467"/>
      <c r="H60" s="467"/>
    </row>
    <row r="61" spans="1:8" s="101" customFormat="1" x14ac:dyDescent="0.2">
      <c r="B61" s="110" t="str">
        <f>'OSNOVNI PODATKI'!$B$264</f>
        <v>ZA INŽENIRSKI OBJEKT JE POTREBNA ZASNOVA GK</v>
      </c>
      <c r="C61" s="358"/>
      <c r="D61" s="109"/>
      <c r="E61" s="109"/>
      <c r="F61" s="508">
        <f>'OSNOVNI PODATKI'!$E$264</f>
        <v>0</v>
      </c>
      <c r="G61" s="358"/>
      <c r="H61" s="358"/>
    </row>
    <row r="62" spans="1:8" s="101" customFormat="1" x14ac:dyDescent="0.2">
      <c r="B62" s="110" t="str">
        <f>'OSNOVNI PODATKI'!$B$265</f>
        <v>NADPOVPREČEN OBSEG RISB ZA INŽENIRSKE OBJEKTE</v>
      </c>
      <c r="C62" s="358"/>
      <c r="D62" s="109"/>
      <c r="E62" s="109"/>
      <c r="F62" s="508">
        <f>'OSNOVNI PODATKI'!$E$265</f>
        <v>0</v>
      </c>
      <c r="G62" s="358"/>
      <c r="H62" s="358"/>
    </row>
    <row r="63" spans="1:8" s="2" customFormat="1" x14ac:dyDescent="0.2">
      <c r="A63" s="458"/>
      <c r="B63" s="365"/>
      <c r="C63" s="365"/>
      <c r="D63" s="365"/>
      <c r="E63" s="365"/>
      <c r="F63" s="365"/>
      <c r="G63" s="365"/>
      <c r="H63" s="365"/>
    </row>
    <row r="64" spans="1:8" s="13" customFormat="1" ht="26.25" x14ac:dyDescent="0.25">
      <c r="A64" s="528"/>
      <c r="B64" s="529"/>
      <c r="C64" s="529"/>
      <c r="D64" s="529"/>
      <c r="E64" s="530" t="s">
        <v>31</v>
      </c>
      <c r="F64" s="531" t="s">
        <v>442</v>
      </c>
      <c r="G64" s="532" t="s">
        <v>76</v>
      </c>
      <c r="H64" s="533" t="s">
        <v>90</v>
      </c>
    </row>
    <row r="65" spans="1:8" s="14" customFormat="1" ht="14.25" x14ac:dyDescent="0.2">
      <c r="A65" s="132" t="s">
        <v>38</v>
      </c>
      <c r="B65" s="133" t="s">
        <v>39</v>
      </c>
      <c r="C65" s="133"/>
      <c r="D65" s="133"/>
      <c r="E65" s="134"/>
      <c r="F65" s="134"/>
      <c r="G65" s="135"/>
      <c r="H65" s="136"/>
    </row>
    <row r="66" spans="1:8" s="14" customFormat="1" ht="14.25" x14ac:dyDescent="0.2">
      <c r="A66" s="115" t="s">
        <v>40</v>
      </c>
      <c r="B66" s="127" t="s">
        <v>85</v>
      </c>
      <c r="C66" s="127"/>
      <c r="D66" s="127"/>
      <c r="E66" s="116"/>
      <c r="F66" s="116"/>
      <c r="G66" s="125"/>
      <c r="H66" s="117"/>
    </row>
    <row r="67" spans="1:8" s="14" customFormat="1" ht="14.25" x14ac:dyDescent="0.2">
      <c r="A67" s="143" t="s">
        <v>41</v>
      </c>
      <c r="B67" s="144" t="s">
        <v>86</v>
      </c>
      <c r="C67" s="144"/>
      <c r="D67" s="144"/>
      <c r="E67" s="145"/>
      <c r="F67" s="145"/>
      <c r="G67" s="120"/>
      <c r="H67" s="121" t="str">
        <f>IF(I67=TRUE,G67*'VREDNOST NU'!#REF!,"")</f>
        <v/>
      </c>
    </row>
    <row r="68" spans="1:8" s="14" customFormat="1" ht="14.25" x14ac:dyDescent="0.2">
      <c r="A68" s="142" t="s">
        <v>42</v>
      </c>
      <c r="B68" s="133" t="s">
        <v>43</v>
      </c>
      <c r="C68" s="133"/>
      <c r="D68" s="133"/>
      <c r="E68" s="134">
        <f>SUM(E69:E71)</f>
        <v>0.02</v>
      </c>
      <c r="F68" s="134">
        <f>SUM(F69:F71)</f>
        <v>0.02</v>
      </c>
      <c r="G68" s="135">
        <f>SUM(G69:G71)</f>
        <v>0</v>
      </c>
      <c r="H68" s="136">
        <f>SUM(H69:H71)</f>
        <v>0</v>
      </c>
    </row>
    <row r="69" spans="1:8" s="14" customFormat="1" ht="14.25" x14ac:dyDescent="0.2">
      <c r="A69" s="118" t="s">
        <v>44</v>
      </c>
      <c r="B69" s="126" t="s">
        <v>87</v>
      </c>
      <c r="C69" s="126"/>
      <c r="D69" s="126"/>
      <c r="E69" s="116">
        <v>0.01</v>
      </c>
      <c r="F69" s="510">
        <f>E69*(100%+$F$57+$F$59)</f>
        <v>0.01</v>
      </c>
      <c r="G69" s="125">
        <f>F69*'OSNOVNI PODATKI'!$I$240</f>
        <v>0</v>
      </c>
      <c r="H69" s="117">
        <f>+G69*'ARHIGRAM 5'!$I$17</f>
        <v>0</v>
      </c>
    </row>
    <row r="70" spans="1:8" s="14" customFormat="1" ht="14.25" x14ac:dyDescent="0.2">
      <c r="A70" s="118" t="s">
        <v>45</v>
      </c>
      <c r="B70" s="126" t="s">
        <v>88</v>
      </c>
      <c r="C70" s="126"/>
      <c r="D70" s="126"/>
      <c r="E70" s="116">
        <v>5.0000000000000001E-3</v>
      </c>
      <c r="F70" s="116">
        <f>E70*(100%+$F$57+$F$59)</f>
        <v>5.0000000000000001E-3</v>
      </c>
      <c r="G70" s="125">
        <f>F70*'OSNOVNI PODATKI'!$I$240</f>
        <v>0</v>
      </c>
      <c r="H70" s="117">
        <f>+G70*'ARHIGRAM 5'!$I$17</f>
        <v>0</v>
      </c>
    </row>
    <row r="71" spans="1:8" s="14" customFormat="1" ht="14.25" x14ac:dyDescent="0.2">
      <c r="A71" s="148" t="s">
        <v>46</v>
      </c>
      <c r="B71" s="149" t="s">
        <v>741</v>
      </c>
      <c r="C71" s="149"/>
      <c r="D71" s="149"/>
      <c r="E71" s="145">
        <v>5.0000000000000001E-3</v>
      </c>
      <c r="F71" s="145">
        <f>E71*(100%+$F$57+$F$59)</f>
        <v>5.0000000000000001E-3</v>
      </c>
      <c r="G71" s="120">
        <f>F71*'OSNOVNI PODATKI'!$I$240</f>
        <v>0</v>
      </c>
      <c r="H71" s="121">
        <f>+G71*'ARHIGRAM 5'!$I$17</f>
        <v>0</v>
      </c>
    </row>
    <row r="72" spans="1:8" s="14" customFormat="1" ht="14.25" x14ac:dyDescent="0.2">
      <c r="A72" s="146">
        <v>2</v>
      </c>
      <c r="B72" s="133" t="s">
        <v>47</v>
      </c>
      <c r="C72" s="133"/>
      <c r="D72" s="133"/>
      <c r="E72" s="134">
        <f>+E73+E74+E75+E76+E77</f>
        <v>0.78</v>
      </c>
      <c r="F72" s="134">
        <f>+F73+F74+F75+F76+F77</f>
        <v>0.78</v>
      </c>
      <c r="G72" s="147">
        <f>SUM(G73:G77)</f>
        <v>0</v>
      </c>
      <c r="H72" s="136">
        <f>SUM(H73:H77)</f>
        <v>0</v>
      </c>
    </row>
    <row r="73" spans="1:8" s="14" customFormat="1" ht="14.25" x14ac:dyDescent="0.2">
      <c r="A73" s="118" t="s">
        <v>70</v>
      </c>
      <c r="B73" s="126" t="s">
        <v>124</v>
      </c>
      <c r="C73" s="126"/>
      <c r="D73" s="126"/>
      <c r="E73" s="129">
        <v>0.2</v>
      </c>
      <c r="F73" s="116">
        <f>E73*(100%+$F$57+$F$58+$F$59)+F61</f>
        <v>0.2</v>
      </c>
      <c r="G73" s="125">
        <f>F73*'OSNOVNI PODATKI'!$I$240</f>
        <v>0</v>
      </c>
      <c r="H73" s="117">
        <f>+G73*'ARHIGRAM 5'!$I$17</f>
        <v>0</v>
      </c>
    </row>
    <row r="74" spans="1:8" s="14" customFormat="1" ht="14.25" x14ac:dyDescent="0.2">
      <c r="A74" s="130" t="s">
        <v>71</v>
      </c>
      <c r="B74" s="131" t="s">
        <v>617</v>
      </c>
      <c r="C74" s="131"/>
      <c r="D74" s="131"/>
      <c r="E74" s="129">
        <v>0.25</v>
      </c>
      <c r="F74" s="129">
        <f t="shared" ref="F74:F77" si="0">E74*(100%+$F$57+$F$58+$F$59)</f>
        <v>0.25</v>
      </c>
      <c r="G74" s="125">
        <f>F74*'OSNOVNI PODATKI'!$I$240</f>
        <v>0</v>
      </c>
      <c r="H74" s="117">
        <f>+G74*'ARHIGRAM 5'!$I$17</f>
        <v>0</v>
      </c>
    </row>
    <row r="75" spans="1:8" s="14" customFormat="1" ht="14.25" x14ac:dyDescent="0.2">
      <c r="A75" s="130" t="s">
        <v>72</v>
      </c>
      <c r="B75" s="131" t="s">
        <v>1074</v>
      </c>
      <c r="C75" s="131"/>
      <c r="D75" s="131"/>
      <c r="E75" s="129">
        <v>0.05</v>
      </c>
      <c r="F75" s="129">
        <f t="shared" si="0"/>
        <v>0.05</v>
      </c>
      <c r="G75" s="125">
        <f>F75*'OSNOVNI PODATKI'!$I$240</f>
        <v>0</v>
      </c>
      <c r="H75" s="117">
        <f>+G75*'ARHIGRAM 5'!$I$17</f>
        <v>0</v>
      </c>
    </row>
    <row r="76" spans="1:8" s="14" customFormat="1" ht="14.25" x14ac:dyDescent="0.2">
      <c r="A76" s="130" t="s">
        <v>125</v>
      </c>
      <c r="B76" s="131" t="s">
        <v>618</v>
      </c>
      <c r="C76" s="131"/>
      <c r="D76" s="131"/>
      <c r="E76" s="129">
        <f>15%</f>
        <v>0.15</v>
      </c>
      <c r="F76" s="129">
        <f>E76*(100%+$F$57+$F$58+$F$59)+F62</f>
        <v>0.15</v>
      </c>
      <c r="G76" s="125">
        <f>F76*'OSNOVNI PODATKI'!$I$240</f>
        <v>0</v>
      </c>
      <c r="H76" s="117">
        <f>+G76*'ARHIGRAM 5'!$I$17</f>
        <v>0</v>
      </c>
    </row>
    <row r="77" spans="1:8" s="14" customFormat="1" ht="14.25" x14ac:dyDescent="0.2">
      <c r="A77" s="151" t="s">
        <v>126</v>
      </c>
      <c r="B77" s="152" t="s">
        <v>742</v>
      </c>
      <c r="C77" s="152"/>
      <c r="D77" s="152"/>
      <c r="E77" s="153">
        <v>0.13</v>
      </c>
      <c r="F77" s="153">
        <f t="shared" si="0"/>
        <v>0.13</v>
      </c>
      <c r="G77" s="120">
        <f>F77*'OSNOVNI PODATKI'!$I$240</f>
        <v>0</v>
      </c>
      <c r="H77" s="121">
        <f>+G77*'ARHIGRAM 5'!$I$17</f>
        <v>0</v>
      </c>
    </row>
    <row r="78" spans="1:8" s="14" customFormat="1" ht="14.25" x14ac:dyDescent="0.2">
      <c r="A78" s="150" t="s">
        <v>58</v>
      </c>
      <c r="B78" s="133" t="s">
        <v>801</v>
      </c>
      <c r="C78" s="133"/>
      <c r="D78" s="133"/>
      <c r="E78" s="134">
        <f>SUM(E79:E80)</f>
        <v>0.04</v>
      </c>
      <c r="F78" s="134">
        <f>SUM(F79:F80)</f>
        <v>0.04</v>
      </c>
      <c r="G78" s="135">
        <f>SUM(G79:G80)</f>
        <v>0</v>
      </c>
      <c r="H78" s="136">
        <f>SUM(H79:H80)</f>
        <v>0</v>
      </c>
    </row>
    <row r="79" spans="1:8" s="14" customFormat="1" ht="14.25" x14ac:dyDescent="0.2">
      <c r="A79" s="119" t="s">
        <v>59</v>
      </c>
      <c r="B79" s="125" t="s">
        <v>743</v>
      </c>
      <c r="C79" s="125"/>
      <c r="D79" s="125"/>
      <c r="E79" s="116">
        <v>0.01</v>
      </c>
      <c r="F79" s="116">
        <f t="shared" ref="F79:F80" si="1">E79*(100%+$F$57+$F$59)</f>
        <v>0.01</v>
      </c>
      <c r="G79" s="125">
        <f>F79*'OSNOVNI PODATKI'!$I$240</f>
        <v>0</v>
      </c>
      <c r="H79" s="117">
        <f>+G79*'ARHIGRAM 5'!$I$17</f>
        <v>0</v>
      </c>
    </row>
    <row r="80" spans="1:8" s="14" customFormat="1" ht="14.25" x14ac:dyDescent="0.2">
      <c r="A80" s="155" t="s">
        <v>60</v>
      </c>
      <c r="B80" s="120" t="s">
        <v>255</v>
      </c>
      <c r="C80" s="120"/>
      <c r="D80" s="120"/>
      <c r="E80" s="145">
        <v>0.03</v>
      </c>
      <c r="F80" s="145">
        <f t="shared" si="1"/>
        <v>0.03</v>
      </c>
      <c r="G80" s="120">
        <f>F80*'OSNOVNI PODATKI'!$I$240</f>
        <v>0</v>
      </c>
      <c r="H80" s="121">
        <f>+G80*'ARHIGRAM 5'!$I$17</f>
        <v>0</v>
      </c>
    </row>
    <row r="81" spans="1:8" s="14" customFormat="1" ht="14.25" x14ac:dyDescent="0.2">
      <c r="A81" s="154">
        <v>4</v>
      </c>
      <c r="B81" s="133" t="s">
        <v>80</v>
      </c>
      <c r="C81" s="133"/>
      <c r="D81" s="133"/>
      <c r="E81" s="134">
        <f>SUM(E82:E86)</f>
        <v>0.15000000000000002</v>
      </c>
      <c r="F81" s="134">
        <f>SUM(F82:F86)</f>
        <v>6.9999999999999993E-2</v>
      </c>
      <c r="G81" s="135">
        <f>SUM(G82:G86)</f>
        <v>0</v>
      </c>
      <c r="H81" s="136">
        <f>SUM(H82:H86)</f>
        <v>0</v>
      </c>
    </row>
    <row r="82" spans="1:8" s="14" customFormat="1" ht="14.25" x14ac:dyDescent="0.2">
      <c r="A82" s="119" t="s">
        <v>61</v>
      </c>
      <c r="B82" s="125" t="s">
        <v>256</v>
      </c>
      <c r="C82" s="125"/>
      <c r="D82" s="125"/>
      <c r="E82" s="116">
        <v>5.0000000000000001E-3</v>
      </c>
      <c r="F82" s="116">
        <f t="shared" ref="F82:F84" si="2">E82*(100%+$F$57+$F$59)</f>
        <v>5.0000000000000001E-3</v>
      </c>
      <c r="G82" s="125">
        <f>F82*'OSNOVNI PODATKI'!$I$240</f>
        <v>0</v>
      </c>
      <c r="H82" s="117">
        <f>+G82*'ARHIGRAM 5'!$I$17</f>
        <v>0</v>
      </c>
    </row>
    <row r="83" spans="1:8" s="14" customFormat="1" ht="14.25" x14ac:dyDescent="0.2">
      <c r="A83" s="119" t="s">
        <v>62</v>
      </c>
      <c r="B83" s="125" t="s">
        <v>779</v>
      </c>
      <c r="C83" s="125"/>
      <c r="D83" s="125"/>
      <c r="E83" s="116">
        <v>0.12</v>
      </c>
      <c r="F83" s="116">
        <f>(E83-8%+F60)*(100%+$F$57+$F$59)</f>
        <v>3.9999999999999994E-2</v>
      </c>
      <c r="G83" s="125">
        <f>F83*'OSNOVNI PODATKI'!$I$240</f>
        <v>0</v>
      </c>
      <c r="H83" s="117">
        <f>+G83*'ARHIGRAM 5'!$I$17</f>
        <v>0</v>
      </c>
    </row>
    <row r="84" spans="1:8" s="14" customFormat="1" ht="14.25" x14ac:dyDescent="0.2">
      <c r="A84" s="119" t="s">
        <v>63</v>
      </c>
      <c r="B84" s="125" t="s">
        <v>1076</v>
      </c>
      <c r="C84" s="125"/>
      <c r="D84" s="125"/>
      <c r="E84" s="116">
        <v>5.0000000000000001E-3</v>
      </c>
      <c r="F84" s="116">
        <f t="shared" si="2"/>
        <v>5.0000000000000001E-3</v>
      </c>
      <c r="G84" s="125">
        <f>F84*'OSNOVNI PODATKI'!$I$240</f>
        <v>0</v>
      </c>
      <c r="H84" s="117">
        <f>+G84*'ARHIGRAM 5'!$I$17</f>
        <v>0</v>
      </c>
    </row>
    <row r="85" spans="1:8" s="14" customFormat="1" ht="14.25" x14ac:dyDescent="0.2">
      <c r="A85" s="119" t="s">
        <v>64</v>
      </c>
      <c r="B85" s="125" t="s">
        <v>780</v>
      </c>
      <c r="C85" s="125"/>
      <c r="D85" s="125"/>
      <c r="E85" s="116">
        <v>0.01</v>
      </c>
      <c r="F85" s="116">
        <f>E85*(100%+$F$57+$F$59)</f>
        <v>0.01</v>
      </c>
      <c r="G85" s="125">
        <f>F85*'OSNOVNI PODATKI'!$I$240</f>
        <v>0</v>
      </c>
      <c r="H85" s="117">
        <f>+G85*'ARHIGRAM 5'!$I$17</f>
        <v>0</v>
      </c>
    </row>
    <row r="86" spans="1:8" s="14" customFormat="1" ht="14.25" x14ac:dyDescent="0.2">
      <c r="A86" s="155" t="s">
        <v>65</v>
      </c>
      <c r="B86" s="120" t="s">
        <v>744</v>
      </c>
      <c r="C86" s="120"/>
      <c r="D86" s="120"/>
      <c r="E86" s="145">
        <v>0.01</v>
      </c>
      <c r="F86" s="145">
        <f>E86*(100%+$F$57+$F$58+$F$59)</f>
        <v>0.01</v>
      </c>
      <c r="G86" s="120">
        <f>F86*'OSNOVNI PODATKI'!$I$240</f>
        <v>0</v>
      </c>
      <c r="H86" s="121">
        <f>+G86*'ARHIGRAM 5'!$I$17</f>
        <v>0</v>
      </c>
    </row>
    <row r="87" spans="1:8" s="14" customFormat="1" ht="14.25" x14ac:dyDescent="0.2">
      <c r="A87" s="156">
        <v>5</v>
      </c>
      <c r="B87" s="133" t="s">
        <v>66</v>
      </c>
      <c r="C87" s="133"/>
      <c r="D87" s="133"/>
      <c r="E87" s="134">
        <f>SUM(E88:E89)</f>
        <v>0.01</v>
      </c>
      <c r="F87" s="134">
        <f>SUM(F88:F89)</f>
        <v>0.01</v>
      </c>
      <c r="G87" s="135">
        <f>SUM(G88:G89)</f>
        <v>0</v>
      </c>
      <c r="H87" s="136">
        <f>SUM(H88:H89)</f>
        <v>0</v>
      </c>
    </row>
    <row r="88" spans="1:8" s="14" customFormat="1" ht="14.25" x14ac:dyDescent="0.2">
      <c r="A88" s="119" t="s">
        <v>67</v>
      </c>
      <c r="B88" s="128" t="s">
        <v>257</v>
      </c>
      <c r="C88" s="128"/>
      <c r="D88" s="128"/>
      <c r="E88" s="116">
        <v>5.0000000000000001E-3</v>
      </c>
      <c r="F88" s="116">
        <f t="shared" ref="F88:F89" si="3">E88*(100%+$F$57+$F$59)</f>
        <v>5.0000000000000001E-3</v>
      </c>
      <c r="G88" s="125">
        <f>F88*'OSNOVNI PODATKI'!$I$240</f>
        <v>0</v>
      </c>
      <c r="H88" s="117">
        <f>+G88*'ARHIGRAM 5'!$I$17</f>
        <v>0</v>
      </c>
    </row>
    <row r="89" spans="1:8" s="14" customFormat="1" ht="14.25" x14ac:dyDescent="0.2">
      <c r="A89" s="155" t="s">
        <v>68</v>
      </c>
      <c r="B89" s="158" t="s">
        <v>781</v>
      </c>
      <c r="C89" s="158"/>
      <c r="D89" s="158"/>
      <c r="E89" s="145">
        <v>5.0000000000000001E-3</v>
      </c>
      <c r="F89" s="145">
        <f t="shared" si="3"/>
        <v>5.0000000000000001E-3</v>
      </c>
      <c r="G89" s="120">
        <f>F89*'OSNOVNI PODATKI'!$I$240</f>
        <v>0</v>
      </c>
      <c r="H89" s="121">
        <f>+G89*'ARHIGRAM 5'!$I$17</f>
        <v>0</v>
      </c>
    </row>
    <row r="90" spans="1:8" s="14" customFormat="1" ht="14.25" x14ac:dyDescent="0.2">
      <c r="A90" s="157">
        <v>6</v>
      </c>
      <c r="B90" s="133" t="s">
        <v>69</v>
      </c>
      <c r="C90" s="133"/>
      <c r="D90" s="133"/>
      <c r="E90" s="134"/>
      <c r="F90" s="134"/>
      <c r="G90" s="135"/>
      <c r="H90" s="136"/>
    </row>
    <row r="91" spans="1:8" s="14" customFormat="1" ht="14.25" x14ac:dyDescent="0.2">
      <c r="A91" s="119" t="s">
        <v>73</v>
      </c>
      <c r="B91" s="128" t="s">
        <v>259</v>
      </c>
      <c r="C91" s="128"/>
      <c r="D91" s="128"/>
      <c r="E91" s="116"/>
      <c r="F91" s="116"/>
      <c r="G91" s="125"/>
      <c r="H91" s="117"/>
    </row>
    <row r="92" spans="1:8" s="14" customFormat="1" ht="14.25" x14ac:dyDescent="0.2">
      <c r="A92" s="119" t="s">
        <v>74</v>
      </c>
      <c r="B92" s="128" t="s">
        <v>260</v>
      </c>
      <c r="C92" s="128"/>
      <c r="D92" s="128"/>
      <c r="E92" s="116"/>
      <c r="F92" s="116"/>
      <c r="G92" s="125"/>
      <c r="H92" s="117"/>
    </row>
    <row r="93" spans="1:8" s="14" customFormat="1" ht="14.25" x14ac:dyDescent="0.2">
      <c r="A93" s="155" t="s">
        <v>75</v>
      </c>
      <c r="B93" s="158" t="s">
        <v>261</v>
      </c>
      <c r="C93" s="158"/>
      <c r="D93" s="158"/>
      <c r="E93" s="145"/>
      <c r="F93" s="145"/>
      <c r="G93" s="120"/>
      <c r="H93" s="121"/>
    </row>
    <row r="94" spans="1:8" s="14" customFormat="1" ht="14.25" x14ac:dyDescent="0.2">
      <c r="A94" s="122"/>
      <c r="B94" s="123"/>
      <c r="C94" s="123"/>
      <c r="D94" s="123"/>
      <c r="E94" s="124"/>
      <c r="F94" s="124"/>
      <c r="G94" s="159"/>
      <c r="H94" s="160"/>
    </row>
    <row r="95" spans="1:8" s="14" customFormat="1" ht="14.25" x14ac:dyDescent="0.2">
      <c r="A95" s="165"/>
      <c r="B95" s="166" t="s">
        <v>1</v>
      </c>
      <c r="C95" s="166"/>
      <c r="D95" s="166"/>
      <c r="E95" s="167">
        <f>E65+E68+E72+E78+E81+E87+E90</f>
        <v>1</v>
      </c>
      <c r="F95" s="167">
        <f>F65+F68+F72+F78+F81+F87+F90</f>
        <v>0.92</v>
      </c>
      <c r="G95" s="174">
        <f>G65+G68+G72+G78+G81+G87+G90</f>
        <v>0</v>
      </c>
      <c r="H95" s="168">
        <f>H65+H68+H72+H78+H81+H87+H90</f>
        <v>0</v>
      </c>
    </row>
    <row r="96" spans="1:8" s="14" customFormat="1" ht="14.25" x14ac:dyDescent="0.2">
      <c r="A96" s="161"/>
      <c r="B96" s="162" t="s">
        <v>435</v>
      </c>
      <c r="C96" s="163"/>
      <c r="D96" s="163"/>
      <c r="E96" s="33"/>
      <c r="G96" s="33"/>
      <c r="H96" s="164">
        <f>IFERROR(H95/'OSNOVNI PODATKI'!$D$191,0)</f>
        <v>0</v>
      </c>
    </row>
    <row r="97" spans="1:8" ht="14.25" x14ac:dyDescent="0.2">
      <c r="A97" s="161"/>
      <c r="B97" s="162" t="s">
        <v>247</v>
      </c>
      <c r="C97" s="163"/>
      <c r="D97" s="163"/>
      <c r="E97" s="33"/>
      <c r="G97" s="33"/>
      <c r="H97" s="164">
        <f>IFERROR(H95/'OSNOVNI PODATKI'!$D$206,0)</f>
        <v>0</v>
      </c>
    </row>
  </sheetData>
  <mergeCells count="1">
    <mergeCell ref="B4:B5"/>
  </mergeCells>
  <pageMargins left="0.7" right="0.7" top="0.75" bottom="0.75" header="0.3" footer="0.3"/>
  <ignoredErrors>
    <ignoredError sqref="F83"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NAVODILA</vt:lpstr>
      <vt:lpstr>OSNOVNI PODATKI</vt:lpstr>
      <vt:lpstr>CENOVNI RAZREDI</vt:lpstr>
      <vt:lpstr>ARHIGRAM 5</vt:lpstr>
      <vt:lpstr>PONUDBA</vt:lpstr>
      <vt:lpstr>VREDNOST NU</vt:lpstr>
      <vt:lpstr>STAVBE IN NOTRANJA OPREMA</vt:lpstr>
      <vt:lpstr>ODPRTI PROSTOR</vt:lpstr>
      <vt:lpstr>INŽENIRSKI OBJEKTI</vt:lpstr>
      <vt:lpstr>PROMETNA INFRASTRUKTURA</vt:lpstr>
      <vt:lpstr>GRADBENE KONSTRUKCIJE</vt:lpstr>
      <vt:lpstr>TEHNIČNA OPREMA</vt:lpstr>
      <vt:lpstr>POŽARNA VARNOST</vt:lpstr>
      <vt:lpstr>GRADBENA FIZIKA</vt:lpstr>
      <vt:lpstr>Spremembe</vt:lpstr>
      <vt:lpstr>'OSNOVNI PODATKI'!Print_Area</vt:lpstr>
      <vt:lpstr>PONUDBA!Print_Area</vt:lpstr>
    </vt:vector>
  </TitlesOfParts>
  <Company>Poljanska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Mima Suhadolc</dc:creator>
  <cp:keywords>ZAPS</cp:keywords>
  <cp:lastModifiedBy>Mima Suhadolc</cp:lastModifiedBy>
  <cp:lastPrinted>2021-03-24T13:56:48Z</cp:lastPrinted>
  <dcterms:created xsi:type="dcterms:W3CDTF">2005-12-03T10:02:57Z</dcterms:created>
  <dcterms:modified xsi:type="dcterms:W3CDTF">2022-01-18T04:47:02Z</dcterms:modified>
</cp:coreProperties>
</file>