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3.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C:\Dropbox\000 ZAPS\STANDARD ZAPS\02 VREDNOTENJE\ARHIGRAM 6\ARHIGRAM 6-17\"/>
    </mc:Choice>
  </mc:AlternateContent>
  <xr:revisionPtr revIDLastSave="0" documentId="13_ncr:1_{E322AF35-5220-4989-BCCC-74447338F187}" xr6:coauthVersionLast="47" xr6:coauthVersionMax="47" xr10:uidLastSave="{00000000-0000-0000-0000-000000000000}"/>
  <bookViews>
    <workbookView xWindow="-120" yWindow="-120" windowWidth="38640" windowHeight="21840" xr2:uid="{83EFD5E9-0F1B-4785-B1C5-A85B853BAC50}"/>
    <workbookView xWindow="18885" yWindow="75" windowWidth="19230" windowHeight="21600" xr2:uid="{A1481808-C84B-4DE3-A01E-A00D790BF1CE}"/>
  </bookViews>
  <sheets>
    <sheet name="NAVODILA" sheetId="42" r:id="rId1"/>
    <sheet name="OSNOVNI PODATKI" sheetId="55" r:id="rId2"/>
    <sheet name="CENOVNI RAZREDI" sheetId="49" r:id="rId3"/>
    <sheet name="ARHIGRAM 6" sheetId="17" r:id="rId4"/>
    <sheet name="OSNOVNE STORITVE" sheetId="56" r:id="rId5"/>
    <sheet name="POSEBNE STORITVE" sheetId="57" r:id="rId6"/>
    <sheet name="VREDNOST NU" sheetId="7" r:id="rId7"/>
    <sheet name="STAVBE" sheetId="54" r:id="rId8"/>
    <sheet name="NOTRANJA OPREMA" sheetId="58" r:id="rId9"/>
    <sheet name="ODPRTI PROSTOR" sheetId="32" r:id="rId10"/>
    <sheet name="GRADBENE KONSTRUKCIJE" sheetId="33" r:id="rId11"/>
    <sheet name="TEHNIČNA OPREMA" sheetId="34" r:id="rId12"/>
    <sheet name="POŽARNA VARNOST" sheetId="50" r:id="rId13"/>
    <sheet name="GRADBENA FIZIKA" sheetId="48" r:id="rId14"/>
  </sheets>
  <definedNames>
    <definedName name="ARHINST" localSheetId="3">#REF!</definedName>
    <definedName name="ARHINST" localSheetId="0">#REF!</definedName>
    <definedName name="ARHINST" localSheetId="4">#REF!</definedName>
    <definedName name="ARHINST" localSheetId="1">#REF!</definedName>
    <definedName name="ARHINST" localSheetId="5">#REF!</definedName>
    <definedName name="ARHINST">#REF!</definedName>
    <definedName name="Cenovni_razred">#REF!</definedName>
    <definedName name="DANE" localSheetId="0">#REF!</definedName>
    <definedName name="DANE">#REF!</definedName>
    <definedName name="FAZE" localSheetId="3">#REF!</definedName>
    <definedName name="FAZE" localSheetId="0">#REF!</definedName>
    <definedName name="FAZE" localSheetId="4">#REF!</definedName>
    <definedName name="FAZE" localSheetId="1">#REF!</definedName>
    <definedName name="FAZE" localSheetId="5">#REF!</definedName>
    <definedName name="FAZE">#REF!</definedName>
    <definedName name="KONS" localSheetId="3">#REF!</definedName>
    <definedName name="KONS" localSheetId="0">#REF!</definedName>
    <definedName name="KONS" localSheetId="4">#REF!</definedName>
    <definedName name="KONS" localSheetId="1">#REF!</definedName>
    <definedName name="KONS" localSheetId="5">#REF!</definedName>
    <definedName name="KONS">#REF!</definedName>
    <definedName name="NOPREMA" localSheetId="0">#REF!</definedName>
    <definedName name="NOPREMA">#REF!</definedName>
    <definedName name="OBJEKT" localSheetId="3">#REF!</definedName>
    <definedName name="OBJEKT" localSheetId="0">#REF!</definedName>
    <definedName name="OBJEKT" localSheetId="4">#REF!</definedName>
    <definedName name="OBJEKT" localSheetId="1">#REF!</definedName>
    <definedName name="OBJEKT" localSheetId="5">#REF!</definedName>
    <definedName name="OBJEKT">#REF!</definedName>
    <definedName name="OPREMA" localSheetId="3">#REF!</definedName>
    <definedName name="OPREMA" localSheetId="0">#REF!</definedName>
    <definedName name="OPREMA" localSheetId="4">#REF!</definedName>
    <definedName name="OPREMA" localSheetId="1">#REF!</definedName>
    <definedName name="OPREMA" localSheetId="5">#REF!</definedName>
    <definedName name="OPREMA">#REF!</definedName>
    <definedName name="PID" localSheetId="3">#REF!</definedName>
    <definedName name="PID" localSheetId="0">#REF!</definedName>
    <definedName name="PID" localSheetId="4">#REF!</definedName>
    <definedName name="PID" localSheetId="1">#REF!</definedName>
    <definedName name="PID" localSheetId="5">#REF!</definedName>
    <definedName name="PID">#REF!</definedName>
    <definedName name="POVRŠINE" localSheetId="0">#REF!</definedName>
    <definedName name="POVRŠINE">#REF!</definedName>
    <definedName name="_xlnm.Print_Area" localSheetId="1">'OSNOVNI PODATKI'!$A$1:$F$350</definedName>
    <definedName name="RAZREDARH" localSheetId="0">#REF!</definedName>
    <definedName name="RAZREDARH">#REF!</definedName>
    <definedName name="RAZREDIARH" localSheetId="0">#REF!</definedName>
    <definedName name="RAZREDIARH">#REF!</definedName>
    <definedName name="RAZREDIKONS" localSheetId="0">#REF!</definedName>
    <definedName name="RAZREDIKONS">#REF!</definedName>
    <definedName name="RAZREDKONS" localSheetId="0">#REF!</definedName>
    <definedName name="RAZREDKONS">#REF!</definedName>
    <definedName name="STAVBA" localSheetId="0">#REF!</definedName>
    <definedName name="STAVBA">#REF!</definedName>
    <definedName name="TEH" localSheetId="3">#REF!</definedName>
    <definedName name="TEH" localSheetId="13">#REF!</definedName>
    <definedName name="TEH" localSheetId="10">#REF!</definedName>
    <definedName name="TEH" localSheetId="0">#REF!</definedName>
    <definedName name="TEH" localSheetId="4">#REF!</definedName>
    <definedName name="TEH" localSheetId="1">#REF!</definedName>
    <definedName name="TEH" localSheetId="5">#REF!</definedName>
    <definedName name="TEH" localSheetId="12">#REF!</definedName>
    <definedName name="TEH" localSheetId="11">#REF!</definedName>
    <definedName name="TEH">#REF!</definedName>
    <definedName name="ZUNANJA" localSheetId="3">#REF!</definedName>
    <definedName name="ZUNANJA" localSheetId="0">#REF!</definedName>
    <definedName name="ZUNANJA" localSheetId="4">#REF!</definedName>
    <definedName name="ZUNANJA" localSheetId="1">#REF!</definedName>
    <definedName name="ZUNANJA" localSheetId="5">#REF!</definedName>
    <definedName name="ZUNANJ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1" i="7" l="1"/>
  <c r="D54" i="7"/>
  <c r="D52" i="7"/>
  <c r="D43" i="7"/>
  <c r="C32" i="7"/>
  <c r="F245" i="34" l="1"/>
  <c r="J167" i="49" l="1"/>
  <c r="K167" i="49"/>
  <c r="I167" i="49"/>
  <c r="J165" i="49"/>
  <c r="K165" i="49"/>
  <c r="I165" i="49"/>
  <c r="J159" i="49"/>
  <c r="K159" i="49"/>
  <c r="I159" i="49"/>
  <c r="J155" i="49"/>
  <c r="K155" i="49"/>
  <c r="I155" i="49"/>
  <c r="J145" i="49"/>
  <c r="K145" i="49"/>
  <c r="I145" i="49"/>
  <c r="J139" i="49"/>
  <c r="K139" i="49"/>
  <c r="I139" i="49"/>
  <c r="J130" i="49"/>
  <c r="K130" i="49"/>
  <c r="I130" i="49"/>
  <c r="J122" i="49"/>
  <c r="K122" i="49"/>
  <c r="I122" i="49"/>
  <c r="J114" i="49"/>
  <c r="K114" i="49"/>
  <c r="I114" i="49"/>
  <c r="B5" i="42"/>
  <c r="F196" i="34" l="1"/>
  <c r="F148" i="48"/>
  <c r="F194" i="48"/>
  <c r="F240" i="48"/>
  <c r="F144" i="34"/>
  <c r="F143" i="33"/>
  <c r="P146" i="32"/>
  <c r="F146" i="32"/>
  <c r="P125" i="58"/>
  <c r="P146" i="54"/>
  <c r="F146" i="54"/>
  <c r="A230" i="17"/>
  <c r="Q118" i="49" l="1"/>
  <c r="Q119" i="49"/>
  <c r="Q120" i="49"/>
  <c r="Q121" i="49"/>
  <c r="Q131" i="49"/>
  <c r="Q132" i="49"/>
  <c r="Q133" i="49"/>
  <c r="Q138" i="49"/>
  <c r="Q140" i="49"/>
  <c r="Q141" i="49"/>
  <c r="Q142" i="49"/>
  <c r="Q143" i="49"/>
  <c r="Q144" i="49"/>
  <c r="Q156" i="49"/>
  <c r="Q157" i="49"/>
  <c r="Q168" i="49"/>
  <c r="Q169" i="49"/>
  <c r="Q124" i="49"/>
  <c r="Q137" i="49"/>
  <c r="Q152" i="49"/>
  <c r="Q153" i="49"/>
  <c r="Q154" i="49"/>
  <c r="E205" i="55"/>
  <c r="C84" i="58" s="1"/>
  <c r="E193" i="55"/>
  <c r="C66" i="58" s="1"/>
  <c r="E181" i="55"/>
  <c r="C48" i="58" s="1"/>
  <c r="E169" i="55"/>
  <c r="C30" i="58" s="1"/>
  <c r="E157" i="55"/>
  <c r="C12" i="58" s="1"/>
  <c r="E168" i="55"/>
  <c r="E204" i="55"/>
  <c r="E192" i="55"/>
  <c r="E180" i="55"/>
  <c r="E156" i="55"/>
  <c r="R110" i="49"/>
  <c r="R111" i="49"/>
  <c r="R112" i="49"/>
  <c r="R113" i="49"/>
  <c r="R114" i="49"/>
  <c r="R115" i="49"/>
  <c r="R116" i="49"/>
  <c r="R117" i="49"/>
  <c r="R118" i="49"/>
  <c r="R119" i="49"/>
  <c r="R120" i="49"/>
  <c r="R121" i="49"/>
  <c r="R122" i="49"/>
  <c r="R123" i="49"/>
  <c r="R124" i="49"/>
  <c r="R125" i="49"/>
  <c r="R126" i="49"/>
  <c r="R127" i="49"/>
  <c r="R128" i="49"/>
  <c r="R129" i="49"/>
  <c r="R130" i="49"/>
  <c r="R131" i="49"/>
  <c r="R132" i="49"/>
  <c r="R133" i="49"/>
  <c r="R134" i="49"/>
  <c r="R135" i="49"/>
  <c r="R136" i="49"/>
  <c r="R137" i="49"/>
  <c r="R138" i="49"/>
  <c r="R139" i="49"/>
  <c r="R140" i="49"/>
  <c r="R141" i="49"/>
  <c r="R142" i="49"/>
  <c r="R143" i="49"/>
  <c r="R144" i="49"/>
  <c r="R145" i="49"/>
  <c r="R146" i="49"/>
  <c r="R147" i="49"/>
  <c r="R148" i="49"/>
  <c r="R149" i="49"/>
  <c r="R150" i="49"/>
  <c r="R151" i="49"/>
  <c r="R152" i="49"/>
  <c r="R153" i="49"/>
  <c r="R154" i="49"/>
  <c r="R155" i="49"/>
  <c r="R156" i="49"/>
  <c r="R157" i="49"/>
  <c r="R158" i="49"/>
  <c r="R159" i="49"/>
  <c r="R160" i="49"/>
  <c r="R161" i="49"/>
  <c r="R162" i="49"/>
  <c r="R163" i="49"/>
  <c r="R164" i="49"/>
  <c r="R165" i="49"/>
  <c r="R166" i="49"/>
  <c r="R167" i="49"/>
  <c r="R168" i="49"/>
  <c r="R169" i="49"/>
  <c r="R170" i="49"/>
  <c r="R109" i="49"/>
  <c r="Q110" i="49"/>
  <c r="Q111" i="49"/>
  <c r="Q112" i="49"/>
  <c r="Q113" i="49"/>
  <c r="Q115" i="49"/>
  <c r="Q116" i="49"/>
  <c r="Q117" i="49"/>
  <c r="Q123" i="49"/>
  <c r="Q125" i="49"/>
  <c r="Q126" i="49"/>
  <c r="Q127" i="49"/>
  <c r="Q128" i="49"/>
  <c r="Q129" i="49"/>
  <c r="Q134" i="49"/>
  <c r="Q135" i="49"/>
  <c r="Q136" i="49"/>
  <c r="Q146" i="49"/>
  <c r="Q147" i="49"/>
  <c r="Q148" i="49"/>
  <c r="Q149" i="49"/>
  <c r="Q150" i="49"/>
  <c r="Q151" i="49"/>
  <c r="Q158" i="49"/>
  <c r="Q160" i="49"/>
  <c r="Q161" i="49"/>
  <c r="Q162" i="49"/>
  <c r="Q163" i="49"/>
  <c r="Q164" i="49"/>
  <c r="Q166" i="49"/>
  <c r="Q170" i="49"/>
  <c r="Q109" i="49"/>
  <c r="C5" i="58"/>
  <c r="E128" i="55"/>
  <c r="E102" i="55"/>
  <c r="E76" i="55"/>
  <c r="E50" i="55"/>
  <c r="K102" i="48"/>
  <c r="K80" i="48"/>
  <c r="K58" i="48"/>
  <c r="K36" i="48"/>
  <c r="K14" i="48"/>
  <c r="F161" i="34" l="1"/>
  <c r="F160" i="34"/>
  <c r="F166" i="32"/>
  <c r="F165" i="32"/>
  <c r="P145" i="58"/>
  <c r="P144" i="58"/>
  <c r="P142" i="58"/>
  <c r="P141" i="58"/>
  <c r="P140" i="58"/>
  <c r="P137" i="58"/>
  <c r="P136" i="58"/>
  <c r="P135" i="58"/>
  <c r="P133" i="58"/>
  <c r="P132" i="58"/>
  <c r="P131" i="58"/>
  <c r="P130" i="58"/>
  <c r="P128" i="58"/>
  <c r="P126" i="58"/>
  <c r="P123" i="58"/>
  <c r="P122" i="58"/>
  <c r="P120" i="58"/>
  <c r="P119" i="58"/>
  <c r="P118" i="58"/>
  <c r="F145" i="58"/>
  <c r="F144" i="58"/>
  <c r="F166" i="54"/>
  <c r="F165" i="54"/>
  <c r="J216" i="49" l="1"/>
  <c r="J186" i="49"/>
  <c r="J242" i="49" l="1"/>
  <c r="I242" i="49"/>
  <c r="J241" i="49"/>
  <c r="I241" i="49"/>
  <c r="J240" i="49"/>
  <c r="I240" i="49"/>
  <c r="J239" i="49"/>
  <c r="I239" i="49"/>
  <c r="J238" i="49"/>
  <c r="I238" i="49"/>
  <c r="J237" i="49"/>
  <c r="I237" i="49"/>
  <c r="J236" i="49"/>
  <c r="I236" i="49"/>
  <c r="J235" i="49"/>
  <c r="I235" i="49"/>
  <c r="J234" i="49"/>
  <c r="I234" i="49"/>
  <c r="J233" i="49"/>
  <c r="I233" i="49"/>
  <c r="J232" i="49"/>
  <c r="I232" i="49"/>
  <c r="J231" i="49"/>
  <c r="I231" i="49"/>
  <c r="J228" i="49"/>
  <c r="I228" i="49"/>
  <c r="J227" i="49"/>
  <c r="I227" i="49"/>
  <c r="J226" i="49"/>
  <c r="I226" i="49"/>
  <c r="J225" i="49"/>
  <c r="I225" i="49"/>
  <c r="J224" i="49"/>
  <c r="I224" i="49"/>
  <c r="J223" i="49"/>
  <c r="I223" i="49"/>
  <c r="J222" i="49"/>
  <c r="I222" i="49"/>
  <c r="J208" i="49"/>
  <c r="I208" i="49"/>
  <c r="J207" i="49"/>
  <c r="I207" i="49"/>
  <c r="J206" i="49"/>
  <c r="I206" i="49"/>
  <c r="J202" i="49"/>
  <c r="I202" i="49"/>
  <c r="J201" i="49"/>
  <c r="I201" i="49"/>
  <c r="J200" i="49"/>
  <c r="I200" i="49"/>
  <c r="J199" i="49"/>
  <c r="I199" i="49"/>
  <c r="J198" i="49"/>
  <c r="I198" i="49"/>
  <c r="J197" i="49"/>
  <c r="I197" i="49"/>
  <c r="J196" i="49"/>
  <c r="I196" i="49"/>
  <c r="J230" i="49"/>
  <c r="I230" i="49"/>
  <c r="J229" i="49"/>
  <c r="I229" i="49"/>
  <c r="J221" i="49"/>
  <c r="I221" i="49"/>
  <c r="J220" i="49"/>
  <c r="I220" i="49"/>
  <c r="J218" i="49"/>
  <c r="I218" i="49"/>
  <c r="J217" i="49"/>
  <c r="I217" i="49"/>
  <c r="J209" i="49"/>
  <c r="I209" i="49"/>
  <c r="J205" i="49"/>
  <c r="I205" i="49"/>
  <c r="J204" i="49"/>
  <c r="I204" i="49"/>
  <c r="J203" i="49"/>
  <c r="I203" i="49"/>
  <c r="J195" i="49"/>
  <c r="I195" i="49"/>
  <c r="J194" i="49"/>
  <c r="I194" i="49"/>
  <c r="J193" i="49"/>
  <c r="I193" i="49"/>
  <c r="J192" i="49"/>
  <c r="I192" i="49"/>
  <c r="J191" i="49"/>
  <c r="I191" i="49"/>
  <c r="J190" i="49"/>
  <c r="I190" i="49"/>
  <c r="J189" i="49"/>
  <c r="I189" i="49"/>
  <c r="J188" i="49"/>
  <c r="I188" i="49"/>
  <c r="J219" i="49"/>
  <c r="I219" i="49"/>
  <c r="I216" i="49"/>
  <c r="J187" i="49"/>
  <c r="I187" i="49"/>
  <c r="I186" i="49"/>
  <c r="J185" i="49"/>
  <c r="I185" i="49"/>
  <c r="G37" i="57" l="1"/>
  <c r="H37" i="57" s="1"/>
  <c r="G38" i="57"/>
  <c r="H38" i="57" s="1"/>
  <c r="G39" i="57"/>
  <c r="H39" i="57" s="1"/>
  <c r="D4" i="57" l="1"/>
  <c r="D3" i="57"/>
  <c r="D2" i="57"/>
  <c r="D1" i="57"/>
  <c r="D2" i="56"/>
  <c r="D3" i="56"/>
  <c r="D4" i="56"/>
  <c r="D1" i="56"/>
  <c r="F229" i="34"/>
  <c r="F178" i="34"/>
  <c r="F177" i="34"/>
  <c r="F126" i="34"/>
  <c r="F125" i="34"/>
  <c r="E143" i="33" l="1"/>
  <c r="F125" i="33" l="1"/>
  <c r="E260" i="34" l="1"/>
  <c r="E251" i="34"/>
  <c r="E248" i="34"/>
  <c r="E241" i="34"/>
  <c r="E237" i="34"/>
  <c r="E211" i="34"/>
  <c r="E202" i="34"/>
  <c r="E199" i="34"/>
  <c r="E192" i="34"/>
  <c r="E188" i="34"/>
  <c r="E140" i="34"/>
  <c r="G124" i="34"/>
  <c r="G176" i="34" s="1"/>
  <c r="G228" i="34" s="1"/>
  <c r="B124" i="34"/>
  <c r="G126" i="34"/>
  <c r="G178" i="34" s="1"/>
  <c r="G229" i="34" s="1"/>
  <c r="G125" i="34"/>
  <c r="G177" i="34" s="1"/>
  <c r="G125" i="33"/>
  <c r="G124" i="33"/>
  <c r="G107" i="58"/>
  <c r="G106" i="58"/>
  <c r="F108" i="58"/>
  <c r="F124" i="54"/>
  <c r="G125" i="32"/>
  <c r="G124" i="32"/>
  <c r="G125" i="54"/>
  <c r="G124" i="54"/>
  <c r="O150" i="32"/>
  <c r="E150" i="32"/>
  <c r="E139" i="32"/>
  <c r="U144" i="32"/>
  <c r="U143" i="32"/>
  <c r="O139" i="32"/>
  <c r="F126" i="32"/>
  <c r="F126" i="54"/>
  <c r="U144" i="54"/>
  <c r="U143" i="54"/>
  <c r="B109" i="42"/>
  <c r="E22" i="7"/>
  <c r="W142" i="32" l="1"/>
  <c r="U152" i="32"/>
  <c r="U149" i="32"/>
  <c r="U148" i="32"/>
  <c r="U145" i="32"/>
  <c r="A5" i="42"/>
  <c r="B3" i="42"/>
  <c r="B4" i="42"/>
  <c r="D5" i="58"/>
  <c r="X124" i="58"/>
  <c r="W124" i="58"/>
  <c r="C67" i="58"/>
  <c r="C64" i="58"/>
  <c r="C63" i="58"/>
  <c r="C62" i="58"/>
  <c r="B62" i="58"/>
  <c r="C49" i="58"/>
  <c r="C46" i="58"/>
  <c r="C45" i="58"/>
  <c r="C44" i="58"/>
  <c r="B44" i="58"/>
  <c r="C85" i="58"/>
  <c r="C82" i="58"/>
  <c r="C81" i="58"/>
  <c r="C80" i="58"/>
  <c r="B80" i="58"/>
  <c r="C31" i="58"/>
  <c r="C28" i="58"/>
  <c r="C27" i="58"/>
  <c r="C26" i="58"/>
  <c r="B26" i="58"/>
  <c r="C13" i="58"/>
  <c r="C10" i="58"/>
  <c r="C9" i="58"/>
  <c r="C8" i="58"/>
  <c r="B8" i="58"/>
  <c r="U162" i="32" l="1"/>
  <c r="U160" i="32"/>
  <c r="U158" i="32"/>
  <c r="U154" i="32"/>
  <c r="U145" i="58" l="1"/>
  <c r="U144" i="58"/>
  <c r="O143" i="58"/>
  <c r="E143" i="58"/>
  <c r="U142" i="58"/>
  <c r="U140" i="58"/>
  <c r="U138" i="58"/>
  <c r="U136" i="58"/>
  <c r="U135" i="58"/>
  <c r="U132" i="58"/>
  <c r="U130" i="58"/>
  <c r="E129" i="58"/>
  <c r="U126" i="58"/>
  <c r="U125" i="58"/>
  <c r="U124" i="58"/>
  <c r="V124" i="58"/>
  <c r="U123" i="58"/>
  <c r="U122" i="58"/>
  <c r="U120" i="58"/>
  <c r="U119" i="58"/>
  <c r="U118" i="58"/>
  <c r="O117" i="58"/>
  <c r="E117" i="58"/>
  <c r="E121" i="58"/>
  <c r="F107" i="58"/>
  <c r="B107" i="58"/>
  <c r="F106" i="58"/>
  <c r="F125" i="58" s="1"/>
  <c r="B106" i="58"/>
  <c r="F104" i="58"/>
  <c r="H135" i="58" s="1"/>
  <c r="U159" i="54"/>
  <c r="U161" i="54"/>
  <c r="U153" i="54"/>
  <c r="U147" i="54"/>
  <c r="U145" i="54"/>
  <c r="G46" i="57"/>
  <c r="H46" i="57" s="1"/>
  <c r="C5" i="57"/>
  <c r="C4" i="57"/>
  <c r="C3" i="57"/>
  <c r="C1" i="57"/>
  <c r="G69" i="57"/>
  <c r="H69" i="57" s="1"/>
  <c r="G56" i="57"/>
  <c r="H56" i="57" s="1"/>
  <c r="C5" i="56"/>
  <c r="C4" i="56"/>
  <c r="C3" i="56"/>
  <c r="C1" i="56"/>
  <c r="F91" i="57"/>
  <c r="G88" i="57"/>
  <c r="H88" i="57" s="1"/>
  <c r="G87" i="57"/>
  <c r="H87" i="57" s="1"/>
  <c r="G85" i="57"/>
  <c r="H85" i="57" s="1"/>
  <c r="G84" i="57"/>
  <c r="H84" i="57" s="1"/>
  <c r="G82" i="57"/>
  <c r="H82" i="57" s="1"/>
  <c r="G81" i="57"/>
  <c r="H81" i="57" s="1"/>
  <c r="G78" i="57"/>
  <c r="H78" i="57" s="1"/>
  <c r="G77" i="57"/>
  <c r="H77" i="57" s="1"/>
  <c r="G75" i="57"/>
  <c r="H75" i="57" s="1"/>
  <c r="G74" i="57"/>
  <c r="H74" i="57" s="1"/>
  <c r="G71" i="57"/>
  <c r="H71" i="57" s="1"/>
  <c r="G70" i="57"/>
  <c r="H70" i="57" s="1"/>
  <c r="G67" i="57"/>
  <c r="H67" i="57" s="1"/>
  <c r="G66" i="57"/>
  <c r="H66" i="57" s="1"/>
  <c r="G64" i="57"/>
  <c r="H64" i="57" s="1"/>
  <c r="G63" i="57"/>
  <c r="H63" i="57" s="1"/>
  <c r="G61" i="57"/>
  <c r="H61" i="57" s="1"/>
  <c r="G60" i="57"/>
  <c r="H60" i="57" s="1"/>
  <c r="G58" i="57"/>
  <c r="H58" i="57" s="1"/>
  <c r="G57" i="57"/>
  <c r="H57" i="57" s="1"/>
  <c r="G53" i="57"/>
  <c r="H53" i="57" s="1"/>
  <c r="G52" i="57"/>
  <c r="H52" i="57" s="1"/>
  <c r="G50" i="57"/>
  <c r="H50" i="57" s="1"/>
  <c r="G49" i="57"/>
  <c r="H49" i="57" s="1"/>
  <c r="G45" i="57"/>
  <c r="H45" i="57" s="1"/>
  <c r="G44" i="57"/>
  <c r="H44" i="57" s="1"/>
  <c r="G42" i="57"/>
  <c r="H42" i="57" s="1"/>
  <c r="G41" i="57"/>
  <c r="H41" i="57" s="1"/>
  <c r="G35" i="57"/>
  <c r="H35" i="57" s="1"/>
  <c r="G34" i="57"/>
  <c r="H34" i="57" s="1"/>
  <c r="G32" i="57"/>
  <c r="H32" i="57" s="1"/>
  <c r="G31" i="57"/>
  <c r="H31" i="57" s="1"/>
  <c r="G28" i="57"/>
  <c r="H28" i="57" s="1"/>
  <c r="G27" i="57"/>
  <c r="H27" i="57" s="1"/>
  <c r="G25" i="57"/>
  <c r="H25" i="57" s="1"/>
  <c r="G24" i="57"/>
  <c r="H24" i="57" s="1"/>
  <c r="G22" i="57"/>
  <c r="H22" i="57" s="1"/>
  <c r="G21" i="57"/>
  <c r="G18" i="57"/>
  <c r="H18" i="57" s="1"/>
  <c r="G17" i="57"/>
  <c r="H17" i="57" s="1"/>
  <c r="G15" i="57"/>
  <c r="H15" i="57" s="1"/>
  <c r="G14" i="57"/>
  <c r="H14" i="57" s="1"/>
  <c r="G53" i="56"/>
  <c r="H53" i="56" s="1"/>
  <c r="G52" i="56"/>
  <c r="H52" i="56" s="1"/>
  <c r="G51" i="56"/>
  <c r="H51" i="56" s="1"/>
  <c r="G49" i="56"/>
  <c r="H49" i="56" s="1"/>
  <c r="G48" i="56"/>
  <c r="H48" i="56" s="1"/>
  <c r="G46" i="56"/>
  <c r="H46" i="56" s="1"/>
  <c r="G44" i="56"/>
  <c r="H44" i="56" s="1"/>
  <c r="G43" i="56"/>
  <c r="H43" i="56" s="1"/>
  <c r="G42" i="56"/>
  <c r="H42" i="56" s="1"/>
  <c r="G39" i="56"/>
  <c r="H39" i="56" s="1"/>
  <c r="G38" i="56"/>
  <c r="H38" i="56" s="1"/>
  <c r="G33" i="56"/>
  <c r="H33" i="56" s="1"/>
  <c r="G36" i="56"/>
  <c r="H36" i="56" s="1"/>
  <c r="G35" i="56"/>
  <c r="H35" i="56" s="1"/>
  <c r="G34" i="56"/>
  <c r="H34" i="56" s="1"/>
  <c r="G31" i="56"/>
  <c r="H31" i="56" s="1"/>
  <c r="G30" i="56"/>
  <c r="H30" i="56" s="1"/>
  <c r="G29" i="56"/>
  <c r="H29" i="56" s="1"/>
  <c r="F55" i="56"/>
  <c r="G26" i="56"/>
  <c r="H26" i="56" s="1"/>
  <c r="G25" i="56"/>
  <c r="H25" i="56" s="1"/>
  <c r="G23" i="56"/>
  <c r="H23" i="56" s="1"/>
  <c r="G21" i="56"/>
  <c r="H21" i="56" s="1"/>
  <c r="G18" i="56"/>
  <c r="H18" i="56" s="1"/>
  <c r="G17" i="56"/>
  <c r="G16" i="56"/>
  <c r="H16" i="56" s="1"/>
  <c r="G14" i="56"/>
  <c r="H14" i="56" s="1"/>
  <c r="G13" i="56"/>
  <c r="H13" i="56" s="1"/>
  <c r="E37" i="57" l="1"/>
  <c r="E38" i="57"/>
  <c r="E39" i="57"/>
  <c r="E88" i="57"/>
  <c r="E50" i="57"/>
  <c r="E49" i="57"/>
  <c r="E42" i="57"/>
  <c r="E34" i="57"/>
  <c r="E31" i="57"/>
  <c r="E28" i="57"/>
  <c r="E64" i="57"/>
  <c r="E60" i="57"/>
  <c r="E56" i="57"/>
  <c r="E52" i="57"/>
  <c r="E87" i="57"/>
  <c r="E24" i="57"/>
  <c r="E18" i="57"/>
  <c r="E17" i="57"/>
  <c r="E85" i="57"/>
  <c r="E46" i="57"/>
  <c r="E45" i="57"/>
  <c r="E44" i="57"/>
  <c r="E41" i="57"/>
  <c r="E35" i="57"/>
  <c r="E32" i="57"/>
  <c r="E66" i="57"/>
  <c r="E27" i="57"/>
  <c r="E63" i="57"/>
  <c r="E22" i="57"/>
  <c r="E58" i="57"/>
  <c r="E21" i="57"/>
  <c r="E53" i="57"/>
  <c r="E14" i="57"/>
  <c r="E84" i="57"/>
  <c r="E25" i="57"/>
  <c r="E57" i="57"/>
  <c r="E15" i="57"/>
  <c r="E82" i="57"/>
  <c r="E81" i="57"/>
  <c r="E78" i="57"/>
  <c r="E77" i="57"/>
  <c r="E75" i="57"/>
  <c r="E74" i="57"/>
  <c r="E71" i="57"/>
  <c r="E70" i="57"/>
  <c r="E69" i="57"/>
  <c r="E67" i="57"/>
  <c r="E61" i="57"/>
  <c r="E16" i="56"/>
  <c r="E38" i="56"/>
  <c r="E14" i="56"/>
  <c r="V135" i="58"/>
  <c r="U117" i="58"/>
  <c r="U143" i="58"/>
  <c r="F136" i="58"/>
  <c r="F122" i="58"/>
  <c r="U158" i="54"/>
  <c r="F126" i="58"/>
  <c r="F130" i="58"/>
  <c r="V120" i="58"/>
  <c r="U154" i="54"/>
  <c r="U149" i="54"/>
  <c r="F140" i="58"/>
  <c r="U141" i="58"/>
  <c r="O129" i="58"/>
  <c r="O139" i="54"/>
  <c r="F132" i="58"/>
  <c r="F118" i="58"/>
  <c r="F142" i="58"/>
  <c r="U128" i="58"/>
  <c r="O121" i="58"/>
  <c r="U139" i="58"/>
  <c r="F127" i="58"/>
  <c r="U127" i="58"/>
  <c r="V138" i="58"/>
  <c r="F119" i="58"/>
  <c r="F123" i="58"/>
  <c r="E31" i="56"/>
  <c r="E33" i="56"/>
  <c r="E39" i="56"/>
  <c r="E13" i="56"/>
  <c r="E17" i="56"/>
  <c r="E21" i="56"/>
  <c r="E23" i="56"/>
  <c r="E25" i="56"/>
  <c r="E26" i="56"/>
  <c r="E28" i="56"/>
  <c r="E18" i="56"/>
  <c r="E29" i="56"/>
  <c r="E30" i="56"/>
  <c r="E34" i="56"/>
  <c r="E35" i="56"/>
  <c r="E36" i="56"/>
  <c r="G91" i="57"/>
  <c r="H21" i="57"/>
  <c r="H91" i="57" s="1"/>
  <c r="G28" i="56"/>
  <c r="H28" i="56" s="1"/>
  <c r="E49" i="56"/>
  <c r="E46" i="56"/>
  <c r="E44" i="56"/>
  <c r="E53" i="56"/>
  <c r="E43" i="56"/>
  <c r="E52" i="56"/>
  <c r="E42" i="56"/>
  <c r="E51" i="56"/>
  <c r="E48" i="56"/>
  <c r="H17" i="56"/>
  <c r="P143" i="58" l="1"/>
  <c r="V136" i="58"/>
  <c r="V122" i="58"/>
  <c r="V125" i="58"/>
  <c r="V132" i="58"/>
  <c r="V126" i="58"/>
  <c r="U137" i="58"/>
  <c r="U134" i="58" s="1"/>
  <c r="F121" i="58"/>
  <c r="U162" i="54"/>
  <c r="F129" i="58"/>
  <c r="P117" i="58"/>
  <c r="U160" i="54"/>
  <c r="V144" i="58"/>
  <c r="F137" i="58"/>
  <c r="V130" i="58"/>
  <c r="E134" i="58"/>
  <c r="E151" i="58" s="1"/>
  <c r="U131" i="58"/>
  <c r="E139" i="54"/>
  <c r="U148" i="54"/>
  <c r="V118" i="58"/>
  <c r="V131" i="58"/>
  <c r="V128" i="58"/>
  <c r="V142" i="58"/>
  <c r="V140" i="58"/>
  <c r="O150" i="54"/>
  <c r="U152" i="54"/>
  <c r="F141" i="58"/>
  <c r="V141" i="58" s="1"/>
  <c r="V119" i="58"/>
  <c r="P121" i="58"/>
  <c r="V127" i="58"/>
  <c r="V145" i="58"/>
  <c r="U121" i="58"/>
  <c r="U133" i="58"/>
  <c r="V139" i="58"/>
  <c r="F117" i="58"/>
  <c r="O134" i="58"/>
  <c r="O151" i="58" s="1"/>
  <c r="F143" i="58"/>
  <c r="V123" i="58"/>
  <c r="E155" i="54"/>
  <c r="G55" i="56"/>
  <c r="H55" i="56"/>
  <c r="E55" i="56"/>
  <c r="V137" i="58" l="1"/>
  <c r="V134" i="58" s="1"/>
  <c r="F134" i="58"/>
  <c r="F151" i="58" s="1"/>
  <c r="U129" i="58"/>
  <c r="V117" i="58"/>
  <c r="V143" i="58"/>
  <c r="P134" i="58"/>
  <c r="V133" i="58"/>
  <c r="V129" i="58" s="1"/>
  <c r="P129" i="58"/>
  <c r="P151" i="58" s="1"/>
  <c r="V121" i="58"/>
  <c r="U151" i="58"/>
  <c r="C181" i="32"/>
  <c r="I180" i="32"/>
  <c r="J180" i="32"/>
  <c r="K181" i="32"/>
  <c r="K182" i="32"/>
  <c r="K183" i="32"/>
  <c r="G182" i="32"/>
  <c r="G183" i="32"/>
  <c r="G184" i="32"/>
  <c r="G185" i="32"/>
  <c r="G186" i="32"/>
  <c r="G187" i="32"/>
  <c r="G188" i="32"/>
  <c r="G181" i="32"/>
  <c r="F189" i="32"/>
  <c r="E189" i="32"/>
  <c r="E91" i="57" l="1"/>
  <c r="V151" i="58"/>
  <c r="K180" i="32"/>
  <c r="U166" i="32"/>
  <c r="U165" i="32"/>
  <c r="U164" i="32" s="1"/>
  <c r="O164" i="32"/>
  <c r="U163" i="32"/>
  <c r="U161" i="32"/>
  <c r="U159" i="32"/>
  <c r="U157" i="32"/>
  <c r="U156" i="32"/>
  <c r="O155" i="32"/>
  <c r="U153" i="32"/>
  <c r="U151" i="32"/>
  <c r="U147" i="32"/>
  <c r="U146" i="32"/>
  <c r="U141" i="32"/>
  <c r="U140" i="32"/>
  <c r="U138" i="32"/>
  <c r="U137" i="32"/>
  <c r="U136" i="32"/>
  <c r="O135" i="32"/>
  <c r="U150" i="32" l="1"/>
  <c r="U155" i="32"/>
  <c r="U135" i="32"/>
  <c r="O172" i="32"/>
  <c r="U142" i="32"/>
  <c r="U139" i="32" s="1"/>
  <c r="U172" i="32" l="1"/>
  <c r="C249" i="17"/>
  <c r="U166" i="54"/>
  <c r="U165" i="54"/>
  <c r="U163" i="54"/>
  <c r="U157" i="54"/>
  <c r="U156" i="54"/>
  <c r="U151" i="54"/>
  <c r="U150" i="54" s="1"/>
  <c r="U138" i="54"/>
  <c r="U137" i="54"/>
  <c r="U136" i="54"/>
  <c r="U141" i="54"/>
  <c r="U146" i="54"/>
  <c r="U140" i="54"/>
  <c r="U139" i="54" l="1"/>
  <c r="U164" i="54"/>
  <c r="U155" i="54"/>
  <c r="U135" i="54"/>
  <c r="U172" i="54" l="1"/>
  <c r="O164" i="54" l="1"/>
  <c r="O155" i="54"/>
  <c r="O135" i="54"/>
  <c r="E251" i="48"/>
  <c r="E245" i="48"/>
  <c r="E242" i="48"/>
  <c r="E236" i="48"/>
  <c r="E232" i="48"/>
  <c r="B112" i="48"/>
  <c r="B111" i="48"/>
  <c r="B110" i="48"/>
  <c r="B109" i="48"/>
  <c r="B90" i="48"/>
  <c r="B89" i="48"/>
  <c r="B88" i="48"/>
  <c r="B87" i="48"/>
  <c r="B68" i="48"/>
  <c r="B67" i="48"/>
  <c r="B66" i="48"/>
  <c r="B65" i="48"/>
  <c r="B46" i="48"/>
  <c r="B45" i="48"/>
  <c r="B44" i="48"/>
  <c r="B43" i="48"/>
  <c r="B24" i="48"/>
  <c r="B23" i="48"/>
  <c r="B22" i="48"/>
  <c r="B21" i="48"/>
  <c r="B116" i="50"/>
  <c r="B115" i="50"/>
  <c r="B114" i="50"/>
  <c r="B113" i="50"/>
  <c r="B93" i="50"/>
  <c r="B92" i="50"/>
  <c r="B91" i="50"/>
  <c r="B90" i="50"/>
  <c r="B70" i="50"/>
  <c r="B69" i="50"/>
  <c r="B68" i="50"/>
  <c r="B67" i="50"/>
  <c r="B47" i="50"/>
  <c r="B46" i="50"/>
  <c r="B45" i="50"/>
  <c r="B44" i="50"/>
  <c r="B24" i="50"/>
  <c r="B23" i="50"/>
  <c r="B22" i="50"/>
  <c r="B21" i="50"/>
  <c r="B111" i="34"/>
  <c r="B110" i="34"/>
  <c r="B109" i="34"/>
  <c r="B108" i="34"/>
  <c r="B89" i="34"/>
  <c r="B88" i="34"/>
  <c r="B87" i="34"/>
  <c r="B86" i="34"/>
  <c r="B67" i="34"/>
  <c r="B66" i="34"/>
  <c r="B65" i="34"/>
  <c r="B64" i="34"/>
  <c r="B45" i="34"/>
  <c r="B44" i="34"/>
  <c r="B43" i="34"/>
  <c r="B42" i="34"/>
  <c r="B23" i="34"/>
  <c r="B22" i="34"/>
  <c r="B21" i="34"/>
  <c r="B20" i="34"/>
  <c r="B111" i="33"/>
  <c r="B110" i="33"/>
  <c r="B109" i="33"/>
  <c r="B108" i="33"/>
  <c r="B89" i="33"/>
  <c r="B88" i="33"/>
  <c r="B87" i="33"/>
  <c r="B86" i="33"/>
  <c r="B67" i="33"/>
  <c r="B66" i="33"/>
  <c r="B65" i="33"/>
  <c r="B64" i="33"/>
  <c r="B45" i="33"/>
  <c r="B44" i="33"/>
  <c r="B43" i="33"/>
  <c r="B42" i="33"/>
  <c r="B23" i="33"/>
  <c r="B22" i="33"/>
  <c r="B21" i="33"/>
  <c r="B20" i="33"/>
  <c r="C82" i="32"/>
  <c r="C64" i="32"/>
  <c r="C46" i="32"/>
  <c r="C28" i="32"/>
  <c r="C10" i="32"/>
  <c r="C5" i="32"/>
  <c r="D5" i="32" s="1"/>
  <c r="B108" i="54"/>
  <c r="B87" i="54"/>
  <c r="B88" i="54"/>
  <c r="B89" i="54"/>
  <c r="B86" i="54"/>
  <c r="B65" i="54"/>
  <c r="B66" i="54"/>
  <c r="B67" i="54"/>
  <c r="B64" i="54"/>
  <c r="B43" i="54"/>
  <c r="B44" i="54"/>
  <c r="B45" i="54"/>
  <c r="B42" i="54"/>
  <c r="B111" i="54"/>
  <c r="B110" i="54"/>
  <c r="B109" i="54"/>
  <c r="B21" i="54"/>
  <c r="B22" i="54"/>
  <c r="B23" i="54"/>
  <c r="B20" i="54"/>
  <c r="O172" i="54" l="1"/>
  <c r="C99" i="48" l="1"/>
  <c r="C77" i="48"/>
  <c r="C55" i="48"/>
  <c r="C33" i="48"/>
  <c r="C11" i="48"/>
  <c r="C6" i="48"/>
  <c r="D6" i="48" s="1"/>
  <c r="C102" i="50"/>
  <c r="C79" i="50"/>
  <c r="C56" i="50"/>
  <c r="C33" i="50"/>
  <c r="C10" i="50"/>
  <c r="C5" i="50"/>
  <c r="D5" i="50" s="1"/>
  <c r="C98" i="34"/>
  <c r="C76" i="34"/>
  <c r="C54" i="34"/>
  <c r="C32" i="34"/>
  <c r="C10" i="34"/>
  <c r="C5" i="34"/>
  <c r="D5" i="34" s="1"/>
  <c r="C98" i="33"/>
  <c r="C76" i="33"/>
  <c r="C54" i="33"/>
  <c r="C32" i="33"/>
  <c r="C10" i="33"/>
  <c r="C5" i="33"/>
  <c r="D5" i="33" s="1"/>
  <c r="C98" i="54"/>
  <c r="C76" i="54"/>
  <c r="C54" i="54"/>
  <c r="C32" i="54"/>
  <c r="C10" i="54"/>
  <c r="C5" i="54"/>
  <c r="D5" i="54" l="1"/>
  <c r="H231" i="48" l="1"/>
  <c r="H230" i="48"/>
  <c r="H185" i="48"/>
  <c r="H184" i="48"/>
  <c r="H236" i="34"/>
  <c r="H235" i="34"/>
  <c r="F222" i="48"/>
  <c r="F176" i="48"/>
  <c r="F129" i="48"/>
  <c r="F224" i="48"/>
  <c r="B224" i="48"/>
  <c r="F178" i="48"/>
  <c r="B178" i="48"/>
  <c r="F131" i="48"/>
  <c r="B131" i="48"/>
  <c r="E205" i="48"/>
  <c r="E199" i="48"/>
  <c r="E196" i="48"/>
  <c r="E190" i="48"/>
  <c r="E186" i="48"/>
  <c r="E159" i="48"/>
  <c r="E153" i="48"/>
  <c r="E150" i="48"/>
  <c r="E144" i="48"/>
  <c r="E140" i="48"/>
  <c r="F142" i="50"/>
  <c r="F144" i="50"/>
  <c r="F163" i="50" s="1"/>
  <c r="B144" i="50"/>
  <c r="F228" i="34"/>
  <c r="B229" i="34"/>
  <c r="B228" i="34"/>
  <c r="F226" i="34"/>
  <c r="F174" i="34"/>
  <c r="F125" i="32"/>
  <c r="B125" i="32"/>
  <c r="F124" i="32"/>
  <c r="B124" i="32"/>
  <c r="F122" i="32"/>
  <c r="X142" i="32" s="1"/>
  <c r="B10" i="17"/>
  <c r="B9" i="17"/>
  <c r="B8" i="17"/>
  <c r="B7" i="17"/>
  <c r="B5" i="17"/>
  <c r="A5" i="17"/>
  <c r="B4" i="17"/>
  <c r="B3" i="17"/>
  <c r="E5" i="55"/>
  <c r="E293" i="55"/>
  <c r="C84" i="32" s="1"/>
  <c r="E275" i="55"/>
  <c r="C66" i="32" s="1"/>
  <c r="E257" i="55"/>
  <c r="C48" i="32" s="1"/>
  <c r="E239" i="55"/>
  <c r="C30" i="32" s="1"/>
  <c r="E221" i="55"/>
  <c r="C12" i="32" s="1"/>
  <c r="C85" i="32"/>
  <c r="C81" i="32"/>
  <c r="C80" i="32"/>
  <c r="C67" i="32"/>
  <c r="C63" i="32"/>
  <c r="C62" i="32"/>
  <c r="C49" i="32"/>
  <c r="C45" i="32"/>
  <c r="C44" i="32"/>
  <c r="C31" i="32"/>
  <c r="C27" i="32"/>
  <c r="C26" i="32"/>
  <c r="C13" i="32"/>
  <c r="C9" i="32"/>
  <c r="C8" i="32"/>
  <c r="B80" i="32"/>
  <c r="B62" i="32"/>
  <c r="B44" i="32"/>
  <c r="B26" i="32"/>
  <c r="B8" i="32"/>
  <c r="G102" i="48"/>
  <c r="G80" i="48"/>
  <c r="G58" i="48"/>
  <c r="G36" i="48"/>
  <c r="G14" i="48"/>
  <c r="C106" i="50"/>
  <c r="C83" i="50"/>
  <c r="C60" i="50"/>
  <c r="C37" i="50"/>
  <c r="C14" i="50"/>
  <c r="C101" i="50"/>
  <c r="C100" i="50"/>
  <c r="B100" i="50"/>
  <c r="C78" i="50"/>
  <c r="C77" i="50"/>
  <c r="B77" i="50"/>
  <c r="C55" i="50"/>
  <c r="C54" i="50"/>
  <c r="B54" i="50"/>
  <c r="C32" i="50"/>
  <c r="C31" i="50"/>
  <c r="B31" i="50"/>
  <c r="C9" i="50"/>
  <c r="C8" i="50"/>
  <c r="B8" i="50"/>
  <c r="C98" i="48"/>
  <c r="C97" i="48"/>
  <c r="B97" i="48"/>
  <c r="C76" i="48"/>
  <c r="C75" i="48"/>
  <c r="B75" i="48"/>
  <c r="C54" i="48"/>
  <c r="C53" i="48"/>
  <c r="B53" i="48"/>
  <c r="C32" i="48"/>
  <c r="C31" i="48"/>
  <c r="B31" i="48"/>
  <c r="C10" i="48"/>
  <c r="C9" i="48"/>
  <c r="B9" i="48"/>
  <c r="C101" i="34"/>
  <c r="C79" i="34"/>
  <c r="C57" i="34"/>
  <c r="C35" i="34"/>
  <c r="C13" i="34"/>
  <c r="K101" i="34"/>
  <c r="K79" i="34"/>
  <c r="K57" i="34"/>
  <c r="K35" i="34"/>
  <c r="K13" i="34"/>
  <c r="C102" i="48"/>
  <c r="C80" i="48"/>
  <c r="C58" i="48"/>
  <c r="F241" i="48" l="1"/>
  <c r="F193" i="48"/>
  <c r="H139" i="48"/>
  <c r="H138" i="48"/>
  <c r="F262" i="34"/>
  <c r="F261" i="34"/>
  <c r="F249" i="34"/>
  <c r="F239" i="34"/>
  <c r="F259" i="34"/>
  <c r="F250" i="34"/>
  <c r="F258" i="34"/>
  <c r="F257" i="34"/>
  <c r="F256" i="34"/>
  <c r="F255" i="34"/>
  <c r="F254" i="34"/>
  <c r="F253" i="34"/>
  <c r="F238" i="34"/>
  <c r="P151" i="32"/>
  <c r="P149" i="32"/>
  <c r="V149" i="32" s="1"/>
  <c r="P147" i="32"/>
  <c r="P145" i="32"/>
  <c r="P144" i="32"/>
  <c r="P143" i="32"/>
  <c r="P141" i="32"/>
  <c r="P140" i="32"/>
  <c r="P138" i="32"/>
  <c r="V138" i="32" s="1"/>
  <c r="P137" i="32"/>
  <c r="P161" i="32"/>
  <c r="P166" i="32"/>
  <c r="P136" i="32"/>
  <c r="P165" i="32"/>
  <c r="P163" i="32"/>
  <c r="P154" i="32"/>
  <c r="V154" i="32" s="1"/>
  <c r="P152" i="32"/>
  <c r="P159" i="32"/>
  <c r="P157" i="32"/>
  <c r="P153" i="32"/>
  <c r="P156" i="32"/>
  <c r="V156" i="32" s="1"/>
  <c r="P158" i="32"/>
  <c r="P160" i="32"/>
  <c r="P162" i="32"/>
  <c r="F160" i="32"/>
  <c r="F158" i="32"/>
  <c r="F153" i="32"/>
  <c r="F148" i="32"/>
  <c r="V148" i="32" s="1"/>
  <c r="F161" i="32"/>
  <c r="F147" i="32"/>
  <c r="F159" i="32"/>
  <c r="F157" i="32"/>
  <c r="F151" i="32"/>
  <c r="F137" i="32"/>
  <c r="F163" i="32"/>
  <c r="F140" i="32"/>
  <c r="F162" i="32"/>
  <c r="F141" i="32"/>
  <c r="F136" i="32"/>
  <c r="C36" i="48"/>
  <c r="D5" i="56"/>
  <c r="D5" i="57"/>
  <c r="B11" i="17"/>
  <c r="V142" i="32"/>
  <c r="F200" i="48"/>
  <c r="F195" i="48"/>
  <c r="F202" i="48"/>
  <c r="F203" i="48"/>
  <c r="F250" i="48"/>
  <c r="F237" i="48"/>
  <c r="F191" i="48"/>
  <c r="F238" i="48"/>
  <c r="F239" i="48"/>
  <c r="F192" i="48"/>
  <c r="F145" i="48"/>
  <c r="F146" i="48"/>
  <c r="E167" i="48"/>
  <c r="F201" i="48"/>
  <c r="F187" i="48"/>
  <c r="F188" i="48"/>
  <c r="F233" i="48"/>
  <c r="F234" i="48"/>
  <c r="F243" i="48"/>
  <c r="F244" i="48"/>
  <c r="F206" i="48"/>
  <c r="F207" i="48"/>
  <c r="F246" i="48"/>
  <c r="E213" i="48"/>
  <c r="F141" i="48"/>
  <c r="F158" i="48"/>
  <c r="F142" i="48"/>
  <c r="F247" i="48"/>
  <c r="F248" i="48"/>
  <c r="F249" i="48"/>
  <c r="F197" i="48"/>
  <c r="F252" i="48"/>
  <c r="F198" i="48"/>
  <c r="E259" i="48"/>
  <c r="F253" i="48"/>
  <c r="F189" i="48"/>
  <c r="F204" i="48"/>
  <c r="F235" i="48"/>
  <c r="E268" i="34"/>
  <c r="F237" i="34" l="1"/>
  <c r="V147" i="32"/>
  <c r="F260" i="34"/>
  <c r="F248" i="34"/>
  <c r="F251" i="34" s="1"/>
  <c r="V160" i="32"/>
  <c r="P139" i="32"/>
  <c r="F139" i="32"/>
  <c r="P150" i="32"/>
  <c r="V162" i="32"/>
  <c r="V163" i="32"/>
  <c r="V158" i="32"/>
  <c r="V152" i="32"/>
  <c r="V145" i="32"/>
  <c r="V143" i="32"/>
  <c r="V144" i="32"/>
  <c r="P135" i="32"/>
  <c r="V140" i="32"/>
  <c r="V146" i="32"/>
  <c r="V141" i="32"/>
  <c r="V157" i="32"/>
  <c r="V159" i="32"/>
  <c r="V161" i="32"/>
  <c r="P155" i="32"/>
  <c r="P164" i="32"/>
  <c r="F199" i="48"/>
  <c r="F205" i="48"/>
  <c r="F242" i="48"/>
  <c r="F251" i="48"/>
  <c r="F159" i="48"/>
  <c r="F245" i="48"/>
  <c r="F140" i="48"/>
  <c r="F196" i="48"/>
  <c r="F150" i="48"/>
  <c r="F236" i="48"/>
  <c r="F190" i="48"/>
  <c r="F144" i="48"/>
  <c r="F232" i="48"/>
  <c r="F186" i="48"/>
  <c r="F153" i="48"/>
  <c r="V155" i="32" l="1"/>
  <c r="V139" i="32"/>
  <c r="P172" i="32"/>
  <c r="F167" i="48"/>
  <c r="F259" i="48"/>
  <c r="F213" i="48"/>
  <c r="B178" i="34"/>
  <c r="B177" i="34"/>
  <c r="F176" i="34"/>
  <c r="B176" i="34"/>
  <c r="B126" i="34"/>
  <c r="B125" i="34"/>
  <c r="G101" i="34"/>
  <c r="G79" i="34"/>
  <c r="G57" i="34"/>
  <c r="G35" i="34"/>
  <c r="G13" i="34"/>
  <c r="F124" i="34"/>
  <c r="F122" i="34"/>
  <c r="C97" i="34"/>
  <c r="C96" i="34"/>
  <c r="B96" i="34"/>
  <c r="C75" i="34"/>
  <c r="C74" i="34"/>
  <c r="B74" i="34"/>
  <c r="C53" i="34"/>
  <c r="C52" i="34"/>
  <c r="B52" i="34"/>
  <c r="C31" i="34"/>
  <c r="C30" i="34"/>
  <c r="B30" i="34"/>
  <c r="C9" i="34"/>
  <c r="C8" i="34"/>
  <c r="B8" i="34"/>
  <c r="F122" i="33"/>
  <c r="F124" i="33"/>
  <c r="B125" i="33"/>
  <c r="B124" i="33"/>
  <c r="C101" i="33"/>
  <c r="C79" i="33"/>
  <c r="C57" i="33"/>
  <c r="C35" i="33"/>
  <c r="C13" i="33"/>
  <c r="C97" i="33"/>
  <c r="C96" i="33"/>
  <c r="B96" i="33"/>
  <c r="C75" i="33"/>
  <c r="C74" i="33"/>
  <c r="B74" i="33"/>
  <c r="C53" i="33"/>
  <c r="C52" i="33"/>
  <c r="B52" i="33"/>
  <c r="C31" i="33"/>
  <c r="C30" i="33"/>
  <c r="B30" i="33"/>
  <c r="C9" i="33"/>
  <c r="C8" i="33"/>
  <c r="B8" i="33"/>
  <c r="C101" i="54"/>
  <c r="C97" i="54"/>
  <c r="C96" i="54"/>
  <c r="B96" i="54"/>
  <c r="C79" i="54"/>
  <c r="C75" i="54"/>
  <c r="C74" i="54"/>
  <c r="B74" i="54"/>
  <c r="C57" i="54"/>
  <c r="C53" i="54"/>
  <c r="C52" i="54"/>
  <c r="B52" i="54"/>
  <c r="D137" i="55"/>
  <c r="E136" i="55"/>
  <c r="D111" i="55"/>
  <c r="E110" i="55"/>
  <c r="D85" i="55"/>
  <c r="E84" i="55"/>
  <c r="D59" i="55"/>
  <c r="E58" i="55"/>
  <c r="D33" i="55"/>
  <c r="C35" i="54"/>
  <c r="C31" i="54"/>
  <c r="C30" i="54"/>
  <c r="B30" i="54"/>
  <c r="C9" i="54"/>
  <c r="C13" i="54"/>
  <c r="C8" i="54"/>
  <c r="B8" i="54"/>
  <c r="E24" i="55"/>
  <c r="C14" i="48" s="1"/>
  <c r="E32" i="55"/>
  <c r="F193" i="34" l="1"/>
  <c r="F247" i="34"/>
  <c r="F242" i="34"/>
  <c r="F198" i="34"/>
  <c r="F194" i="34"/>
  <c r="F243" i="34"/>
  <c r="F197" i="34"/>
  <c r="F246" i="34"/>
  <c r="F213" i="34"/>
  <c r="F212" i="34"/>
  <c r="F190" i="34"/>
  <c r="F210" i="34"/>
  <c r="F209" i="34"/>
  <c r="F208" i="34"/>
  <c r="F191" i="34"/>
  <c r="F207" i="34"/>
  <c r="F206" i="34"/>
  <c r="F205" i="34"/>
  <c r="F189" i="34"/>
  <c r="F204" i="34"/>
  <c r="F203" i="34"/>
  <c r="F201" i="34"/>
  <c r="F200" i="34"/>
  <c r="F157" i="34"/>
  <c r="F153" i="34"/>
  <c r="F155" i="34"/>
  <c r="F152" i="34"/>
  <c r="F146" i="34"/>
  <c r="C42" i="54"/>
  <c r="C42" i="33"/>
  <c r="I43" i="33" s="1"/>
  <c r="C44" i="50"/>
  <c r="C43" i="48"/>
  <c r="C42" i="34"/>
  <c r="C20" i="54"/>
  <c r="C20" i="34"/>
  <c r="C20" i="33"/>
  <c r="C21" i="50"/>
  <c r="C21" i="48"/>
  <c r="C86" i="54"/>
  <c r="C86" i="34"/>
  <c r="C86" i="33"/>
  <c r="C90" i="50"/>
  <c r="C87" i="48"/>
  <c r="C108" i="54"/>
  <c r="C113" i="50"/>
  <c r="C108" i="33"/>
  <c r="C109" i="48"/>
  <c r="C108" i="34"/>
  <c r="C64" i="54"/>
  <c r="C65" i="48"/>
  <c r="C64" i="33"/>
  <c r="C64" i="34"/>
  <c r="C67" i="50"/>
  <c r="F141" i="33"/>
  <c r="F140" i="33"/>
  <c r="F149" i="34"/>
  <c r="F158" i="34"/>
  <c r="F145" i="34"/>
  <c r="F142" i="34"/>
  <c r="F141" i="34"/>
  <c r="F151" i="34"/>
  <c r="F154" i="34"/>
  <c r="F156" i="34"/>
  <c r="F137" i="34"/>
  <c r="F138" i="34"/>
  <c r="F139" i="34"/>
  <c r="F148" i="34"/>
  <c r="E311" i="55"/>
  <c r="E137" i="55"/>
  <c r="E111" i="55"/>
  <c r="E85" i="55"/>
  <c r="E59" i="55"/>
  <c r="E33" i="55"/>
  <c r="I145" i="33" l="1"/>
  <c r="I159" i="48"/>
  <c r="I150" i="48"/>
  <c r="I154" i="33"/>
  <c r="I148" i="33"/>
  <c r="I21" i="33"/>
  <c r="F199" i="34"/>
  <c r="F202" i="34"/>
  <c r="F188" i="34"/>
  <c r="F211" i="34"/>
  <c r="F159" i="34"/>
  <c r="F147" i="34"/>
  <c r="F136" i="34"/>
  <c r="E312" i="55"/>
  <c r="D312" i="55" s="1"/>
  <c r="E308" i="55" l="1"/>
  <c r="E316" i="55" s="1"/>
  <c r="E164" i="54"/>
  <c r="E150" i="54"/>
  <c r="E135" i="54"/>
  <c r="F125" i="54"/>
  <c r="B125" i="54"/>
  <c r="B124" i="54"/>
  <c r="F122" i="54"/>
  <c r="P165" i="54" l="1"/>
  <c r="P166" i="54"/>
  <c r="P144" i="54"/>
  <c r="P143" i="54"/>
  <c r="P151" i="54"/>
  <c r="P137" i="54"/>
  <c r="P153" i="54"/>
  <c r="P163" i="54"/>
  <c r="P147" i="54"/>
  <c r="P161" i="54"/>
  <c r="P156" i="54"/>
  <c r="P159" i="54"/>
  <c r="P141" i="54"/>
  <c r="P138" i="54"/>
  <c r="P140" i="54"/>
  <c r="P157" i="54"/>
  <c r="P136" i="54"/>
  <c r="P154" i="54"/>
  <c r="P149" i="54"/>
  <c r="P145" i="54"/>
  <c r="P162" i="54"/>
  <c r="P158" i="54"/>
  <c r="P160" i="54"/>
  <c r="P152" i="54"/>
  <c r="F163" i="54"/>
  <c r="F161" i="54"/>
  <c r="F159" i="54"/>
  <c r="F160" i="54"/>
  <c r="F162" i="54"/>
  <c r="F157" i="54"/>
  <c r="F158" i="54"/>
  <c r="F153" i="54"/>
  <c r="F151" i="54"/>
  <c r="F141" i="54"/>
  <c r="F137" i="54"/>
  <c r="F147" i="54"/>
  <c r="F136" i="54"/>
  <c r="F140" i="54"/>
  <c r="F148" i="54"/>
  <c r="C6" i="34"/>
  <c r="C6" i="50"/>
  <c r="C6" i="33"/>
  <c r="C7" i="48"/>
  <c r="C6" i="54"/>
  <c r="E172" i="54"/>
  <c r="V146" i="54" l="1"/>
  <c r="V143" i="54"/>
  <c r="V144" i="54"/>
  <c r="V153" i="54"/>
  <c r="P139" i="54"/>
  <c r="V162" i="54"/>
  <c r="V160" i="54"/>
  <c r="V148" i="54"/>
  <c r="V154" i="54"/>
  <c r="P155" i="54"/>
  <c r="V159" i="54"/>
  <c r="V161" i="54"/>
  <c r="V147" i="54"/>
  <c r="V152" i="54"/>
  <c r="V145" i="54"/>
  <c r="V158" i="54"/>
  <c r="V141" i="54"/>
  <c r="V149" i="54"/>
  <c r="P150" i="54"/>
  <c r="F139" i="54"/>
  <c r="F155" i="54"/>
  <c r="V157" i="54"/>
  <c r="V151" i="54"/>
  <c r="P164" i="54"/>
  <c r="V136" i="54"/>
  <c r="V165" i="54"/>
  <c r="P135" i="54"/>
  <c r="V166" i="54"/>
  <c r="V156" i="54"/>
  <c r="V163" i="54"/>
  <c r="V140" i="54"/>
  <c r="V137" i="54"/>
  <c r="V138" i="54"/>
  <c r="C11" i="33"/>
  <c r="C33" i="33"/>
  <c r="C55" i="33"/>
  <c r="C77" i="33"/>
  <c r="C99" i="33"/>
  <c r="C12" i="48"/>
  <c r="C56" i="48"/>
  <c r="C100" i="48"/>
  <c r="C78" i="48"/>
  <c r="C34" i="48"/>
  <c r="C80" i="50"/>
  <c r="C57" i="50"/>
  <c r="C34" i="50"/>
  <c r="C11" i="50"/>
  <c r="C103" i="50"/>
  <c r="C77" i="34"/>
  <c r="C99" i="34"/>
  <c r="C55" i="34"/>
  <c r="C33" i="34"/>
  <c r="C11" i="34"/>
  <c r="C11" i="54"/>
  <c r="C99" i="54"/>
  <c r="C33" i="54"/>
  <c r="C55" i="54"/>
  <c r="C77" i="54"/>
  <c r="F135" i="54"/>
  <c r="F150" i="54"/>
  <c r="F164" i="54"/>
  <c r="V155" i="54" l="1"/>
  <c r="V139" i="54"/>
  <c r="V164" i="54"/>
  <c r="V135" i="54"/>
  <c r="V150" i="54"/>
  <c r="P172" i="54"/>
  <c r="E344" i="55"/>
  <c r="E337" i="55"/>
  <c r="E326" i="55"/>
  <c r="C6" i="32" s="1"/>
  <c r="E319" i="55"/>
  <c r="C6" i="58" s="1"/>
  <c r="C83" i="58" s="1"/>
  <c r="E297" i="55"/>
  <c r="E301" i="55" s="1"/>
  <c r="E295" i="55"/>
  <c r="E279" i="55"/>
  <c r="E283" i="55" s="1"/>
  <c r="E277" i="55"/>
  <c r="E261" i="55"/>
  <c r="E263" i="55" s="1"/>
  <c r="E259" i="55"/>
  <c r="E243" i="55"/>
  <c r="E247" i="55" s="1"/>
  <c r="E241" i="55"/>
  <c r="E225" i="55"/>
  <c r="E227" i="55" s="1"/>
  <c r="E223" i="55"/>
  <c r="E206" i="55"/>
  <c r="E194" i="55"/>
  <c r="E182" i="55"/>
  <c r="E170" i="55"/>
  <c r="E158" i="55"/>
  <c r="C91" i="58" l="1"/>
  <c r="C90" i="58"/>
  <c r="C89" i="58"/>
  <c r="C88" i="58"/>
  <c r="C87" i="58"/>
  <c r="C94" i="58" s="1" a="1"/>
  <c r="C94" i="58" s="1"/>
  <c r="C86" i="58"/>
  <c r="C47" i="58"/>
  <c r="C65" i="58"/>
  <c r="C11" i="58"/>
  <c r="C29" i="58"/>
  <c r="C11" i="32"/>
  <c r="C47" i="32"/>
  <c r="C29" i="32"/>
  <c r="C65" i="32"/>
  <c r="C83" i="32"/>
  <c r="V172" i="54"/>
  <c r="E245" i="55"/>
  <c r="E322" i="55"/>
  <c r="E280" i="55"/>
  <c r="E299" i="55"/>
  <c r="E329" i="55"/>
  <c r="E226" i="55"/>
  <c r="E262" i="55"/>
  <c r="E264" i="55"/>
  <c r="E265" i="55"/>
  <c r="E281" i="55"/>
  <c r="E228" i="55"/>
  <c r="E282" i="55"/>
  <c r="E229" i="55"/>
  <c r="E244" i="55"/>
  <c r="E298" i="55"/>
  <c r="E246" i="55"/>
  <c r="E300" i="55"/>
  <c r="N70" i="49"/>
  <c r="M70" i="49"/>
  <c r="L70" i="49"/>
  <c r="M8" i="49"/>
  <c r="L8" i="49"/>
  <c r="N26" i="49"/>
  <c r="M26" i="49"/>
  <c r="L26" i="49"/>
  <c r="N22" i="49"/>
  <c r="M22" i="49"/>
  <c r="L22" i="49"/>
  <c r="N38" i="49"/>
  <c r="M38" i="49"/>
  <c r="L38" i="49"/>
  <c r="N35" i="49"/>
  <c r="M35" i="49"/>
  <c r="L35" i="49"/>
  <c r="N33" i="49"/>
  <c r="M33" i="49"/>
  <c r="L33" i="49"/>
  <c r="N32" i="49"/>
  <c r="M32" i="49"/>
  <c r="L32" i="49"/>
  <c r="N44" i="49"/>
  <c r="M44" i="49"/>
  <c r="L44" i="49"/>
  <c r="N45" i="49"/>
  <c r="M45" i="49"/>
  <c r="L45" i="49"/>
  <c r="N48" i="49"/>
  <c r="M48" i="49"/>
  <c r="L48" i="49"/>
  <c r="N42" i="49"/>
  <c r="M42" i="49"/>
  <c r="L42" i="49"/>
  <c r="N41" i="49"/>
  <c r="M41" i="49"/>
  <c r="L41" i="49"/>
  <c r="N50" i="49"/>
  <c r="M50" i="49"/>
  <c r="L50" i="49"/>
  <c r="M54" i="49"/>
  <c r="L54" i="49"/>
  <c r="N58" i="49"/>
  <c r="M58" i="49"/>
  <c r="L58" i="49"/>
  <c r="M55" i="49"/>
  <c r="L55" i="49"/>
  <c r="M56" i="49"/>
  <c r="L56" i="49"/>
  <c r="N57" i="49"/>
  <c r="M57" i="49"/>
  <c r="L57" i="49"/>
  <c r="M61" i="49"/>
  <c r="L61" i="49"/>
  <c r="M60" i="49"/>
  <c r="L60" i="49"/>
  <c r="M67" i="49"/>
  <c r="L67" i="49"/>
  <c r="N68" i="49"/>
  <c r="M68" i="49"/>
  <c r="L68" i="49"/>
  <c r="N69" i="49"/>
  <c r="M69" i="49"/>
  <c r="L69" i="49"/>
  <c r="M77" i="49"/>
  <c r="L77" i="49"/>
  <c r="M81" i="49"/>
  <c r="L81" i="49"/>
  <c r="N80" i="49"/>
  <c r="M80" i="49"/>
  <c r="L80" i="49"/>
  <c r="N92" i="49"/>
  <c r="M92" i="49"/>
  <c r="L92" i="49"/>
  <c r="N84" i="49"/>
  <c r="M84" i="49"/>
  <c r="L84" i="49"/>
  <c r="N88" i="49"/>
  <c r="M88" i="49"/>
  <c r="L88" i="49"/>
  <c r="K83" i="49"/>
  <c r="K76" i="49"/>
  <c r="K66" i="49"/>
  <c r="K59" i="49"/>
  <c r="K49" i="49"/>
  <c r="K37" i="49"/>
  <c r="K28" i="49"/>
  <c r="K21" i="49"/>
  <c r="C55" i="58" l="1"/>
  <c r="C52" i="58"/>
  <c r="C50" i="58"/>
  <c r="C54" i="58"/>
  <c r="C51" i="58"/>
  <c r="C58" i="58" s="1" a="1"/>
  <c r="C58" i="58" s="1"/>
  <c r="C53" i="58"/>
  <c r="C17" i="58"/>
  <c r="C14" i="58"/>
  <c r="C19" i="58"/>
  <c r="C18" i="58"/>
  <c r="C16" i="58"/>
  <c r="C15" i="58"/>
  <c r="C22" i="58" s="1" a="1"/>
  <c r="C22" i="58" s="1"/>
  <c r="C37" i="58"/>
  <c r="C36" i="58"/>
  <c r="C35" i="58"/>
  <c r="C34" i="58"/>
  <c r="C33" i="58"/>
  <c r="C40" i="58" s="1" a="1"/>
  <c r="C40" i="58" s="1"/>
  <c r="C32" i="58"/>
  <c r="C71" i="58"/>
  <c r="C70" i="58"/>
  <c r="C69" i="58"/>
  <c r="C76" i="58" s="1" a="1"/>
  <c r="C76" i="58" s="1"/>
  <c r="C68" i="58"/>
  <c r="C73" i="58"/>
  <c r="C72" i="58"/>
  <c r="C50" i="32"/>
  <c r="C55" i="32"/>
  <c r="C54" i="32"/>
  <c r="C53" i="32"/>
  <c r="C58" i="32" s="1" a="1"/>
  <c r="C58" i="32" s="1"/>
  <c r="C52" i="32"/>
  <c r="C57" i="32" s="1"/>
  <c r="C51" i="32"/>
  <c r="C19" i="32"/>
  <c r="C18" i="32"/>
  <c r="C17" i="32"/>
  <c r="C22" i="32" s="1" a="1"/>
  <c r="C22" i="32" s="1"/>
  <c r="C15" i="32"/>
  <c r="C16" i="32"/>
  <c r="C21" i="32" s="1"/>
  <c r="C14" i="32"/>
  <c r="C91" i="32"/>
  <c r="C90" i="32"/>
  <c r="C88" i="32"/>
  <c r="C93" i="32" s="1"/>
  <c r="C89" i="32"/>
  <c r="C94" i="32" s="1" a="1"/>
  <c r="C94" i="32" s="1"/>
  <c r="C87" i="32"/>
  <c r="C86" i="32"/>
  <c r="C33" i="32"/>
  <c r="C37" i="32"/>
  <c r="C36" i="32"/>
  <c r="C35" i="32"/>
  <c r="C40" i="32" s="1" a="1"/>
  <c r="C40" i="32" s="1"/>
  <c r="C34" i="32"/>
  <c r="C39" i="32" s="1"/>
  <c r="C32" i="32"/>
  <c r="C73" i="32"/>
  <c r="C72" i="32"/>
  <c r="C71" i="32"/>
  <c r="C76" i="32" s="1" a="1"/>
  <c r="C76" i="32" s="1"/>
  <c r="C70" i="32"/>
  <c r="C75" i="32" s="1"/>
  <c r="C69" i="32"/>
  <c r="C68" i="32"/>
  <c r="F192" i="34"/>
  <c r="F140" i="34"/>
  <c r="O68" i="49"/>
  <c r="O38" i="49"/>
  <c r="D139" i="55"/>
  <c r="D138" i="55"/>
  <c r="O67" i="49"/>
  <c r="D140" i="55"/>
  <c r="O22" i="49"/>
  <c r="O44" i="49"/>
  <c r="O60" i="49"/>
  <c r="O56" i="49"/>
  <c r="E323" i="55"/>
  <c r="E350" i="55"/>
  <c r="E331" i="55"/>
  <c r="D331" i="55" s="1"/>
  <c r="E332" i="55"/>
  <c r="D332" i="55" s="1"/>
  <c r="E330" i="55"/>
  <c r="D330" i="55" s="1"/>
  <c r="E334" i="55"/>
  <c r="E333" i="55"/>
  <c r="D333" i="55" s="1"/>
  <c r="O55" i="49"/>
  <c r="O70" i="49"/>
  <c r="O92" i="49"/>
  <c r="O32" i="49"/>
  <c r="O81" i="49"/>
  <c r="O8" i="49"/>
  <c r="O61" i="49"/>
  <c r="O57" i="49"/>
  <c r="O77" i="49"/>
  <c r="O58" i="49"/>
  <c r="O41" i="49"/>
  <c r="O33" i="49"/>
  <c r="O54" i="49"/>
  <c r="O69" i="49"/>
  <c r="O50" i="49"/>
  <c r="O26" i="49"/>
  <c r="O45" i="49"/>
  <c r="O88" i="49"/>
  <c r="O42" i="49"/>
  <c r="O35" i="49"/>
  <c r="O84" i="49"/>
  <c r="O80" i="49"/>
  <c r="N87" i="49"/>
  <c r="M87" i="49"/>
  <c r="L87" i="49"/>
  <c r="N86" i="49"/>
  <c r="M86" i="49"/>
  <c r="L86" i="49"/>
  <c r="L85" i="49"/>
  <c r="N85" i="49"/>
  <c r="M85" i="49"/>
  <c r="N91" i="49"/>
  <c r="M91" i="49"/>
  <c r="L91" i="49"/>
  <c r="N89" i="49"/>
  <c r="M89" i="49"/>
  <c r="L89" i="49"/>
  <c r="N90" i="49"/>
  <c r="M90" i="49"/>
  <c r="L90" i="49"/>
  <c r="N36" i="49"/>
  <c r="M36" i="49"/>
  <c r="L36" i="49"/>
  <c r="N34" i="49"/>
  <c r="M34" i="49"/>
  <c r="L34" i="49"/>
  <c r="N79" i="49"/>
  <c r="M79" i="49"/>
  <c r="L79" i="49"/>
  <c r="N78" i="49"/>
  <c r="M78" i="49"/>
  <c r="L78" i="49"/>
  <c r="N73" i="49"/>
  <c r="M73" i="49"/>
  <c r="L73" i="49"/>
  <c r="N71" i="49"/>
  <c r="M71" i="49"/>
  <c r="L71" i="49"/>
  <c r="N72" i="49"/>
  <c r="M72" i="49"/>
  <c r="L72" i="49"/>
  <c r="N51" i="49"/>
  <c r="M51" i="49"/>
  <c r="L51" i="49"/>
  <c r="N52" i="49"/>
  <c r="M52" i="49"/>
  <c r="L52" i="49"/>
  <c r="N75" i="49"/>
  <c r="M75" i="49"/>
  <c r="L75" i="49"/>
  <c r="N74" i="49"/>
  <c r="M74" i="49"/>
  <c r="L74" i="49"/>
  <c r="N53" i="49"/>
  <c r="M53" i="49"/>
  <c r="L53" i="49"/>
  <c r="N65" i="49"/>
  <c r="M65" i="49"/>
  <c r="L65" i="49"/>
  <c r="N64" i="49"/>
  <c r="M64" i="49"/>
  <c r="L64" i="49"/>
  <c r="N63" i="49"/>
  <c r="M63" i="49"/>
  <c r="L63" i="49"/>
  <c r="N40" i="49"/>
  <c r="M40" i="49"/>
  <c r="L40" i="49"/>
  <c r="N39" i="49"/>
  <c r="M39" i="49"/>
  <c r="L39" i="49"/>
  <c r="N43" i="49"/>
  <c r="M43" i="49"/>
  <c r="L43" i="49"/>
  <c r="N46" i="49"/>
  <c r="M46" i="49"/>
  <c r="L46" i="49"/>
  <c r="N47" i="49"/>
  <c r="M47" i="49"/>
  <c r="L47" i="49"/>
  <c r="C21" i="58" l="1"/>
  <c r="C24" i="32"/>
  <c r="E232" i="55" s="1"/>
  <c r="H92" i="57"/>
  <c r="G92" i="57"/>
  <c r="F92" i="57"/>
  <c r="G56" i="56"/>
  <c r="H56" i="56"/>
  <c r="F56" i="56"/>
  <c r="C23" i="32"/>
  <c r="C111" i="48"/>
  <c r="C110" i="34"/>
  <c r="C115" i="50"/>
  <c r="C110" i="33"/>
  <c r="C112" i="48"/>
  <c r="C111" i="34"/>
  <c r="C116" i="50"/>
  <c r="C111" i="33"/>
  <c r="C114" i="50"/>
  <c r="C109" i="33"/>
  <c r="C110" i="48"/>
  <c r="C109" i="34"/>
  <c r="E138" i="55"/>
  <c r="C109" i="54"/>
  <c r="E140" i="55"/>
  <c r="C111" i="54"/>
  <c r="E139" i="55"/>
  <c r="C110" i="54"/>
  <c r="D87" i="55"/>
  <c r="D86" i="55"/>
  <c r="D88" i="55"/>
  <c r="L76" i="49"/>
  <c r="D61" i="55"/>
  <c r="D60" i="55"/>
  <c r="D62" i="55"/>
  <c r="F150" i="34"/>
  <c r="N49" i="49"/>
  <c r="M76" i="49"/>
  <c r="N83" i="49"/>
  <c r="N76" i="49"/>
  <c r="L83" i="49"/>
  <c r="L66" i="49"/>
  <c r="N37" i="49"/>
  <c r="M66" i="49"/>
  <c r="L37" i="49"/>
  <c r="L49" i="49"/>
  <c r="N66" i="49"/>
  <c r="M37" i="49"/>
  <c r="M49" i="49"/>
  <c r="M83" i="49"/>
  <c r="O87" i="49"/>
  <c r="O86" i="49"/>
  <c r="O85" i="49"/>
  <c r="O34" i="49"/>
  <c r="O36" i="49"/>
  <c r="O91" i="49"/>
  <c r="O90" i="49"/>
  <c r="O72" i="49"/>
  <c r="O89" i="49"/>
  <c r="O47" i="49"/>
  <c r="O73" i="49"/>
  <c r="O79" i="49"/>
  <c r="O78" i="49"/>
  <c r="O51" i="49"/>
  <c r="O74" i="49"/>
  <c r="O71" i="49"/>
  <c r="O52" i="49"/>
  <c r="O40" i="49"/>
  <c r="O39" i="49"/>
  <c r="O53" i="49"/>
  <c r="O75" i="49"/>
  <c r="O48" i="49"/>
  <c r="O63" i="49"/>
  <c r="O65" i="49"/>
  <c r="O46" i="49"/>
  <c r="O43" i="49"/>
  <c r="C93" i="58" l="1"/>
  <c r="C57" i="58"/>
  <c r="C39" i="58"/>
  <c r="C75" i="58"/>
  <c r="C96" i="32"/>
  <c r="E304" i="55" s="1"/>
  <c r="C95" i="32"/>
  <c r="E303" i="55" s="1"/>
  <c r="C78" i="32"/>
  <c r="E286" i="55" s="1"/>
  <c r="C77" i="32"/>
  <c r="E285" i="55" s="1"/>
  <c r="C60" i="32"/>
  <c r="E268" i="55" s="1"/>
  <c r="C59" i="32"/>
  <c r="E267" i="55" s="1"/>
  <c r="C41" i="32"/>
  <c r="E249" i="55" s="1"/>
  <c r="C42" i="32"/>
  <c r="E250" i="55" s="1"/>
  <c r="C23" i="58"/>
  <c r="C24" i="58"/>
  <c r="E231" i="55"/>
  <c r="C67" i="34"/>
  <c r="C70" i="50"/>
  <c r="C67" i="33"/>
  <c r="C68" i="48"/>
  <c r="C45" i="48"/>
  <c r="C44" i="34"/>
  <c r="C44" i="33"/>
  <c r="C46" i="50"/>
  <c r="C46" i="48"/>
  <c r="C45" i="34"/>
  <c r="C45" i="33"/>
  <c r="C47" i="50"/>
  <c r="C66" i="48"/>
  <c r="C65" i="33"/>
  <c r="C65" i="34"/>
  <c r="C68" i="50"/>
  <c r="C45" i="50"/>
  <c r="C43" i="33"/>
  <c r="C44" i="48"/>
  <c r="C43" i="34"/>
  <c r="C66" i="34"/>
  <c r="C69" i="50"/>
  <c r="C66" i="33"/>
  <c r="C67" i="48"/>
  <c r="E87" i="55"/>
  <c r="C66" i="54"/>
  <c r="E88" i="55"/>
  <c r="C67" i="54"/>
  <c r="E60" i="55"/>
  <c r="C43" i="54"/>
  <c r="E86" i="55"/>
  <c r="C65" i="54"/>
  <c r="E62" i="55"/>
  <c r="C45" i="54"/>
  <c r="E61" i="55"/>
  <c r="C44" i="54"/>
  <c r="F172" i="54"/>
  <c r="E328" i="55" l="1"/>
  <c r="D362" i="55" s="1"/>
  <c r="E327" i="55"/>
  <c r="C362" i="55" s="1"/>
  <c r="C41" i="58"/>
  <c r="E172" i="55" s="1"/>
  <c r="C42" i="58"/>
  <c r="E173" i="55" s="1"/>
  <c r="C96" i="58"/>
  <c r="E209" i="55" s="1"/>
  <c r="C60" i="58"/>
  <c r="E185" i="55" s="1"/>
  <c r="C77" i="58"/>
  <c r="E196" i="55" s="1"/>
  <c r="C95" i="58"/>
  <c r="E208" i="55" s="1"/>
  <c r="C78" i="58"/>
  <c r="E197" i="55" s="1"/>
  <c r="C59" i="58"/>
  <c r="E184" i="55" s="1"/>
  <c r="E160" i="55"/>
  <c r="E161" i="55"/>
  <c r="N249" i="17"/>
  <c r="M249" i="17"/>
  <c r="G362" i="55" l="1"/>
  <c r="H362" i="55" s="1"/>
  <c r="E320" i="55"/>
  <c r="C361" i="55" s="1"/>
  <c r="E321" i="55"/>
  <c r="D361" i="55" s="1"/>
  <c r="O64" i="49"/>
  <c r="N62" i="49"/>
  <c r="M62" i="49"/>
  <c r="L62" i="49"/>
  <c r="M10" i="49"/>
  <c r="S1" i="49"/>
  <c r="K7" i="49"/>
  <c r="G249" i="17"/>
  <c r="F121" i="32" l="1"/>
  <c r="Q140" i="32" s="1"/>
  <c r="R140" i="32" s="1"/>
  <c r="G163" i="32"/>
  <c r="G161" i="32"/>
  <c r="G140" i="32"/>
  <c r="Q138" i="32"/>
  <c r="W138" i="32" s="1"/>
  <c r="X138" i="32" s="1"/>
  <c r="Q136" i="32"/>
  <c r="R136" i="32" s="1"/>
  <c r="G165" i="32"/>
  <c r="G162" i="32"/>
  <c r="H162" i="32" s="1"/>
  <c r="G148" i="32"/>
  <c r="H148" i="32" s="1"/>
  <c r="Q145" i="32"/>
  <c r="W145" i="32" s="1"/>
  <c r="X145" i="32" s="1"/>
  <c r="G136" i="32"/>
  <c r="Q137" i="32"/>
  <c r="R137" i="32" s="1"/>
  <c r="G146" i="32"/>
  <c r="G137" i="32"/>
  <c r="Q166" i="32"/>
  <c r="R166" i="32" s="1"/>
  <c r="Q165" i="32"/>
  <c r="R165" i="32" s="1"/>
  <c r="G141" i="32"/>
  <c r="Q163" i="32"/>
  <c r="R163" i="32" s="1"/>
  <c r="Q162" i="32"/>
  <c r="R162" i="32" s="1"/>
  <c r="Q161" i="32"/>
  <c r="R161" i="32" s="1"/>
  <c r="Q160" i="32"/>
  <c r="R160" i="32" s="1"/>
  <c r="Q159" i="32"/>
  <c r="R159" i="32" s="1"/>
  <c r="G160" i="32"/>
  <c r="H160" i="32" s="1"/>
  <c r="G158" i="32"/>
  <c r="G156" i="32"/>
  <c r="Q152" i="32"/>
  <c r="R152" i="32" s="1"/>
  <c r="Q143" i="32"/>
  <c r="W143" i="32" s="1"/>
  <c r="X143" i="32" s="1"/>
  <c r="Q158" i="32"/>
  <c r="R158" i="32" s="1"/>
  <c r="G159" i="32"/>
  <c r="G157" i="32"/>
  <c r="Q151" i="32"/>
  <c r="R151" i="32" s="1"/>
  <c r="Q146" i="32"/>
  <c r="R146" i="32" s="1"/>
  <c r="Q157" i="32"/>
  <c r="R157" i="32" s="1"/>
  <c r="Q147" i="32"/>
  <c r="R147" i="32" s="1"/>
  <c r="Q144" i="32"/>
  <c r="W144" i="32" s="1"/>
  <c r="X144" i="32" s="1"/>
  <c r="Q156" i="32"/>
  <c r="R156" i="32" s="1"/>
  <c r="Q149" i="32"/>
  <c r="W149" i="32" s="1"/>
  <c r="X149" i="32" s="1"/>
  <c r="Q154" i="32"/>
  <c r="W154" i="32" s="1"/>
  <c r="X154" i="32" s="1"/>
  <c r="Q153" i="32"/>
  <c r="R153" i="32" s="1"/>
  <c r="G151" i="32"/>
  <c r="Q141" i="32"/>
  <c r="R141" i="32" s="1"/>
  <c r="H153" i="17"/>
  <c r="I153" i="17" s="1"/>
  <c r="H169" i="17"/>
  <c r="I169" i="17" s="1"/>
  <c r="H168" i="17"/>
  <c r="I168" i="17" s="1"/>
  <c r="H187" i="17"/>
  <c r="I187" i="17" s="1"/>
  <c r="H186" i="17"/>
  <c r="I186" i="17" s="1"/>
  <c r="G361" i="55"/>
  <c r="H361" i="55" s="1"/>
  <c r="N59" i="49"/>
  <c r="L59" i="49"/>
  <c r="M59" i="49"/>
  <c r="J70" i="49"/>
  <c r="I70" i="49"/>
  <c r="I22" i="49"/>
  <c r="J33" i="49"/>
  <c r="J48" i="49"/>
  <c r="J50" i="49"/>
  <c r="J57" i="49"/>
  <c r="J26" i="49"/>
  <c r="I33" i="49"/>
  <c r="J45" i="49"/>
  <c r="I48" i="49"/>
  <c r="I50" i="49"/>
  <c r="I57" i="49"/>
  <c r="I26" i="49"/>
  <c r="J35" i="49"/>
  <c r="I45" i="49"/>
  <c r="J41" i="49"/>
  <c r="J58" i="49"/>
  <c r="J8" i="49"/>
  <c r="I35" i="49"/>
  <c r="J46" i="49"/>
  <c r="I41" i="49"/>
  <c r="I58" i="49"/>
  <c r="J56" i="49"/>
  <c r="I32" i="49"/>
  <c r="I8" i="49"/>
  <c r="J44" i="49"/>
  <c r="I46" i="49"/>
  <c r="J54" i="49"/>
  <c r="J55" i="49"/>
  <c r="I56" i="49"/>
  <c r="J38" i="49"/>
  <c r="I44" i="49"/>
  <c r="J42" i="49"/>
  <c r="I54" i="49"/>
  <c r="I55" i="49"/>
  <c r="J22" i="49"/>
  <c r="I38" i="49"/>
  <c r="J32" i="49"/>
  <c r="I42" i="49"/>
  <c r="I60" i="49"/>
  <c r="I69" i="49"/>
  <c r="J68" i="49"/>
  <c r="J81" i="49"/>
  <c r="J84" i="49"/>
  <c r="J77" i="49"/>
  <c r="I67" i="49"/>
  <c r="J61" i="49"/>
  <c r="I68" i="49"/>
  <c r="I81" i="49"/>
  <c r="I84" i="49"/>
  <c r="J67" i="49"/>
  <c r="I77" i="49"/>
  <c r="I61" i="49"/>
  <c r="J92" i="49"/>
  <c r="J80" i="49"/>
  <c r="J88" i="49"/>
  <c r="J60" i="49"/>
  <c r="J69" i="49"/>
  <c r="I80" i="49"/>
  <c r="I88" i="49"/>
  <c r="I92" i="49"/>
  <c r="O62" i="49"/>
  <c r="J87" i="49"/>
  <c r="I87" i="49"/>
  <c r="J86" i="49"/>
  <c r="I85" i="49"/>
  <c r="I86" i="49"/>
  <c r="J85" i="49"/>
  <c r="J89" i="49"/>
  <c r="I79" i="49"/>
  <c r="I89" i="49"/>
  <c r="J34" i="49"/>
  <c r="I36" i="49"/>
  <c r="I34" i="49"/>
  <c r="J78" i="49"/>
  <c r="J91" i="49"/>
  <c r="J36" i="49"/>
  <c r="I91" i="49"/>
  <c r="I78" i="49"/>
  <c r="J90" i="49"/>
  <c r="I90" i="49"/>
  <c r="J79" i="49"/>
  <c r="I71" i="49"/>
  <c r="J52" i="49"/>
  <c r="I52" i="49"/>
  <c r="J51" i="49"/>
  <c r="J73" i="49"/>
  <c r="J72" i="49"/>
  <c r="I51" i="49"/>
  <c r="I73" i="49"/>
  <c r="I72" i="49"/>
  <c r="J71" i="49"/>
  <c r="J62" i="49"/>
  <c r="J75" i="49"/>
  <c r="I75" i="49"/>
  <c r="J74" i="49"/>
  <c r="I74" i="49"/>
  <c r="J65" i="49"/>
  <c r="I65" i="49"/>
  <c r="J53" i="49"/>
  <c r="I53" i="49"/>
  <c r="J64" i="49"/>
  <c r="I64" i="49"/>
  <c r="J63" i="49"/>
  <c r="I63" i="49"/>
  <c r="J40" i="49"/>
  <c r="I40" i="49"/>
  <c r="I39" i="49"/>
  <c r="J39" i="49"/>
  <c r="J43" i="49"/>
  <c r="J47" i="49"/>
  <c r="I47" i="49"/>
  <c r="I43" i="49"/>
  <c r="I62" i="49"/>
  <c r="N31" i="49"/>
  <c r="M31" i="49"/>
  <c r="L31" i="49"/>
  <c r="J31" i="49"/>
  <c r="I31" i="49"/>
  <c r="N30" i="49"/>
  <c r="M30" i="49"/>
  <c r="L30" i="49"/>
  <c r="J30" i="49"/>
  <c r="I30" i="49"/>
  <c r="N29" i="49"/>
  <c r="M29" i="49"/>
  <c r="L29" i="49"/>
  <c r="J29" i="49"/>
  <c r="I29" i="49"/>
  <c r="N27" i="49"/>
  <c r="M27" i="49"/>
  <c r="L27" i="49"/>
  <c r="J27" i="49"/>
  <c r="I27" i="49"/>
  <c r="L25" i="49"/>
  <c r="N25" i="49"/>
  <c r="M25" i="49"/>
  <c r="J25" i="49"/>
  <c r="I25" i="49"/>
  <c r="N24" i="49"/>
  <c r="M24" i="49"/>
  <c r="L24" i="49"/>
  <c r="J24" i="49"/>
  <c r="I24" i="49"/>
  <c r="N23" i="49"/>
  <c r="M23" i="49"/>
  <c r="L23" i="49"/>
  <c r="J23" i="49"/>
  <c r="I23" i="49"/>
  <c r="N10" i="49"/>
  <c r="N11" i="49"/>
  <c r="M11" i="49"/>
  <c r="N14" i="49"/>
  <c r="M14" i="49"/>
  <c r="N15" i="49"/>
  <c r="M15" i="49"/>
  <c r="N16" i="49"/>
  <c r="M16" i="49"/>
  <c r="N17" i="49"/>
  <c r="M17" i="49"/>
  <c r="N18" i="49"/>
  <c r="M18" i="49"/>
  <c r="M19" i="49"/>
  <c r="N19" i="49"/>
  <c r="N20" i="49"/>
  <c r="M20" i="49"/>
  <c r="L20" i="49"/>
  <c r="J20" i="49"/>
  <c r="I20" i="49"/>
  <c r="L19" i="49"/>
  <c r="J19" i="49"/>
  <c r="I19" i="49"/>
  <c r="L18" i="49"/>
  <c r="J18" i="49"/>
  <c r="I18" i="49"/>
  <c r="L17" i="49"/>
  <c r="J17" i="49"/>
  <c r="I17" i="49"/>
  <c r="L16" i="49"/>
  <c r="J16" i="49"/>
  <c r="I16" i="49"/>
  <c r="L15" i="49"/>
  <c r="J15" i="49"/>
  <c r="I15" i="49"/>
  <c r="J14" i="49"/>
  <c r="I14" i="49"/>
  <c r="M13" i="49"/>
  <c r="L13" i="49"/>
  <c r="J13" i="49"/>
  <c r="I13" i="49"/>
  <c r="M12" i="49"/>
  <c r="L12" i="49"/>
  <c r="J12" i="49"/>
  <c r="I12" i="49"/>
  <c r="L14" i="49"/>
  <c r="L11" i="49"/>
  <c r="J11" i="49"/>
  <c r="I11" i="49"/>
  <c r="L10" i="49"/>
  <c r="J10" i="49"/>
  <c r="I10" i="49"/>
  <c r="G166" i="32" l="1"/>
  <c r="G153" i="32"/>
  <c r="G147" i="32"/>
  <c r="R164" i="32"/>
  <c r="S164" i="32" s="1"/>
  <c r="R138" i="32"/>
  <c r="R135" i="32" s="1"/>
  <c r="Q135" i="32"/>
  <c r="H110" i="17"/>
  <c r="I110" i="17" s="1"/>
  <c r="H111" i="17"/>
  <c r="I111" i="17" s="1"/>
  <c r="R145" i="32"/>
  <c r="R143" i="32"/>
  <c r="W148" i="32"/>
  <c r="X148" i="32" s="1"/>
  <c r="Q164" i="32"/>
  <c r="W147" i="32"/>
  <c r="X147" i="32" s="1"/>
  <c r="R144" i="32"/>
  <c r="Q139" i="32"/>
  <c r="H152" i="17"/>
  <c r="I152" i="17" s="1"/>
  <c r="R149" i="32"/>
  <c r="Q155" i="32"/>
  <c r="R154" i="32"/>
  <c r="R150" i="32" s="1"/>
  <c r="S150" i="32" s="1"/>
  <c r="W158" i="32"/>
  <c r="X158" i="32" s="1"/>
  <c r="H158" i="32"/>
  <c r="Q150" i="32"/>
  <c r="W160" i="32"/>
  <c r="X160" i="32" s="1"/>
  <c r="W162" i="32"/>
  <c r="X162" i="32" s="1"/>
  <c r="W152" i="32"/>
  <c r="X152" i="32" s="1"/>
  <c r="Q59" i="49"/>
  <c r="E30" i="55"/>
  <c r="E82" i="55"/>
  <c r="E108" i="55"/>
  <c r="E105" i="55"/>
  <c r="H195" i="17"/>
  <c r="F264" i="17" s="1"/>
  <c r="H196" i="17"/>
  <c r="G264" i="17" s="1"/>
  <c r="H163" i="32"/>
  <c r="H146" i="32"/>
  <c r="H87" i="17"/>
  <c r="F256" i="17" s="1"/>
  <c r="H88" i="17"/>
  <c r="G256" i="17" s="1"/>
  <c r="H140" i="32"/>
  <c r="H56" i="17"/>
  <c r="G253" i="17" s="1"/>
  <c r="H55" i="17"/>
  <c r="F253" i="17" s="1"/>
  <c r="H147" i="32"/>
  <c r="H103" i="17"/>
  <c r="I103" i="17" s="1"/>
  <c r="H102" i="17"/>
  <c r="I102" i="17" s="1"/>
  <c r="H70" i="17"/>
  <c r="G254" i="17" s="1"/>
  <c r="H69" i="17"/>
  <c r="F254" i="17" s="1"/>
  <c r="H141" i="32"/>
  <c r="W146" i="32"/>
  <c r="X146" i="32" s="1"/>
  <c r="W163" i="32"/>
  <c r="X163" i="32" s="1"/>
  <c r="G139" i="32"/>
  <c r="W140" i="32"/>
  <c r="X140" i="32" s="1"/>
  <c r="W141" i="32"/>
  <c r="X141" i="32" s="1"/>
  <c r="R155" i="32"/>
  <c r="S155" i="32" s="1"/>
  <c r="F103" i="58"/>
  <c r="D113" i="55"/>
  <c r="D112" i="55"/>
  <c r="D114" i="55"/>
  <c r="E56" i="55"/>
  <c r="D35" i="55"/>
  <c r="D34" i="55"/>
  <c r="D36" i="55"/>
  <c r="E134" i="55"/>
  <c r="I37" i="49"/>
  <c r="J66" i="49"/>
  <c r="I59" i="49"/>
  <c r="M21" i="49"/>
  <c r="J37" i="49"/>
  <c r="J59" i="49"/>
  <c r="L28" i="49"/>
  <c r="I83" i="49"/>
  <c r="I76" i="49"/>
  <c r="N21" i="49"/>
  <c r="I28" i="49"/>
  <c r="J83" i="49"/>
  <c r="J28" i="49"/>
  <c r="I66" i="49"/>
  <c r="J76" i="49"/>
  <c r="M28" i="49"/>
  <c r="I49" i="49"/>
  <c r="I21" i="49"/>
  <c r="N28" i="49"/>
  <c r="J49" i="49"/>
  <c r="J21" i="49"/>
  <c r="L21" i="49"/>
  <c r="O18" i="49"/>
  <c r="O29" i="49"/>
  <c r="O31" i="49"/>
  <c r="O13" i="49"/>
  <c r="O30" i="49"/>
  <c r="O20" i="49"/>
  <c r="N7" i="49"/>
  <c r="O14" i="49"/>
  <c r="O25" i="49"/>
  <c r="O24" i="49"/>
  <c r="O27" i="49"/>
  <c r="O23" i="49"/>
  <c r="O17" i="49"/>
  <c r="O16" i="49"/>
  <c r="O12" i="49"/>
  <c r="O19" i="49"/>
  <c r="O11" i="49"/>
  <c r="O15" i="49"/>
  <c r="O10" i="49"/>
  <c r="J9" i="49"/>
  <c r="J7" i="49" s="1"/>
  <c r="I9" i="49"/>
  <c r="M9" i="49"/>
  <c r="L9" i="49"/>
  <c r="F279" i="17" l="1"/>
  <c r="G279" i="17"/>
  <c r="Q123" i="58"/>
  <c r="Q132" i="58"/>
  <c r="Q128" i="58"/>
  <c r="Q122" i="58"/>
  <c r="Q141" i="58"/>
  <c r="Q133" i="58"/>
  <c r="Q120" i="58"/>
  <c r="Q142" i="58"/>
  <c r="Q136" i="58"/>
  <c r="Q119" i="58"/>
  <c r="Q145" i="58"/>
  <c r="Q140" i="58"/>
  <c r="Q137" i="58"/>
  <c r="Q131" i="58"/>
  <c r="Q130" i="58"/>
  <c r="Q125" i="58"/>
  <c r="Q144" i="58"/>
  <c r="Q126" i="58"/>
  <c r="Q135" i="58"/>
  <c r="Q118" i="58"/>
  <c r="G145" i="58"/>
  <c r="G119" i="58"/>
  <c r="G144" i="58"/>
  <c r="G122" i="58"/>
  <c r="G142" i="58"/>
  <c r="G123" i="58"/>
  <c r="G141" i="58"/>
  <c r="G125" i="58"/>
  <c r="G140" i="58"/>
  <c r="G139" i="58"/>
  <c r="G138" i="58"/>
  <c r="G137" i="58"/>
  <c r="G136" i="58"/>
  <c r="G132" i="58"/>
  <c r="G130" i="58"/>
  <c r="G118" i="58"/>
  <c r="G127" i="58"/>
  <c r="G126" i="58"/>
  <c r="Q172" i="32"/>
  <c r="R139" i="32"/>
  <c r="S139" i="32" s="1"/>
  <c r="Q21" i="49"/>
  <c r="Q49" i="49"/>
  <c r="C78" i="33"/>
  <c r="C78" i="34"/>
  <c r="C79" i="48"/>
  <c r="C78" i="54"/>
  <c r="E86" i="54" s="1"/>
  <c r="C81" i="50"/>
  <c r="C82" i="50" s="1"/>
  <c r="E27" i="55"/>
  <c r="E131" i="55"/>
  <c r="E53" i="55"/>
  <c r="E79" i="55"/>
  <c r="Q37" i="49"/>
  <c r="Q76" i="49"/>
  <c r="Q28" i="49"/>
  <c r="H139" i="32"/>
  <c r="Q83" i="49"/>
  <c r="Q66" i="49"/>
  <c r="I7" i="49"/>
  <c r="Q7" i="49"/>
  <c r="G257" i="17"/>
  <c r="F257" i="17"/>
  <c r="X139" i="32"/>
  <c r="W139" i="32"/>
  <c r="S135" i="32"/>
  <c r="C23" i="34"/>
  <c r="C24" i="50"/>
  <c r="C23" i="33"/>
  <c r="C24" i="48"/>
  <c r="C21" i="34"/>
  <c r="C22" i="50"/>
  <c r="C21" i="33"/>
  <c r="C22" i="48"/>
  <c r="C88" i="34"/>
  <c r="C92" i="50"/>
  <c r="C88" i="33"/>
  <c r="C89" i="48"/>
  <c r="C87" i="34"/>
  <c r="C91" i="50"/>
  <c r="C87" i="33"/>
  <c r="C88" i="48"/>
  <c r="C22" i="34"/>
  <c r="C23" i="50"/>
  <c r="C22" i="33"/>
  <c r="C23" i="48"/>
  <c r="C89" i="34"/>
  <c r="C93" i="50"/>
  <c r="C89" i="33"/>
  <c r="C90" i="48"/>
  <c r="E113" i="55"/>
  <c r="C88" i="54"/>
  <c r="E114" i="55"/>
  <c r="C89" i="54"/>
  <c r="E112" i="55"/>
  <c r="C87" i="54"/>
  <c r="E36" i="55"/>
  <c r="C23" i="54"/>
  <c r="E34" i="55"/>
  <c r="C21" i="54"/>
  <c r="E35" i="55"/>
  <c r="C22" i="54"/>
  <c r="L7" i="49"/>
  <c r="M7" i="49"/>
  <c r="O9" i="49"/>
  <c r="O249" i="17"/>
  <c r="L249" i="17"/>
  <c r="K249" i="17"/>
  <c r="J249" i="17"/>
  <c r="I249" i="17"/>
  <c r="H249" i="17"/>
  <c r="F249" i="17"/>
  <c r="E249" i="17"/>
  <c r="D249" i="17"/>
  <c r="G446" i="49"/>
  <c r="F447" i="49" s="1"/>
  <c r="G386" i="49"/>
  <c r="F387" i="49" s="1"/>
  <c r="G250" i="49"/>
  <c r="F251" i="49" s="1"/>
  <c r="G179" i="49"/>
  <c r="F180" i="49" s="1"/>
  <c r="G101" i="49"/>
  <c r="F102" i="49" s="1"/>
  <c r="E174" i="50"/>
  <c r="E168" i="50"/>
  <c r="E165" i="50"/>
  <c r="E159" i="50"/>
  <c r="E155" i="50"/>
  <c r="H154" i="50"/>
  <c r="H153" i="50"/>
  <c r="C88" i="50" l="1"/>
  <c r="C86" i="50"/>
  <c r="C96" i="50" s="1" a="1"/>
  <c r="C96" i="50" s="1"/>
  <c r="C98" i="50" s="1"/>
  <c r="C87" i="50"/>
  <c r="C85" i="50"/>
  <c r="C95" i="50" s="1"/>
  <c r="C97" i="50" s="1"/>
  <c r="C84" i="50"/>
  <c r="E89" i="54"/>
  <c r="E88" i="54"/>
  <c r="E87" i="54"/>
  <c r="C80" i="54"/>
  <c r="C83" i="54"/>
  <c r="C92" i="54" s="1" a="1"/>
  <c r="C92" i="54" s="1"/>
  <c r="C85" i="54"/>
  <c r="C84" i="54"/>
  <c r="C82" i="54"/>
  <c r="C91" i="54" s="1"/>
  <c r="C81" i="54"/>
  <c r="C18" i="48"/>
  <c r="C27" i="48" s="1" a="1"/>
  <c r="C27" i="48" s="1"/>
  <c r="K83" i="48"/>
  <c r="K92" i="48" s="1"/>
  <c r="K82" i="48"/>
  <c r="K81" i="48"/>
  <c r="K86" i="48"/>
  <c r="K85" i="48"/>
  <c r="K84" i="48"/>
  <c r="K93" i="48" s="1" a="1"/>
  <c r="K93" i="48" s="1"/>
  <c r="K95" i="48" s="1"/>
  <c r="G83" i="48"/>
  <c r="G93" i="48" s="1" a="1"/>
  <c r="G93" i="48" s="1"/>
  <c r="G95" i="48" s="1"/>
  <c r="G82" i="48"/>
  <c r="G92" i="48" s="1"/>
  <c r="G94" i="48" s="1"/>
  <c r="G84" i="48"/>
  <c r="G81" i="48"/>
  <c r="K83" i="34"/>
  <c r="K82" i="34"/>
  <c r="K92" i="34" s="1" a="1"/>
  <c r="K92" i="34" s="1"/>
  <c r="K94" i="34" s="1"/>
  <c r="K81" i="34"/>
  <c r="K91" i="34" s="1"/>
  <c r="K93" i="34" s="1"/>
  <c r="K80" i="34"/>
  <c r="C84" i="48"/>
  <c r="C93" i="48" s="1" a="1"/>
  <c r="C93" i="48" s="1"/>
  <c r="C83" i="48"/>
  <c r="C92" i="48" s="1"/>
  <c r="C82" i="48"/>
  <c r="C81" i="48"/>
  <c r="C86" i="48"/>
  <c r="C85" i="48"/>
  <c r="C83" i="34"/>
  <c r="C82" i="34"/>
  <c r="C92" i="34" s="1" a="1"/>
  <c r="C92" i="34" s="1"/>
  <c r="C81" i="34"/>
  <c r="C91" i="34" s="1"/>
  <c r="C80" i="34"/>
  <c r="E21" i="54"/>
  <c r="G82" i="34"/>
  <c r="G92" i="34" s="1" a="1"/>
  <c r="G92" i="34" s="1"/>
  <c r="G83" i="34"/>
  <c r="G81" i="34"/>
  <c r="G91" i="34" s="1"/>
  <c r="G80" i="34"/>
  <c r="R172" i="32"/>
  <c r="S172" i="32" s="1"/>
  <c r="C81" i="33"/>
  <c r="C84" i="33"/>
  <c r="C85" i="33"/>
  <c r="C80" i="33"/>
  <c r="C83" i="33"/>
  <c r="C82" i="33"/>
  <c r="C56" i="34"/>
  <c r="C56" i="33"/>
  <c r="C58" i="50"/>
  <c r="C59" i="50" s="1"/>
  <c r="C57" i="48"/>
  <c r="C56" i="54"/>
  <c r="C34" i="54"/>
  <c r="C34" i="33"/>
  <c r="C34" i="34"/>
  <c r="C35" i="48"/>
  <c r="C35" i="50"/>
  <c r="C36" i="50" s="1"/>
  <c r="C100" i="34"/>
  <c r="C100" i="33"/>
  <c r="C100" i="54"/>
  <c r="C104" i="50"/>
  <c r="C105" i="50" s="1"/>
  <c r="C101" i="48"/>
  <c r="C12" i="33"/>
  <c r="E87" i="33" s="1"/>
  <c r="C12" i="34"/>
  <c r="C15" i="34" s="1"/>
  <c r="C25" i="34" s="1"/>
  <c r="C13" i="48"/>
  <c r="C17" i="48" s="1"/>
  <c r="C26" i="48" s="1"/>
  <c r="C12" i="54"/>
  <c r="E20" i="54" s="1"/>
  <c r="C12" i="50"/>
  <c r="C13" i="50" s="1"/>
  <c r="E315" i="55"/>
  <c r="D315" i="55" s="1"/>
  <c r="E314" i="55"/>
  <c r="D314" i="55" s="1"/>
  <c r="E313" i="55"/>
  <c r="D313" i="55" s="1"/>
  <c r="V137" i="32"/>
  <c r="V136" i="32"/>
  <c r="V153" i="32"/>
  <c r="V165" i="32"/>
  <c r="V166" i="32"/>
  <c r="F173" i="50"/>
  <c r="F156" i="50"/>
  <c r="F157" i="50"/>
  <c r="F160" i="50"/>
  <c r="F161" i="50"/>
  <c r="E219" i="34"/>
  <c r="F136" i="33"/>
  <c r="F137" i="33"/>
  <c r="E182" i="50"/>
  <c r="K17" i="34" l="1"/>
  <c r="G14" i="34"/>
  <c r="G16" i="34"/>
  <c r="G26" i="34" s="1" a="1"/>
  <c r="G26" i="34" s="1"/>
  <c r="C14" i="54"/>
  <c r="C17" i="54"/>
  <c r="C26" i="54" s="1" a="1"/>
  <c r="C26" i="54" s="1"/>
  <c r="C19" i="48"/>
  <c r="C17" i="34"/>
  <c r="C20" i="48"/>
  <c r="G17" i="34"/>
  <c r="G15" i="34"/>
  <c r="G25" i="34" s="1"/>
  <c r="G27" i="34" s="1"/>
  <c r="C111" i="50"/>
  <c r="C110" i="50"/>
  <c r="C109" i="50"/>
  <c r="C119" i="50" s="1" a="1"/>
  <c r="C119" i="50" s="1"/>
  <c r="C121" i="50" s="1"/>
  <c r="C108" i="50"/>
  <c r="C118" i="50" s="1"/>
  <c r="C120" i="50" s="1"/>
  <c r="C107" i="50"/>
  <c r="E22" i="54"/>
  <c r="C15" i="48"/>
  <c r="C64" i="50"/>
  <c r="C63" i="50"/>
  <c r="C73" i="50" s="1" a="1"/>
  <c r="C73" i="50" s="1"/>
  <c r="C75" i="50" s="1"/>
  <c r="C62" i="50"/>
  <c r="C72" i="50" s="1"/>
  <c r="C74" i="50" s="1"/>
  <c r="C61" i="50"/>
  <c r="C65" i="50"/>
  <c r="C15" i="54"/>
  <c r="C16" i="54"/>
  <c r="C25" i="54" s="1"/>
  <c r="C27" i="54" s="1"/>
  <c r="C40" i="50"/>
  <c r="C50" i="50" s="1" a="1"/>
  <c r="C50" i="50" s="1"/>
  <c r="C52" i="50" s="1"/>
  <c r="C41" i="50"/>
  <c r="C42" i="50"/>
  <c r="C39" i="50"/>
  <c r="C49" i="50" s="1"/>
  <c r="C51" i="50" s="1"/>
  <c r="C38" i="50"/>
  <c r="C16" i="48"/>
  <c r="C16" i="34"/>
  <c r="C26" i="34" s="1" a="1"/>
  <c r="C26" i="34" s="1"/>
  <c r="C28" i="34" s="1"/>
  <c r="C18" i="54"/>
  <c r="C19" i="54"/>
  <c r="C19" i="50"/>
  <c r="C18" i="50"/>
  <c r="C17" i="50"/>
  <c r="C27" i="50" s="1" a="1"/>
  <c r="C27" i="50" s="1"/>
  <c r="C29" i="50" s="1"/>
  <c r="C16" i="50"/>
  <c r="C26" i="50" s="1"/>
  <c r="C28" i="50" s="1"/>
  <c r="C15" i="50"/>
  <c r="E108" i="54"/>
  <c r="C107" i="54"/>
  <c r="E109" i="54"/>
  <c r="C105" i="54"/>
  <c r="C114" i="54" s="1" a="1"/>
  <c r="C114" i="54" s="1"/>
  <c r="E111" i="54"/>
  <c r="C106" i="54"/>
  <c r="C104" i="54"/>
  <c r="C113" i="54" s="1"/>
  <c r="C103" i="54"/>
  <c r="C102" i="54"/>
  <c r="E110" i="54"/>
  <c r="K107" i="48"/>
  <c r="K106" i="48"/>
  <c r="K115" i="48" s="1" a="1"/>
  <c r="K115" i="48" s="1"/>
  <c r="K104" i="48"/>
  <c r="K108" i="48"/>
  <c r="K105" i="48"/>
  <c r="K114" i="48" s="1"/>
  <c r="K103" i="48"/>
  <c r="G106" i="48"/>
  <c r="G104" i="48"/>
  <c r="G114" i="48" s="1"/>
  <c r="G116" i="48" s="1"/>
  <c r="G103" i="48"/>
  <c r="G105" i="48"/>
  <c r="G115" i="48" s="1" a="1"/>
  <c r="G115" i="48" s="1"/>
  <c r="G117" i="48" s="1"/>
  <c r="C108" i="48"/>
  <c r="C104" i="48"/>
  <c r="C107" i="48"/>
  <c r="C106" i="48"/>
  <c r="C115" i="48" s="1" a="1"/>
  <c r="C115" i="48" s="1"/>
  <c r="C105" i="48"/>
  <c r="C114" i="48" s="1"/>
  <c r="C103" i="48"/>
  <c r="G102" i="34"/>
  <c r="K105" i="34"/>
  <c r="G105" i="34"/>
  <c r="K102" i="34"/>
  <c r="K104" i="34"/>
  <c r="K114" i="34" s="1" a="1"/>
  <c r="K114" i="34" s="1"/>
  <c r="K116" i="34" s="1"/>
  <c r="C102" i="34"/>
  <c r="G104" i="34"/>
  <c r="G114" i="34" s="1" a="1"/>
  <c r="G114" i="34" s="1"/>
  <c r="G116" i="34" s="1"/>
  <c r="G103" i="34"/>
  <c r="G113" i="34" s="1"/>
  <c r="G115" i="34" s="1"/>
  <c r="K103" i="34"/>
  <c r="K113" i="34" s="1"/>
  <c r="K115" i="34" s="1"/>
  <c r="C103" i="34"/>
  <c r="C113" i="34" s="1"/>
  <c r="C115" i="34" s="1"/>
  <c r="C104" i="34"/>
  <c r="C114" i="34" s="1" a="1"/>
  <c r="C114" i="34" s="1"/>
  <c r="C116" i="34" s="1"/>
  <c r="C105" i="34"/>
  <c r="K41" i="48"/>
  <c r="K40" i="48"/>
  <c r="K49" i="48" s="1" a="1"/>
  <c r="K49" i="48" s="1"/>
  <c r="K51" i="48" s="1"/>
  <c r="K37" i="48"/>
  <c r="K39" i="48"/>
  <c r="K48" i="48" s="1"/>
  <c r="K38" i="48"/>
  <c r="G39" i="48"/>
  <c r="G49" i="48" s="1" a="1"/>
  <c r="G49" i="48" s="1"/>
  <c r="G51" i="48" s="1"/>
  <c r="G37" i="48"/>
  <c r="G40" i="48"/>
  <c r="G38" i="48"/>
  <c r="G48" i="48" s="1"/>
  <c r="G50" i="48" s="1"/>
  <c r="K42" i="48"/>
  <c r="C41" i="48"/>
  <c r="C42" i="48"/>
  <c r="C40" i="48"/>
  <c r="C49" i="48" s="1" a="1"/>
  <c r="C49" i="48" s="1"/>
  <c r="C39" i="48"/>
  <c r="C48" i="48" s="1"/>
  <c r="C38" i="48"/>
  <c r="C37" i="48"/>
  <c r="K37" i="34"/>
  <c r="K47" i="34" s="1"/>
  <c r="K49" i="34" s="1"/>
  <c r="C39" i="34"/>
  <c r="C37" i="34"/>
  <c r="C47" i="34" s="1"/>
  <c r="C49" i="34" s="1"/>
  <c r="C38" i="34"/>
  <c r="C48" i="34" s="1" a="1"/>
  <c r="C48" i="34" s="1"/>
  <c r="C50" i="34" s="1"/>
  <c r="G36" i="34"/>
  <c r="C36" i="34"/>
  <c r="G38" i="34"/>
  <c r="G48" i="34" s="1" a="1"/>
  <c r="G48" i="34" s="1"/>
  <c r="G37" i="34"/>
  <c r="G47" i="34" s="1"/>
  <c r="G49" i="34" s="1"/>
  <c r="G39" i="34"/>
  <c r="K36" i="34"/>
  <c r="K39" i="34"/>
  <c r="K38" i="34"/>
  <c r="K48" i="34" s="1" a="1"/>
  <c r="K48" i="34" s="1"/>
  <c r="K50" i="34" s="1"/>
  <c r="E23" i="54"/>
  <c r="K14" i="34"/>
  <c r="K59" i="48"/>
  <c r="K64" i="48"/>
  <c r="K63" i="48"/>
  <c r="K62" i="48"/>
  <c r="K71" i="48" s="1" a="1"/>
  <c r="K71" i="48" s="1"/>
  <c r="K73" i="48" s="1"/>
  <c r="K61" i="48"/>
  <c r="K70" i="48" s="1"/>
  <c r="K60" i="48"/>
  <c r="G59" i="48"/>
  <c r="G60" i="48"/>
  <c r="G70" i="48" s="1"/>
  <c r="G72" i="48" s="1"/>
  <c r="G62" i="48"/>
  <c r="G61" i="48"/>
  <c r="G71" i="48" s="1" a="1"/>
  <c r="G71" i="48" s="1"/>
  <c r="G73" i="48" s="1"/>
  <c r="C59" i="48"/>
  <c r="C64" i="48"/>
  <c r="C63" i="48"/>
  <c r="C62" i="48"/>
  <c r="C71" i="48" s="1" a="1"/>
  <c r="C71" i="48" s="1"/>
  <c r="C61" i="48"/>
  <c r="C70" i="48" s="1"/>
  <c r="C60" i="48"/>
  <c r="K15" i="34"/>
  <c r="K25" i="34" s="1"/>
  <c r="K27" i="34" s="1"/>
  <c r="G60" i="34"/>
  <c r="G70" i="34" s="1" a="1"/>
  <c r="G70" i="34" s="1"/>
  <c r="G72" i="34" s="1"/>
  <c r="C59" i="34"/>
  <c r="C69" i="34" s="1"/>
  <c r="C71" i="34" s="1"/>
  <c r="C61" i="34"/>
  <c r="G59" i="34"/>
  <c r="G69" i="34" s="1"/>
  <c r="G71" i="34" s="1"/>
  <c r="C60" i="34"/>
  <c r="C70" i="34" s="1" a="1"/>
  <c r="C70" i="34" s="1"/>
  <c r="C72" i="34" s="1"/>
  <c r="C58" i="34"/>
  <c r="G58" i="34"/>
  <c r="K58" i="34"/>
  <c r="K60" i="34"/>
  <c r="K70" i="34" s="1" a="1"/>
  <c r="K70" i="34" s="1"/>
  <c r="K72" i="34" s="1"/>
  <c r="G61" i="34"/>
  <c r="K59" i="34"/>
  <c r="K69" i="34" s="1"/>
  <c r="K71" i="34" s="1"/>
  <c r="K61" i="34"/>
  <c r="K16" i="34"/>
  <c r="K26" i="34" s="1" a="1"/>
  <c r="K26" i="34" s="1"/>
  <c r="E42" i="54"/>
  <c r="C41" i="54"/>
  <c r="C39" i="54"/>
  <c r="C48" i="54" s="1" a="1"/>
  <c r="C48" i="54" s="1"/>
  <c r="C40" i="54"/>
  <c r="C38" i="54"/>
  <c r="C47" i="54" s="1"/>
  <c r="C37" i="54"/>
  <c r="E45" i="54"/>
  <c r="E44" i="54"/>
  <c r="E43" i="54"/>
  <c r="C36" i="54"/>
  <c r="E90" i="48"/>
  <c r="K19" i="48"/>
  <c r="G18" i="48"/>
  <c r="G17" i="48"/>
  <c r="G27" i="48" s="1" a="1"/>
  <c r="G27" i="48" s="1"/>
  <c r="G16" i="48"/>
  <c r="G26" i="48" s="1"/>
  <c r="G15" i="48"/>
  <c r="K15" i="48"/>
  <c r="K17" i="48"/>
  <c r="K26" i="48" s="1"/>
  <c r="K28" i="48" s="1"/>
  <c r="K16" i="48"/>
  <c r="K20" i="48"/>
  <c r="K18" i="48"/>
  <c r="K27" i="48" s="1" a="1"/>
  <c r="K27" i="48" s="1"/>
  <c r="K29" i="48" s="1"/>
  <c r="E64" i="54"/>
  <c r="E66" i="54"/>
  <c r="C60" i="54"/>
  <c r="C69" i="54" s="1"/>
  <c r="C62" i="54"/>
  <c r="C61" i="54"/>
  <c r="C70" i="54" s="1" a="1"/>
  <c r="C70" i="54" s="1"/>
  <c r="E65" i="54"/>
  <c r="C63" i="54"/>
  <c r="C58" i="54"/>
  <c r="C59" i="54"/>
  <c r="E67" i="54"/>
  <c r="C14" i="34"/>
  <c r="C91" i="33"/>
  <c r="C93" i="33" s="1"/>
  <c r="E24" i="50"/>
  <c r="C92" i="33" a="1"/>
  <c r="C92" i="33" s="1"/>
  <c r="C94" i="33" s="1"/>
  <c r="K94" i="48"/>
  <c r="C28" i="54"/>
  <c r="E22" i="33"/>
  <c r="C14" i="33"/>
  <c r="E88" i="48"/>
  <c r="C27" i="34"/>
  <c r="E22" i="48"/>
  <c r="G28" i="34"/>
  <c r="E88" i="33"/>
  <c r="C28" i="48"/>
  <c r="E44" i="50"/>
  <c r="E43" i="48"/>
  <c r="G50" i="34"/>
  <c r="C37" i="33"/>
  <c r="C38" i="33"/>
  <c r="C39" i="33"/>
  <c r="C36" i="33"/>
  <c r="C40" i="33"/>
  <c r="C41" i="33"/>
  <c r="E67" i="50"/>
  <c r="E21" i="50"/>
  <c r="E113" i="50"/>
  <c r="E90" i="50"/>
  <c r="E116" i="50"/>
  <c r="E114" i="50"/>
  <c r="E115" i="50"/>
  <c r="E45" i="50"/>
  <c r="E70" i="50"/>
  <c r="E68" i="50"/>
  <c r="E47" i="50"/>
  <c r="E46" i="50"/>
  <c r="E69" i="50"/>
  <c r="C59" i="33"/>
  <c r="C69" i="33" s="1"/>
  <c r="C71" i="33" s="1"/>
  <c r="C61" i="33"/>
  <c r="C60" i="33"/>
  <c r="C70" i="33" s="1" a="1"/>
  <c r="C70" i="33" s="1"/>
  <c r="C72" i="33" s="1"/>
  <c r="C58" i="33"/>
  <c r="C62" i="33"/>
  <c r="C63" i="33"/>
  <c r="E109" i="48"/>
  <c r="E87" i="48"/>
  <c r="E65" i="48"/>
  <c r="E21" i="48"/>
  <c r="E112" i="48"/>
  <c r="E111" i="48"/>
  <c r="E110" i="48"/>
  <c r="E68" i="48"/>
  <c r="E44" i="48"/>
  <c r="E67" i="48"/>
  <c r="E46" i="48"/>
  <c r="E66" i="48"/>
  <c r="E45" i="48"/>
  <c r="E92" i="50"/>
  <c r="C15" i="33"/>
  <c r="C18" i="33"/>
  <c r="E64" i="33"/>
  <c r="E86" i="33"/>
  <c r="C16" i="33"/>
  <c r="E108" i="33"/>
  <c r="C19" i="33"/>
  <c r="E20" i="33"/>
  <c r="E42" i="33"/>
  <c r="C17" i="33"/>
  <c r="E111" i="33"/>
  <c r="E110" i="33"/>
  <c r="E109" i="33"/>
  <c r="E67" i="33"/>
  <c r="E45" i="33"/>
  <c r="E65" i="33"/>
  <c r="E66" i="33"/>
  <c r="E43" i="33"/>
  <c r="E44" i="33"/>
  <c r="E89" i="48"/>
  <c r="E22" i="50"/>
  <c r="E91" i="50"/>
  <c r="K117" i="48"/>
  <c r="E23" i="50"/>
  <c r="E23" i="48"/>
  <c r="C107" i="33"/>
  <c r="C106" i="33"/>
  <c r="C105" i="33"/>
  <c r="C104" i="33"/>
  <c r="C103" i="33"/>
  <c r="C102" i="33"/>
  <c r="E93" i="50"/>
  <c r="E89" i="33"/>
  <c r="C29" i="48"/>
  <c r="E21" i="33"/>
  <c r="E23" i="33"/>
  <c r="E24" i="48"/>
  <c r="G94" i="34"/>
  <c r="C95" i="48"/>
  <c r="C93" i="34"/>
  <c r="C94" i="34"/>
  <c r="G93" i="34"/>
  <c r="C94" i="48"/>
  <c r="V164" i="32"/>
  <c r="V151" i="32"/>
  <c r="V150" i="32" s="1"/>
  <c r="F150" i="32"/>
  <c r="V135" i="32"/>
  <c r="W159" i="32"/>
  <c r="X159" i="32" s="1"/>
  <c r="W157" i="32"/>
  <c r="X157" i="32" s="1"/>
  <c r="W166" i="32"/>
  <c r="X166" i="32" s="1"/>
  <c r="W136" i="32"/>
  <c r="W161" i="32"/>
  <c r="X161" i="32" s="1"/>
  <c r="W137" i="32"/>
  <c r="X137" i="32" s="1"/>
  <c r="W153" i="32"/>
  <c r="X153" i="32" s="1"/>
  <c r="H138" i="32"/>
  <c r="F164" i="32"/>
  <c r="W165" i="32"/>
  <c r="F174" i="50"/>
  <c r="F168" i="50"/>
  <c r="F145" i="33"/>
  <c r="F165" i="50"/>
  <c r="F159" i="50"/>
  <c r="F155" i="50"/>
  <c r="F154" i="33"/>
  <c r="F135" i="33"/>
  <c r="F148" i="33"/>
  <c r="F139" i="33"/>
  <c r="F135" i="32"/>
  <c r="F155" i="32"/>
  <c r="C94" i="54" l="1"/>
  <c r="E117" i="55" s="1"/>
  <c r="C93" i="54"/>
  <c r="E116" i="55" s="1"/>
  <c r="C50" i="48"/>
  <c r="C47" i="33"/>
  <c r="C49" i="33" s="1"/>
  <c r="C113" i="33"/>
  <c r="C115" i="33" s="1"/>
  <c r="C48" i="33" a="1"/>
  <c r="C48" i="33" s="1"/>
  <c r="C50" i="33" s="1"/>
  <c r="C26" i="33" a="1"/>
  <c r="C26" i="33" s="1"/>
  <c r="C28" i="33" s="1"/>
  <c r="C51" i="48"/>
  <c r="C72" i="48"/>
  <c r="C73" i="48"/>
  <c r="C117" i="48"/>
  <c r="C114" i="33" a="1"/>
  <c r="C114" i="33" s="1"/>
  <c r="C116" i="33" s="1"/>
  <c r="C116" i="48"/>
  <c r="K116" i="48"/>
  <c r="C25" i="33"/>
  <c r="K72" i="48"/>
  <c r="K50" i="48"/>
  <c r="I42" i="33"/>
  <c r="I20" i="33"/>
  <c r="D365" i="55" a="1"/>
  <c r="D365" i="55" s="1"/>
  <c r="C365" i="55"/>
  <c r="C366" i="55"/>
  <c r="D366" i="55"/>
  <c r="D368" i="55"/>
  <c r="C367" i="55"/>
  <c r="C368" i="55"/>
  <c r="F172" i="32"/>
  <c r="G150" i="32"/>
  <c r="W151" i="32"/>
  <c r="H156" i="32"/>
  <c r="W156" i="32"/>
  <c r="W164" i="32"/>
  <c r="X165" i="32"/>
  <c r="X164" i="32" s="1"/>
  <c r="X136" i="32"/>
  <c r="X135" i="32" s="1"/>
  <c r="W135" i="32"/>
  <c r="H166" i="32"/>
  <c r="H218" i="17"/>
  <c r="H219" i="17"/>
  <c r="H161" i="17"/>
  <c r="G262" i="17" s="1"/>
  <c r="H160" i="17"/>
  <c r="F262" i="17" s="1"/>
  <c r="H210" i="17"/>
  <c r="H209" i="17"/>
  <c r="H132" i="17"/>
  <c r="H131" i="17"/>
  <c r="H177" i="17"/>
  <c r="F263" i="17" s="1"/>
  <c r="H178" i="17"/>
  <c r="G263" i="17" s="1"/>
  <c r="H151" i="32"/>
  <c r="H121" i="17"/>
  <c r="H122" i="17"/>
  <c r="H144" i="17"/>
  <c r="G261" i="17" s="1"/>
  <c r="H143" i="17"/>
  <c r="F261" i="17" s="1"/>
  <c r="H40" i="17"/>
  <c r="G251" i="17" s="1"/>
  <c r="H39" i="17"/>
  <c r="F251" i="17" s="1"/>
  <c r="H25" i="17"/>
  <c r="H26" i="17"/>
  <c r="E39" i="55"/>
  <c r="E38" i="55"/>
  <c r="V172" i="32"/>
  <c r="H161" i="32"/>
  <c r="H153" i="32"/>
  <c r="H137" i="32"/>
  <c r="H157" i="32"/>
  <c r="H136" i="32"/>
  <c r="H159" i="32"/>
  <c r="H165" i="32"/>
  <c r="F182" i="50"/>
  <c r="F219" i="34"/>
  <c r="F162" i="33"/>
  <c r="C27" i="33" l="1"/>
  <c r="C364" i="55" s="1"/>
  <c r="C116" i="54"/>
  <c r="E143" i="55" s="1"/>
  <c r="G28" i="48"/>
  <c r="C370" i="55" s="1"/>
  <c r="C71" i="54"/>
  <c r="E90" i="55" s="1"/>
  <c r="C115" i="54"/>
  <c r="E142" i="55" s="1"/>
  <c r="G29" i="48"/>
  <c r="D370" i="55" s="1"/>
  <c r="C72" i="54"/>
  <c r="E91" i="55" s="1"/>
  <c r="K28" i="34"/>
  <c r="D367" i="55" s="1"/>
  <c r="D364" i="55"/>
  <c r="C369" i="55"/>
  <c r="D371" i="55"/>
  <c r="D369" i="55"/>
  <c r="C371" i="55"/>
  <c r="G368" i="55"/>
  <c r="F141" i="50" s="1"/>
  <c r="H150" i="32"/>
  <c r="X156" i="32"/>
  <c r="X155" i="32" s="1"/>
  <c r="W155" i="32"/>
  <c r="X151" i="32"/>
  <c r="X150" i="32" s="1"/>
  <c r="W150" i="32"/>
  <c r="G258" i="17"/>
  <c r="G250" i="17"/>
  <c r="I26" i="17"/>
  <c r="G272" i="17" s="1"/>
  <c r="F258" i="17"/>
  <c r="I121" i="17"/>
  <c r="F280" i="17" s="1"/>
  <c r="I161" i="17"/>
  <c r="G284" i="17" s="1"/>
  <c r="F259" i="17"/>
  <c r="I131" i="17"/>
  <c r="F281" i="17" s="1"/>
  <c r="I160" i="17"/>
  <c r="F284" i="17" s="1"/>
  <c r="G265" i="17"/>
  <c r="I210" i="17"/>
  <c r="G287" i="17" s="1"/>
  <c r="G266" i="17"/>
  <c r="I219" i="17"/>
  <c r="G288" i="17" s="1"/>
  <c r="I39" i="17"/>
  <c r="F273" i="17" s="1"/>
  <c r="I177" i="17"/>
  <c r="F285" i="17" s="1"/>
  <c r="F265" i="17"/>
  <c r="I209" i="17"/>
  <c r="F287" i="17" s="1"/>
  <c r="F266" i="17"/>
  <c r="I218" i="17"/>
  <c r="F288" i="17" s="1"/>
  <c r="I40" i="17"/>
  <c r="G273" i="17" s="1"/>
  <c r="I178" i="17"/>
  <c r="G285" i="17" s="1"/>
  <c r="F250" i="17"/>
  <c r="I25" i="17"/>
  <c r="F272" i="17" s="1"/>
  <c r="G259" i="17"/>
  <c r="I132" i="17"/>
  <c r="G281" i="17" s="1"/>
  <c r="I122" i="17"/>
  <c r="G280" i="17" s="1"/>
  <c r="G173" i="50" l="1"/>
  <c r="H173" i="50" s="1"/>
  <c r="G163" i="50"/>
  <c r="H163" i="50" s="1"/>
  <c r="G161" i="50"/>
  <c r="H161" i="50" s="1"/>
  <c r="G160" i="50"/>
  <c r="G157" i="50"/>
  <c r="H157" i="50" s="1"/>
  <c r="G156" i="50"/>
  <c r="H156" i="50" s="1"/>
  <c r="G364" i="55"/>
  <c r="H364" i="55" s="1"/>
  <c r="G370" i="55"/>
  <c r="G369" i="55"/>
  <c r="H369" i="55" s="1"/>
  <c r="G371" i="55"/>
  <c r="F221" i="48" s="1"/>
  <c r="H45" i="17"/>
  <c r="H368" i="55"/>
  <c r="H61" i="17"/>
  <c r="L253" i="17" s="1"/>
  <c r="H160" i="50"/>
  <c r="H31" i="17"/>
  <c r="H41" i="17"/>
  <c r="H200" i="17"/>
  <c r="W172" i="32"/>
  <c r="X172" i="32"/>
  <c r="I362" i="55" s="1"/>
  <c r="G150" i="48"/>
  <c r="G267" i="17"/>
  <c r="E135" i="32"/>
  <c r="E155" i="32"/>
  <c r="E164" i="32"/>
  <c r="F121" i="33" l="1"/>
  <c r="G137" i="33" s="1"/>
  <c r="H75" i="17"/>
  <c r="G246" i="48"/>
  <c r="G235" i="48"/>
  <c r="H235" i="48" s="1"/>
  <c r="G244" i="48"/>
  <c r="H244" i="48" s="1"/>
  <c r="G237" i="48"/>
  <c r="H64" i="17" s="1"/>
  <c r="I64" i="17" s="1"/>
  <c r="O275" i="17" s="1"/>
  <c r="G234" i="48"/>
  <c r="H234" i="48" s="1"/>
  <c r="G243" i="48"/>
  <c r="H243" i="48" s="1"/>
  <c r="G248" i="48"/>
  <c r="H248" i="48" s="1"/>
  <c r="G241" i="48"/>
  <c r="H241" i="48" s="1"/>
  <c r="G240" i="48"/>
  <c r="H96" i="17" s="1"/>
  <c r="I96" i="17" s="1"/>
  <c r="O278" i="17" s="1"/>
  <c r="G239" i="48"/>
  <c r="H239" i="48" s="1"/>
  <c r="G252" i="48"/>
  <c r="H252" i="48" s="1"/>
  <c r="G238" i="48"/>
  <c r="H78" i="17" s="1"/>
  <c r="G233" i="48"/>
  <c r="H34" i="17" s="1"/>
  <c r="O250" i="17" s="1"/>
  <c r="G250" i="48"/>
  <c r="H250" i="48" s="1"/>
  <c r="G253" i="48"/>
  <c r="H253" i="48" s="1"/>
  <c r="G249" i="48"/>
  <c r="H249" i="48" s="1"/>
  <c r="G247" i="48"/>
  <c r="H247" i="48" s="1"/>
  <c r="H93" i="17"/>
  <c r="H370" i="55"/>
  <c r="F175" i="48"/>
  <c r="F128" i="48"/>
  <c r="H203" i="17"/>
  <c r="I203" i="17" s="1"/>
  <c r="H371" i="55"/>
  <c r="H251" i="17"/>
  <c r="I41" i="17"/>
  <c r="H273" i="17" s="1"/>
  <c r="H47" i="17"/>
  <c r="L251" i="17"/>
  <c r="I45" i="17"/>
  <c r="L273" i="17" s="1"/>
  <c r="L250" i="17"/>
  <c r="I31" i="17"/>
  <c r="L272" i="17" s="1"/>
  <c r="H46" i="17"/>
  <c r="M251" i="17" s="1"/>
  <c r="H159" i="48"/>
  <c r="H150" i="48"/>
  <c r="G159" i="48"/>
  <c r="H48" i="17"/>
  <c r="O251" i="17" s="1"/>
  <c r="E172" i="32"/>
  <c r="G140" i="33" l="1"/>
  <c r="H57" i="17" s="1"/>
  <c r="H253" i="17" s="1"/>
  <c r="G141" i="33"/>
  <c r="H71" i="17" s="1"/>
  <c r="H254" i="17" s="1"/>
  <c r="G136" i="33"/>
  <c r="H27" i="17" s="1"/>
  <c r="I27" i="17" s="1"/>
  <c r="H272" i="17" s="1"/>
  <c r="G143" i="33"/>
  <c r="H89" i="17" s="1"/>
  <c r="H256" i="17" s="1"/>
  <c r="G242" i="48"/>
  <c r="G142" i="48"/>
  <c r="H142" i="48" s="1"/>
  <c r="G145" i="48"/>
  <c r="G158" i="48"/>
  <c r="G141" i="48"/>
  <c r="G148" i="48"/>
  <c r="G146" i="48"/>
  <c r="G245" i="48"/>
  <c r="G191" i="48"/>
  <c r="G189" i="48"/>
  <c r="H189" i="48" s="1"/>
  <c r="G194" i="48"/>
  <c r="G188" i="48"/>
  <c r="H188" i="48" s="1"/>
  <c r="G187" i="48"/>
  <c r="G195" i="48"/>
  <c r="H195" i="48" s="1"/>
  <c r="G207" i="48"/>
  <c r="H207" i="48" s="1"/>
  <c r="G200" i="48"/>
  <c r="G206" i="48"/>
  <c r="G198" i="48"/>
  <c r="H198" i="48" s="1"/>
  <c r="G192" i="48"/>
  <c r="G204" i="48"/>
  <c r="G201" i="48"/>
  <c r="H201" i="48" s="1"/>
  <c r="G203" i="48"/>
  <c r="H203" i="48" s="1"/>
  <c r="G193" i="48"/>
  <c r="H193" i="48" s="1"/>
  <c r="G202" i="48"/>
  <c r="H202" i="48" s="1"/>
  <c r="G197" i="48"/>
  <c r="H240" i="48"/>
  <c r="H237" i="48"/>
  <c r="H233" i="48"/>
  <c r="H232" i="48" s="1"/>
  <c r="I232" i="48" s="1"/>
  <c r="H32" i="17"/>
  <c r="M250" i="17" s="1"/>
  <c r="I34" i="17"/>
  <c r="O272" i="17" s="1"/>
  <c r="H246" i="48"/>
  <c r="H245" i="48" s="1"/>
  <c r="I245" i="48" s="1"/>
  <c r="G232" i="48"/>
  <c r="G251" i="48"/>
  <c r="H251" i="48"/>
  <c r="I251" i="48" s="1"/>
  <c r="H242" i="48"/>
  <c r="I242" i="48" s="1"/>
  <c r="G236" i="48"/>
  <c r="O253" i="17"/>
  <c r="H238" i="48"/>
  <c r="N251" i="17"/>
  <c r="I47" i="17"/>
  <c r="N273" i="17" s="1"/>
  <c r="I46" i="17"/>
  <c r="M273" i="17" s="1"/>
  <c r="I48" i="17"/>
  <c r="O273" i="17" s="1"/>
  <c r="O256" i="17"/>
  <c r="I78" i="17"/>
  <c r="O276" i="17" s="1"/>
  <c r="O254" i="17"/>
  <c r="H250" i="17" l="1"/>
  <c r="H267" i="17" s="1"/>
  <c r="G259" i="48"/>
  <c r="G186" i="48"/>
  <c r="H33" i="17"/>
  <c r="H187" i="48"/>
  <c r="H186" i="48" s="1"/>
  <c r="I186" i="48" s="1"/>
  <c r="H197" i="48"/>
  <c r="H196" i="48" s="1"/>
  <c r="I196" i="48" s="1"/>
  <c r="G196" i="48"/>
  <c r="H95" i="17"/>
  <c r="H194" i="48"/>
  <c r="H236" i="48"/>
  <c r="I236" i="48" s="1"/>
  <c r="H206" i="48"/>
  <c r="H205" i="48" s="1"/>
  <c r="I205" i="48" s="1"/>
  <c r="G205" i="48"/>
  <c r="H202" i="17"/>
  <c r="I202" i="17" s="1"/>
  <c r="H204" i="48"/>
  <c r="H63" i="17"/>
  <c r="G190" i="48"/>
  <c r="H191" i="48"/>
  <c r="I32" i="17"/>
  <c r="M272" i="17" s="1"/>
  <c r="H200" i="48"/>
  <c r="G199" i="48"/>
  <c r="H77" i="17"/>
  <c r="H192" i="48"/>
  <c r="H76" i="17"/>
  <c r="H146" i="48"/>
  <c r="H94" i="17"/>
  <c r="H148" i="48"/>
  <c r="H141" i="48"/>
  <c r="H140" i="48" s="1"/>
  <c r="I140" i="48" s="1"/>
  <c r="G140" i="48"/>
  <c r="H62" i="17"/>
  <c r="G144" i="48"/>
  <c r="H145" i="48"/>
  <c r="H201" i="17"/>
  <c r="H158" i="48"/>
  <c r="H153" i="48" s="1"/>
  <c r="I153" i="48" s="1"/>
  <c r="G153" i="48"/>
  <c r="O289" i="17"/>
  <c r="O267" i="17"/>
  <c r="C14" i="7"/>
  <c r="C31" i="7" s="1"/>
  <c r="C29" i="7" s="1"/>
  <c r="D13" i="7"/>
  <c r="D12" i="7"/>
  <c r="H199" i="48" l="1"/>
  <c r="I199" i="48" s="1"/>
  <c r="H259" i="48"/>
  <c r="I259" i="48" s="1"/>
  <c r="H190" i="48"/>
  <c r="I190" i="48" s="1"/>
  <c r="I33" i="17"/>
  <c r="N272" i="17" s="1"/>
  <c r="N250" i="17"/>
  <c r="H144" i="48"/>
  <c r="I144" i="48" s="1"/>
  <c r="G213" i="48"/>
  <c r="G167" i="48"/>
  <c r="O292" i="17"/>
  <c r="O291" i="17"/>
  <c r="D14" i="7"/>
  <c r="D31" i="7" s="1"/>
  <c r="I371" i="55"/>
  <c r="F10" i="7"/>
  <c r="H167" i="48" l="1"/>
  <c r="I167" i="48" s="1"/>
  <c r="H213" i="48"/>
  <c r="I213" i="48" s="1"/>
  <c r="E23" i="7"/>
  <c r="I370" i="55" l="1"/>
  <c r="I369" i="55"/>
  <c r="E30" i="7"/>
  <c r="C74" i="7"/>
  <c r="D74" i="7" s="1"/>
  <c r="E29" i="7"/>
  <c r="C73" i="7"/>
  <c r="D63" i="7"/>
  <c r="D65" i="7" s="1"/>
  <c r="C35" i="7"/>
  <c r="C37" i="7" s="1"/>
  <c r="D33" i="7"/>
  <c r="D32" i="7"/>
  <c r="D30" i="7"/>
  <c r="D29" i="7"/>
  <c r="D73" i="7" l="1"/>
  <c r="D35" i="7"/>
  <c r="D76" i="7" l="1"/>
  <c r="F73" i="7"/>
  <c r="D37" i="7"/>
  <c r="D67" i="7" s="1"/>
  <c r="F79" i="7" l="1"/>
  <c r="F37" i="7"/>
  <c r="F63" i="7"/>
  <c r="F65" i="7"/>
  <c r="F84" i="7" l="1"/>
  <c r="F83" i="7"/>
  <c r="H187" i="34" l="1"/>
  <c r="H186" i="34"/>
  <c r="E159" i="34"/>
  <c r="E150" i="34"/>
  <c r="E147" i="34"/>
  <c r="E136" i="34"/>
  <c r="H135" i="34"/>
  <c r="H134" i="34"/>
  <c r="E167" i="34" l="1"/>
  <c r="E154" i="33"/>
  <c r="E148" i="33"/>
  <c r="E145" i="33"/>
  <c r="E139" i="33"/>
  <c r="E135" i="33"/>
  <c r="H134" i="33"/>
  <c r="H133" i="33"/>
  <c r="E162" i="33" l="1"/>
  <c r="L264" i="17" l="1"/>
  <c r="I200" i="17"/>
  <c r="L286" i="17" s="1"/>
  <c r="N254" i="17"/>
  <c r="I77" i="17"/>
  <c r="N276" i="17" s="1"/>
  <c r="I93" i="17" l="1"/>
  <c r="L278" i="17" s="1"/>
  <c r="I75" i="17"/>
  <c r="L276" i="17" s="1"/>
  <c r="L256" i="17"/>
  <c r="L254" i="17"/>
  <c r="I95" i="17"/>
  <c r="N278" i="17" s="1"/>
  <c r="N256" i="17"/>
  <c r="I61" i="17"/>
  <c r="L275" i="17" s="1"/>
  <c r="N286" i="17"/>
  <c r="N253" i="17"/>
  <c r="I63" i="17"/>
  <c r="N275" i="17" s="1"/>
  <c r="N264" i="17"/>
  <c r="L289" i="17" l="1"/>
  <c r="N289" i="17"/>
  <c r="L267" i="17"/>
  <c r="N267" i="17"/>
  <c r="I144" i="17"/>
  <c r="G283" i="17" s="1"/>
  <c r="G164" i="32"/>
  <c r="H164" i="32"/>
  <c r="I164" i="32" s="1"/>
  <c r="G155" i="32"/>
  <c r="G135" i="32"/>
  <c r="N291" i="17" l="1"/>
  <c r="N292" i="17"/>
  <c r="L292" i="17"/>
  <c r="L291" i="17"/>
  <c r="H136" i="33"/>
  <c r="H137" i="33"/>
  <c r="I143" i="17"/>
  <c r="F283" i="17" s="1"/>
  <c r="I196" i="17"/>
  <c r="G286" i="17" s="1"/>
  <c r="I201" i="17"/>
  <c r="M286" i="17" s="1"/>
  <c r="I70" i="17"/>
  <c r="I150" i="32"/>
  <c r="H155" i="32"/>
  <c r="I155" i="32" s="1"/>
  <c r="I195" i="17"/>
  <c r="M254" i="17"/>
  <c r="I76" i="17"/>
  <c r="M276" i="17" s="1"/>
  <c r="M256" i="17"/>
  <c r="I94" i="17"/>
  <c r="M278" i="17" s="1"/>
  <c r="M253" i="17"/>
  <c r="I62" i="17"/>
  <c r="M275" i="17" s="1"/>
  <c r="I57" i="17"/>
  <c r="H275" i="17" s="1"/>
  <c r="I71" i="17"/>
  <c r="H276" i="17" s="1"/>
  <c r="I139" i="32"/>
  <c r="I56" i="17"/>
  <c r="I88" i="17"/>
  <c r="M264" i="17"/>
  <c r="H143" i="33"/>
  <c r="H135" i="32"/>
  <c r="I135" i="32" s="1"/>
  <c r="H168" i="50"/>
  <c r="I168" i="50" s="1"/>
  <c r="H155" i="50"/>
  <c r="I155" i="50" s="1"/>
  <c r="I87" i="17"/>
  <c r="G168" i="50"/>
  <c r="G155" i="50"/>
  <c r="G174" i="50"/>
  <c r="H141" i="33"/>
  <c r="H165" i="50"/>
  <c r="I165" i="50" s="1"/>
  <c r="H174" i="50"/>
  <c r="I174" i="50" s="1"/>
  <c r="G145" i="33"/>
  <c r="H140" i="33"/>
  <c r="G159" i="50"/>
  <c r="G165" i="50"/>
  <c r="H159" i="50"/>
  <c r="I159" i="50" s="1"/>
  <c r="G172" i="32"/>
  <c r="G154" i="33"/>
  <c r="I69" i="17"/>
  <c r="G139" i="33"/>
  <c r="G135" i="33"/>
  <c r="I55" i="17"/>
  <c r="G148" i="33"/>
  <c r="M289" i="17" l="1"/>
  <c r="F278" i="17"/>
  <c r="F275" i="17"/>
  <c r="G276" i="17"/>
  <c r="G278" i="17"/>
  <c r="G275" i="17"/>
  <c r="F286" i="17"/>
  <c r="F276" i="17"/>
  <c r="M267" i="17"/>
  <c r="H135" i="33"/>
  <c r="I135" i="33" s="1"/>
  <c r="H145" i="33"/>
  <c r="H154" i="33"/>
  <c r="F267" i="17"/>
  <c r="H148" i="33"/>
  <c r="H172" i="32"/>
  <c r="I172" i="32" s="1"/>
  <c r="H139" i="33"/>
  <c r="I139" i="33" s="1"/>
  <c r="H182" i="50"/>
  <c r="I182" i="50" s="1"/>
  <c r="G182" i="50"/>
  <c r="I89" i="17"/>
  <c r="H278" i="17" s="1"/>
  <c r="G162" i="33"/>
  <c r="M291" i="17" l="1"/>
  <c r="M292" i="17"/>
  <c r="G289" i="17"/>
  <c r="F289" i="17"/>
  <c r="H289" i="17"/>
  <c r="I368" i="55"/>
  <c r="H162" i="33"/>
  <c r="I162" i="33" s="1"/>
  <c r="H292" i="17" l="1"/>
  <c r="H291" i="17"/>
  <c r="F292" i="17"/>
  <c r="G292" i="17"/>
  <c r="I364" i="55"/>
  <c r="G367" i="55" l="1"/>
  <c r="H367" i="55" l="1"/>
  <c r="F225" i="34"/>
  <c r="G365" i="55"/>
  <c r="H365" i="55" s="1"/>
  <c r="G366" i="55"/>
  <c r="G257" i="34" l="1"/>
  <c r="G256" i="34"/>
  <c r="G249" i="34"/>
  <c r="G255" i="34"/>
  <c r="G253" i="34"/>
  <c r="G247" i="34"/>
  <c r="H114" i="17" s="1"/>
  <c r="I114" i="17" s="1"/>
  <c r="G254" i="34"/>
  <c r="G250" i="34"/>
  <c r="G246" i="34"/>
  <c r="H106" i="17" s="1"/>
  <c r="G243" i="34"/>
  <c r="G259" i="34"/>
  <c r="G242" i="34"/>
  <c r="G239" i="34"/>
  <c r="G238" i="34"/>
  <c r="H30" i="17" s="1"/>
  <c r="G261" i="34"/>
  <c r="G258" i="34"/>
  <c r="G262" i="34"/>
  <c r="H366" i="55"/>
  <c r="H125" i="17"/>
  <c r="H164" i="17"/>
  <c r="H222" i="17"/>
  <c r="H135" i="17"/>
  <c r="H181" i="17"/>
  <c r="F173" i="34"/>
  <c r="F121" i="34"/>
  <c r="G141" i="34" l="1"/>
  <c r="G160" i="34"/>
  <c r="G139" i="34"/>
  <c r="G161" i="34"/>
  <c r="G138" i="34"/>
  <c r="G137" i="34"/>
  <c r="G158" i="34"/>
  <c r="G146" i="34"/>
  <c r="H112" i="17" s="1"/>
  <c r="I112" i="17" s="1"/>
  <c r="G157" i="34"/>
  <c r="G149" i="34"/>
  <c r="G148" i="34"/>
  <c r="G145" i="34"/>
  <c r="H104" i="17" s="1"/>
  <c r="G156" i="34"/>
  <c r="G142" i="34"/>
  <c r="G155" i="34"/>
  <c r="G154" i="34"/>
  <c r="G144" i="34"/>
  <c r="G153" i="34"/>
  <c r="G152" i="34"/>
  <c r="G151" i="34"/>
  <c r="G201" i="34"/>
  <c r="H201" i="34" s="1"/>
  <c r="G196" i="34"/>
  <c r="H196" i="34" s="1"/>
  <c r="G193" i="34"/>
  <c r="G190" i="34"/>
  <c r="H190" i="34" s="1"/>
  <c r="G200" i="34"/>
  <c r="G205" i="34"/>
  <c r="G198" i="34"/>
  <c r="G194" i="34"/>
  <c r="H194" i="34" s="1"/>
  <c r="G197" i="34"/>
  <c r="G191" i="34"/>
  <c r="H191" i="34" s="1"/>
  <c r="G189" i="34"/>
  <c r="H29" i="17" s="1"/>
  <c r="G210" i="34"/>
  <c r="H210" i="34" s="1"/>
  <c r="G207" i="34"/>
  <c r="G204" i="34"/>
  <c r="H204" i="34" s="1"/>
  <c r="G209" i="34"/>
  <c r="G213" i="34"/>
  <c r="H213" i="34" s="1"/>
  <c r="G212" i="34"/>
  <c r="G208" i="34"/>
  <c r="H208" i="34" s="1"/>
  <c r="G206" i="34"/>
  <c r="H206" i="34" s="1"/>
  <c r="G203" i="34"/>
  <c r="H203" i="34" s="1"/>
  <c r="F241" i="34"/>
  <c r="F268" i="34" s="1"/>
  <c r="G245" i="34"/>
  <c r="H92" i="17" s="1"/>
  <c r="K256" i="17" s="1"/>
  <c r="K257" i="17"/>
  <c r="I106" i="17"/>
  <c r="K279" i="17" s="1"/>
  <c r="H247" i="34"/>
  <c r="H156" i="17"/>
  <c r="I156" i="17" s="1"/>
  <c r="H254" i="34"/>
  <c r="H172" i="17"/>
  <c r="I172" i="17" s="1"/>
  <c r="H256" i="34"/>
  <c r="H190" i="17"/>
  <c r="I190" i="17" s="1"/>
  <c r="H258" i="34"/>
  <c r="H189" i="17"/>
  <c r="I189" i="17" s="1"/>
  <c r="H171" i="17"/>
  <c r="I171" i="17" s="1"/>
  <c r="H155" i="17"/>
  <c r="I155" i="17" s="1"/>
  <c r="H212" i="17"/>
  <c r="H154" i="17"/>
  <c r="I154" i="17" s="1"/>
  <c r="H213" i="17"/>
  <c r="K265" i="17" s="1"/>
  <c r="H147" i="17"/>
  <c r="H199" i="17"/>
  <c r="H44" i="17"/>
  <c r="K251" i="17" s="1"/>
  <c r="H60" i="17"/>
  <c r="K253" i="17" s="1"/>
  <c r="H74" i="17"/>
  <c r="K254" i="17" s="1"/>
  <c r="H250" i="34"/>
  <c r="K259" i="17"/>
  <c r="H257" i="34"/>
  <c r="H238" i="34"/>
  <c r="K250" i="17"/>
  <c r="H255" i="34"/>
  <c r="H262" i="34"/>
  <c r="K266" i="17"/>
  <c r="H249" i="34"/>
  <c r="K258" i="17"/>
  <c r="H261" i="34"/>
  <c r="H239" i="34"/>
  <c r="H259" i="34"/>
  <c r="H242" i="34"/>
  <c r="H243" i="34"/>
  <c r="H246" i="34"/>
  <c r="H253" i="34"/>
  <c r="G237" i="34"/>
  <c r="G251" i="34"/>
  <c r="G260" i="34"/>
  <c r="G248" i="34"/>
  <c r="H145" i="17"/>
  <c r="H162" i="17"/>
  <c r="H179" i="17"/>
  <c r="H197" i="17"/>
  <c r="H133" i="17"/>
  <c r="H220" i="17"/>
  <c r="H58" i="17"/>
  <c r="G241" i="34" l="1"/>
  <c r="G268" i="34" s="1"/>
  <c r="H245" i="34"/>
  <c r="K261" i="17"/>
  <c r="H198" i="34"/>
  <c r="H113" i="17"/>
  <c r="I113" i="17" s="1"/>
  <c r="I257" i="17"/>
  <c r="I261" i="17"/>
  <c r="K264" i="17"/>
  <c r="K262" i="17"/>
  <c r="I104" i="17"/>
  <c r="I279" i="17" s="1"/>
  <c r="H209" i="34"/>
  <c r="H207" i="34"/>
  <c r="H221" i="17"/>
  <c r="H241" i="34"/>
  <c r="I213" i="17"/>
  <c r="K287" i="17" s="1"/>
  <c r="H163" i="17"/>
  <c r="J262" i="17" s="1"/>
  <c r="H134" i="17"/>
  <c r="H197" i="34"/>
  <c r="H105" i="17"/>
  <c r="G192" i="34"/>
  <c r="H146" i="34"/>
  <c r="H212" i="34"/>
  <c r="H211" i="34" s="1"/>
  <c r="G211" i="34"/>
  <c r="H193" i="34"/>
  <c r="G188" i="34"/>
  <c r="H189" i="34"/>
  <c r="H188" i="34" s="1"/>
  <c r="H198" i="17"/>
  <c r="H200" i="34"/>
  <c r="H199" i="34" s="1"/>
  <c r="G199" i="34"/>
  <c r="H205" i="34"/>
  <c r="G202" i="34"/>
  <c r="H157" i="34"/>
  <c r="H188" i="17"/>
  <c r="I188" i="17" s="1"/>
  <c r="H155" i="34"/>
  <c r="H170" i="17"/>
  <c r="I170" i="17" s="1"/>
  <c r="H90" i="17"/>
  <c r="G140" i="34"/>
  <c r="H153" i="34"/>
  <c r="H248" i="34"/>
  <c r="H180" i="17"/>
  <c r="H211" i="17"/>
  <c r="I265" i="17" s="1"/>
  <c r="H59" i="17"/>
  <c r="J253" i="17" s="1"/>
  <c r="H73" i="17"/>
  <c r="J254" i="17" s="1"/>
  <c r="H124" i="17"/>
  <c r="I124" i="17" s="1"/>
  <c r="J280" i="17" s="1"/>
  <c r="H146" i="17"/>
  <c r="J261" i="17" s="1"/>
  <c r="H91" i="17"/>
  <c r="J256" i="17" s="1"/>
  <c r="H43" i="17"/>
  <c r="J251" i="17" s="1"/>
  <c r="H123" i="17"/>
  <c r="I258" i="17" s="1"/>
  <c r="H42" i="17"/>
  <c r="I42" i="17" s="1"/>
  <c r="I273" i="17" s="1"/>
  <c r="H72" i="17"/>
  <c r="I254" i="17" s="1"/>
  <c r="H28" i="17"/>
  <c r="I250" i="17" s="1"/>
  <c r="H237" i="34"/>
  <c r="H260" i="34"/>
  <c r="I181" i="17"/>
  <c r="K285" i="17" s="1"/>
  <c r="K263" i="17"/>
  <c r="I164" i="17"/>
  <c r="K284" i="17" s="1"/>
  <c r="J250" i="17"/>
  <c r="I29" i="17"/>
  <c r="J272" i="17" s="1"/>
  <c r="I30" i="17"/>
  <c r="K272" i="17" s="1"/>
  <c r="J265" i="17"/>
  <c r="I212" i="17"/>
  <c r="J287" i="17" s="1"/>
  <c r="I222" i="17"/>
  <c r="K288" i="17" s="1"/>
  <c r="I259" i="17"/>
  <c r="I133" i="17"/>
  <c r="I281" i="17" s="1"/>
  <c r="H158" i="34"/>
  <c r="I264" i="17"/>
  <c r="I266" i="17"/>
  <c r="I220" i="17"/>
  <c r="I288" i="17" s="1"/>
  <c r="I162" i="17"/>
  <c r="I135" i="17"/>
  <c r="K281" i="17" s="1"/>
  <c r="I179" i="17"/>
  <c r="H251" i="34"/>
  <c r="I125" i="17"/>
  <c r="K280" i="17" s="1"/>
  <c r="I44" i="17"/>
  <c r="K273" i="17" s="1"/>
  <c r="I147" i="17"/>
  <c r="K283" i="17" s="1"/>
  <c r="I74" i="17"/>
  <c r="K276" i="17" s="1"/>
  <c r="I60" i="17"/>
  <c r="K275" i="17" s="1"/>
  <c r="I92" i="17"/>
  <c r="K278" i="17" s="1"/>
  <c r="I199" i="17"/>
  <c r="K286" i="17" s="1"/>
  <c r="H144" i="34"/>
  <c r="H138" i="34"/>
  <c r="H145" i="34"/>
  <c r="H149" i="34"/>
  <c r="H139" i="34"/>
  <c r="G150" i="34"/>
  <c r="H151" i="34"/>
  <c r="H142" i="34"/>
  <c r="H154" i="34"/>
  <c r="H152" i="34"/>
  <c r="H156" i="34"/>
  <c r="H161" i="34"/>
  <c r="J257" i="17" l="1"/>
  <c r="J251" i="34"/>
  <c r="I251" i="34"/>
  <c r="J211" i="34"/>
  <c r="I211" i="34"/>
  <c r="J248" i="34"/>
  <c r="I248" i="34"/>
  <c r="J241" i="34"/>
  <c r="I241" i="34"/>
  <c r="J260" i="34"/>
  <c r="I260" i="34"/>
  <c r="J199" i="34"/>
  <c r="I199" i="34"/>
  <c r="J237" i="34"/>
  <c r="I237" i="34"/>
  <c r="J188" i="34"/>
  <c r="I188" i="34"/>
  <c r="I285" i="17"/>
  <c r="I284" i="17"/>
  <c r="K289" i="17"/>
  <c r="I180" i="17"/>
  <c r="J285" i="17" s="1"/>
  <c r="J264" i="17"/>
  <c r="I262" i="17"/>
  <c r="H202" i="34"/>
  <c r="I263" i="17"/>
  <c r="I105" i="17"/>
  <c r="J279" i="17" s="1"/>
  <c r="H192" i="34"/>
  <c r="J263" i="17"/>
  <c r="I59" i="17"/>
  <c r="J275" i="17" s="1"/>
  <c r="I28" i="17"/>
  <c r="I272" i="17" s="1"/>
  <c r="I251" i="17"/>
  <c r="I123" i="17"/>
  <c r="I280" i="17" s="1"/>
  <c r="J258" i="17"/>
  <c r="J259" i="17"/>
  <c r="I134" i="17"/>
  <c r="J281" i="17" s="1"/>
  <c r="I163" i="17"/>
  <c r="J284" i="17" s="1"/>
  <c r="I256" i="17"/>
  <c r="I145" i="17"/>
  <c r="I283" i="17" s="1"/>
  <c r="H268" i="34"/>
  <c r="J266" i="17"/>
  <c r="I221" i="17"/>
  <c r="J288" i="17" s="1"/>
  <c r="I90" i="17"/>
  <c r="I278" i="17" s="1"/>
  <c r="K267" i="17"/>
  <c r="I43" i="17"/>
  <c r="J273" i="17" s="1"/>
  <c r="I197" i="17"/>
  <c r="I146" i="17"/>
  <c r="J283" i="17" s="1"/>
  <c r="I73" i="17"/>
  <c r="J276" i="17" s="1"/>
  <c r="I198" i="17"/>
  <c r="J286" i="17" s="1"/>
  <c r="I91" i="17"/>
  <c r="J278" i="17" s="1"/>
  <c r="G219" i="34"/>
  <c r="H150" i="34"/>
  <c r="I72" i="17"/>
  <c r="I276" i="17" s="1"/>
  <c r="H137" i="34"/>
  <c r="H136" i="34" s="1"/>
  <c r="G136" i="34"/>
  <c r="H141" i="34"/>
  <c r="H140" i="34" s="1"/>
  <c r="H148" i="34"/>
  <c r="H147" i="34" s="1"/>
  <c r="G147" i="34"/>
  <c r="F167" i="34"/>
  <c r="H160" i="34"/>
  <c r="H159" i="34" s="1"/>
  <c r="G159" i="34"/>
  <c r="J202" i="34" l="1"/>
  <c r="I202" i="34"/>
  <c r="I367" i="55"/>
  <c r="J268" i="34"/>
  <c r="I268" i="34"/>
  <c r="J147" i="34"/>
  <c r="I147" i="34"/>
  <c r="I150" i="34"/>
  <c r="J150" i="34"/>
  <c r="J192" i="34"/>
  <c r="I192" i="34"/>
  <c r="J159" i="34"/>
  <c r="I159" i="34"/>
  <c r="I140" i="34"/>
  <c r="J140" i="34"/>
  <c r="J136" i="34"/>
  <c r="I136" i="34"/>
  <c r="I286" i="17"/>
  <c r="K292" i="17"/>
  <c r="K291" i="17"/>
  <c r="J289" i="17"/>
  <c r="J267" i="17"/>
  <c r="H219" i="34"/>
  <c r="I58" i="17"/>
  <c r="I275" i="17" s="1"/>
  <c r="I253" i="17"/>
  <c r="I267" i="17" s="1"/>
  <c r="H167" i="34"/>
  <c r="G167" i="34"/>
  <c r="I366" i="55" l="1"/>
  <c r="J219" i="34"/>
  <c r="I219" i="34"/>
  <c r="I365" i="55"/>
  <c r="J167" i="34"/>
  <c r="I167" i="34"/>
  <c r="J292" i="17"/>
  <c r="J291" i="17"/>
  <c r="I211" i="17"/>
  <c r="I287" i="17" s="1"/>
  <c r="C50" i="54"/>
  <c r="C49" i="54"/>
  <c r="I289" i="17" l="1"/>
  <c r="E65" i="55"/>
  <c r="E310" i="55" s="1"/>
  <c r="D360" i="55" s="1"/>
  <c r="E64" i="55"/>
  <c r="E309" i="55" s="1"/>
  <c r="C360" i="55" s="1"/>
  <c r="I292" i="17" l="1"/>
  <c r="I291" i="17"/>
  <c r="G360" i="55"/>
  <c r="F121" i="54" s="1"/>
  <c r="H54" i="17"/>
  <c r="H101" i="17"/>
  <c r="H176" i="17"/>
  <c r="H142" i="17"/>
  <c r="H208" i="17"/>
  <c r="H86" i="17"/>
  <c r="H194" i="17"/>
  <c r="E264" i="17" s="1"/>
  <c r="H68" i="17"/>
  <c r="H109" i="17"/>
  <c r="I109" i="17" s="1"/>
  <c r="H217" i="17"/>
  <c r="H130" i="17"/>
  <c r="H38" i="17"/>
  <c r="H185" i="17"/>
  <c r="I185" i="17" s="1"/>
  <c r="H151" i="17"/>
  <c r="I151" i="17" s="1"/>
  <c r="Q166" i="54" l="1"/>
  <c r="Q136" i="54"/>
  <c r="G166" i="54"/>
  <c r="G165" i="54"/>
  <c r="G163" i="54"/>
  <c r="Q161" i="54"/>
  <c r="G162" i="54"/>
  <c r="Q160" i="54"/>
  <c r="Q159" i="54"/>
  <c r="Q158" i="54"/>
  <c r="R158" i="54" s="1"/>
  <c r="G159" i="54"/>
  <c r="Q157" i="54"/>
  <c r="G157" i="54"/>
  <c r="G153" i="54"/>
  <c r="G151" i="54"/>
  <c r="G146" i="54"/>
  <c r="H85" i="17" s="1"/>
  <c r="D256" i="17" s="1"/>
  <c r="Q146" i="54"/>
  <c r="H84" i="17" s="1"/>
  <c r="G136" i="54"/>
  <c r="Q138" i="54"/>
  <c r="Q165" i="54"/>
  <c r="G147" i="54"/>
  <c r="H100" i="17" s="1"/>
  <c r="Q149" i="54"/>
  <c r="Q144" i="54"/>
  <c r="H81" i="17" s="1"/>
  <c r="Q137" i="54"/>
  <c r="Q163" i="54"/>
  <c r="G148" i="54"/>
  <c r="H108" i="17" s="1"/>
  <c r="I108" i="17" s="1"/>
  <c r="Q147" i="54"/>
  <c r="H99" i="17" s="1"/>
  <c r="G137" i="54"/>
  <c r="Q141" i="54"/>
  <c r="H66" i="17" s="1"/>
  <c r="Q162" i="54"/>
  <c r="Q151" i="54"/>
  <c r="G141" i="54"/>
  <c r="H67" i="17" s="1"/>
  <c r="G140" i="54"/>
  <c r="Q143" i="54"/>
  <c r="H80" i="17" s="1"/>
  <c r="G158" i="54"/>
  <c r="G161" i="54"/>
  <c r="G160" i="54"/>
  <c r="Q156" i="54"/>
  <c r="Q154" i="54"/>
  <c r="Q145" i="54"/>
  <c r="Q140" i="54"/>
  <c r="H52" i="17" s="1"/>
  <c r="Q153" i="54"/>
  <c r="Q152" i="54"/>
  <c r="E257" i="17"/>
  <c r="I208" i="17"/>
  <c r="E287" i="17" s="1"/>
  <c r="E265" i="17"/>
  <c r="I142" i="17"/>
  <c r="E283" i="17" s="1"/>
  <c r="E261" i="17"/>
  <c r="I130" i="17"/>
  <c r="E281" i="17" s="1"/>
  <c r="E259" i="17"/>
  <c r="I217" i="17"/>
  <c r="E288" i="17" s="1"/>
  <c r="E266" i="17"/>
  <c r="I176" i="17"/>
  <c r="E285" i="17" s="1"/>
  <c r="E263" i="17"/>
  <c r="I86" i="17"/>
  <c r="E278" i="17" s="1"/>
  <c r="E256" i="17"/>
  <c r="I54" i="17"/>
  <c r="E275" i="17" s="1"/>
  <c r="E253" i="17"/>
  <c r="I38" i="17"/>
  <c r="E273" i="17" s="1"/>
  <c r="E251" i="17"/>
  <c r="I101" i="17"/>
  <c r="E279" i="17" s="1"/>
  <c r="I68" i="17"/>
  <c r="E276" i="17" s="1"/>
  <c r="E254" i="17"/>
  <c r="H24" i="17"/>
  <c r="W130" i="58"/>
  <c r="H120" i="17"/>
  <c r="W135" i="58"/>
  <c r="R142" i="58"/>
  <c r="R137" i="58"/>
  <c r="R136" i="58"/>
  <c r="R119" i="58"/>
  <c r="R145" i="58"/>
  <c r="R140" i="58"/>
  <c r="R125" i="58"/>
  <c r="R126" i="58"/>
  <c r="R141" i="58"/>
  <c r="R132" i="58"/>
  <c r="R123" i="58"/>
  <c r="W118" i="58"/>
  <c r="H215" i="17"/>
  <c r="H206" i="17"/>
  <c r="H136" i="17"/>
  <c r="H36" i="17"/>
  <c r="H140" i="17"/>
  <c r="H183" i="17"/>
  <c r="H118" i="17"/>
  <c r="H128" i="17"/>
  <c r="H138" i="17"/>
  <c r="H158" i="17"/>
  <c r="H22" i="17"/>
  <c r="H192" i="17"/>
  <c r="H174" i="17"/>
  <c r="H115" i="17"/>
  <c r="H49" i="17"/>
  <c r="H360" i="55"/>
  <c r="H372" i="55" s="1"/>
  <c r="W136" i="58"/>
  <c r="W122" i="58"/>
  <c r="H119" i="58"/>
  <c r="W119" i="58"/>
  <c r="R128" i="58"/>
  <c r="X128" i="58" s="1"/>
  <c r="W128" i="58"/>
  <c r="R120" i="58"/>
  <c r="X120" i="58" s="1"/>
  <c r="W120" i="58"/>
  <c r="H132" i="58"/>
  <c r="W132" i="58"/>
  <c r="H126" i="58"/>
  <c r="W126" i="58"/>
  <c r="W144" i="58"/>
  <c r="H145" i="58"/>
  <c r="W145" i="58"/>
  <c r="H127" i="58"/>
  <c r="X127" i="58" s="1"/>
  <c r="W127" i="58"/>
  <c r="H123" i="58"/>
  <c r="W123" i="58"/>
  <c r="H140" i="58"/>
  <c r="W140" i="58"/>
  <c r="H139" i="58"/>
  <c r="X139" i="58" s="1"/>
  <c r="W139" i="58"/>
  <c r="R133" i="58"/>
  <c r="X133" i="58" s="1"/>
  <c r="W133" i="58"/>
  <c r="H142" i="58"/>
  <c r="W142" i="58"/>
  <c r="R131" i="58"/>
  <c r="X131" i="58" s="1"/>
  <c r="W131" i="58"/>
  <c r="H138" i="58"/>
  <c r="X138" i="58" s="1"/>
  <c r="W138" i="58"/>
  <c r="H137" i="58"/>
  <c r="W137" i="58"/>
  <c r="H141" i="58"/>
  <c r="W141" i="58"/>
  <c r="H125" i="58"/>
  <c r="W125" i="58"/>
  <c r="H144" i="58"/>
  <c r="G143" i="58"/>
  <c r="R144" i="58"/>
  <c r="Q143" i="58"/>
  <c r="Q117" i="58"/>
  <c r="R118" i="58"/>
  <c r="G134" i="58"/>
  <c r="H136" i="58"/>
  <c r="H118" i="58"/>
  <c r="G117" i="58"/>
  <c r="H184" i="17"/>
  <c r="I184" i="17" s="1"/>
  <c r="H167" i="17"/>
  <c r="I167" i="17" s="1"/>
  <c r="H150" i="17"/>
  <c r="H175" i="17"/>
  <c r="H159" i="17"/>
  <c r="H130" i="58"/>
  <c r="G129" i="58"/>
  <c r="H122" i="58"/>
  <c r="G121" i="58"/>
  <c r="R135" i="58"/>
  <c r="Q134" i="58"/>
  <c r="Q121" i="58"/>
  <c r="R122" i="58"/>
  <c r="Q129" i="58"/>
  <c r="R130" i="58"/>
  <c r="H37" i="17"/>
  <c r="H207" i="17"/>
  <c r="H141" i="17"/>
  <c r="H119" i="17"/>
  <c r="H193" i="17"/>
  <c r="H129" i="17"/>
  <c r="H23" i="17" l="1"/>
  <c r="H191" i="17"/>
  <c r="D257" i="17"/>
  <c r="C259" i="17"/>
  <c r="D263" i="17"/>
  <c r="I120" i="17"/>
  <c r="E280" i="17" s="1"/>
  <c r="E258" i="17"/>
  <c r="E267" i="17" s="1"/>
  <c r="C257" i="17"/>
  <c r="P257" i="17" s="1"/>
  <c r="H97" i="17"/>
  <c r="C263" i="17"/>
  <c r="D262" i="17"/>
  <c r="D261" i="17"/>
  <c r="I24" i="17"/>
  <c r="E272" i="17" s="1"/>
  <c r="E250" i="17"/>
  <c r="I100" i="17"/>
  <c r="D279" i="17" s="1"/>
  <c r="R143" i="58"/>
  <c r="S143" i="58" s="1"/>
  <c r="H149" i="17"/>
  <c r="H139" i="17" s="1"/>
  <c r="X123" i="58"/>
  <c r="X145" i="58"/>
  <c r="R117" i="58"/>
  <c r="S117" i="58" s="1"/>
  <c r="X125" i="58"/>
  <c r="X137" i="58"/>
  <c r="X142" i="58"/>
  <c r="W138" i="54"/>
  <c r="X141" i="58"/>
  <c r="X119" i="58"/>
  <c r="X132" i="58"/>
  <c r="X126" i="58"/>
  <c r="X140" i="58"/>
  <c r="H166" i="17"/>
  <c r="I166" i="17" s="1"/>
  <c r="H82" i="17"/>
  <c r="I82" i="17" s="1"/>
  <c r="I115" i="17"/>
  <c r="I183" i="17"/>
  <c r="H126" i="17"/>
  <c r="H117" i="17" s="1"/>
  <c r="I99" i="17"/>
  <c r="W117" i="58"/>
  <c r="H173" i="17"/>
  <c r="R160" i="54"/>
  <c r="W140" i="54"/>
  <c r="H53" i="17"/>
  <c r="D253" i="17" s="1"/>
  <c r="R162" i="54"/>
  <c r="I150" i="17"/>
  <c r="H216" i="17"/>
  <c r="H214" i="17" s="1"/>
  <c r="H205" i="17"/>
  <c r="I136" i="17"/>
  <c r="H127" i="17"/>
  <c r="H21" i="17"/>
  <c r="W143" i="54"/>
  <c r="R143" i="54"/>
  <c r="X143" i="54" s="1"/>
  <c r="W151" i="54"/>
  <c r="W144" i="54"/>
  <c r="R144" i="54"/>
  <c r="X144" i="54" s="1"/>
  <c r="W136" i="54"/>
  <c r="D254" i="17"/>
  <c r="W141" i="54"/>
  <c r="D265" i="17"/>
  <c r="W165" i="54"/>
  <c r="H162" i="54"/>
  <c r="W162" i="54"/>
  <c r="H159" i="54"/>
  <c r="W159" i="54"/>
  <c r="H161" i="54"/>
  <c r="W161" i="54"/>
  <c r="W157" i="54"/>
  <c r="C260" i="17"/>
  <c r="P260" i="17" s="1"/>
  <c r="W156" i="54"/>
  <c r="R149" i="54"/>
  <c r="X149" i="54" s="1"/>
  <c r="W149" i="54"/>
  <c r="R154" i="54"/>
  <c r="X154" i="54" s="1"/>
  <c r="W154" i="54"/>
  <c r="H148" i="54"/>
  <c r="X148" i="54" s="1"/>
  <c r="W148" i="54"/>
  <c r="H158" i="54"/>
  <c r="X158" i="54" s="1"/>
  <c r="W158" i="54"/>
  <c r="R145" i="54"/>
  <c r="X145" i="54" s="1"/>
  <c r="W145" i="54"/>
  <c r="W146" i="54"/>
  <c r="H147" i="54"/>
  <c r="W147" i="54"/>
  <c r="H160" i="54"/>
  <c r="W160" i="54"/>
  <c r="R152" i="54"/>
  <c r="X152" i="54" s="1"/>
  <c r="W152" i="54"/>
  <c r="I129" i="17"/>
  <c r="D281" i="17" s="1"/>
  <c r="W153" i="54"/>
  <c r="W163" i="54"/>
  <c r="W166" i="54"/>
  <c r="D251" i="17"/>
  <c r="W137" i="54"/>
  <c r="W129" i="58"/>
  <c r="W121" i="58"/>
  <c r="H143" i="58"/>
  <c r="I143" i="58" s="1"/>
  <c r="X144" i="58"/>
  <c r="H129" i="58"/>
  <c r="I129" i="58" s="1"/>
  <c r="X130" i="58"/>
  <c r="H134" i="58"/>
  <c r="I134" i="58" s="1"/>
  <c r="X136" i="58"/>
  <c r="H117" i="58"/>
  <c r="I117" i="58" s="1"/>
  <c r="X118" i="58"/>
  <c r="W143" i="58"/>
  <c r="W134" i="58"/>
  <c r="R134" i="58"/>
  <c r="S134" i="58" s="1"/>
  <c r="X135" i="58"/>
  <c r="H121" i="58"/>
  <c r="I121" i="58" s="1"/>
  <c r="X122" i="58"/>
  <c r="D258" i="17"/>
  <c r="G150" i="54"/>
  <c r="Q150" i="54"/>
  <c r="Q151" i="58"/>
  <c r="R129" i="58"/>
  <c r="S129" i="58" s="1"/>
  <c r="G139" i="54"/>
  <c r="G151" i="58"/>
  <c r="Q139" i="54"/>
  <c r="R121" i="58"/>
  <c r="S121" i="58" s="1"/>
  <c r="C264" i="17"/>
  <c r="C265" i="17"/>
  <c r="C256" i="17"/>
  <c r="I159" i="17"/>
  <c r="D284" i="17" s="1"/>
  <c r="I158" i="17"/>
  <c r="I174" i="17"/>
  <c r="I175" i="17"/>
  <c r="D285" i="17" s="1"/>
  <c r="H163" i="54"/>
  <c r="C254" i="17"/>
  <c r="H136" i="54"/>
  <c r="R159" i="54"/>
  <c r="I206" i="17"/>
  <c r="R161" i="54"/>
  <c r="R166" i="54"/>
  <c r="R138" i="54"/>
  <c r="X138" i="54" s="1"/>
  <c r="R153" i="54"/>
  <c r="R137" i="54"/>
  <c r="H137" i="54"/>
  <c r="R146" i="54"/>
  <c r="R157" i="54"/>
  <c r="R141" i="54"/>
  <c r="R147" i="54"/>
  <c r="R163" i="54"/>
  <c r="R165" i="54"/>
  <c r="Q164" i="54"/>
  <c r="R136" i="54"/>
  <c r="Q135" i="54"/>
  <c r="R151" i="54"/>
  <c r="R156" i="54"/>
  <c r="Q155" i="54"/>
  <c r="R140" i="54"/>
  <c r="G155" i="54"/>
  <c r="H156" i="54"/>
  <c r="H166" i="54"/>
  <c r="H146" i="54"/>
  <c r="H153" i="54"/>
  <c r="H151" i="54"/>
  <c r="H141" i="54"/>
  <c r="G135" i="54"/>
  <c r="H140" i="54"/>
  <c r="H157" i="54"/>
  <c r="G164" i="54"/>
  <c r="H165" i="54"/>
  <c r="I97" i="17" l="1"/>
  <c r="C287" i="17"/>
  <c r="C279" i="17"/>
  <c r="P279" i="17" s="1"/>
  <c r="C285" i="17"/>
  <c r="P285" i="17" s="1"/>
  <c r="I173" i="17"/>
  <c r="C284" i="17"/>
  <c r="P284" i="17" s="1"/>
  <c r="I157" i="17"/>
  <c r="C262" i="17"/>
  <c r="P262" i="17" s="1"/>
  <c r="C261" i="17"/>
  <c r="P261" i="17" s="1"/>
  <c r="C258" i="17"/>
  <c r="P258" i="17" s="1"/>
  <c r="X143" i="58"/>
  <c r="I149" i="17"/>
  <c r="X121" i="58"/>
  <c r="X117" i="58"/>
  <c r="X129" i="58"/>
  <c r="H157" i="17"/>
  <c r="I216" i="17"/>
  <c r="D288" i="17" s="1"/>
  <c r="X160" i="54"/>
  <c r="I126" i="17"/>
  <c r="H116" i="17"/>
  <c r="H204" i="17"/>
  <c r="X162" i="54"/>
  <c r="C251" i="17"/>
  <c r="P251" i="17" s="1"/>
  <c r="H35" i="17"/>
  <c r="H20" i="17" s="1"/>
  <c r="W135" i="54"/>
  <c r="C250" i="17"/>
  <c r="P254" i="17"/>
  <c r="I207" i="17"/>
  <c r="D287" i="17" s="1"/>
  <c r="H79" i="17"/>
  <c r="X140" i="54"/>
  <c r="D259" i="17"/>
  <c r="P259" i="17" s="1"/>
  <c r="X134" i="58"/>
  <c r="W151" i="58"/>
  <c r="X166" i="54"/>
  <c r="X161" i="54"/>
  <c r="X153" i="54"/>
  <c r="X165" i="54"/>
  <c r="X157" i="54"/>
  <c r="W150" i="54"/>
  <c r="X151" i="54"/>
  <c r="I118" i="17"/>
  <c r="X146" i="54"/>
  <c r="X156" i="54"/>
  <c r="W139" i="54"/>
  <c r="D266" i="17"/>
  <c r="X141" i="54"/>
  <c r="I119" i="17"/>
  <c r="D280" i="17" s="1"/>
  <c r="X163" i="54"/>
  <c r="W155" i="54"/>
  <c r="X159" i="54"/>
  <c r="W164" i="54"/>
  <c r="X147" i="54"/>
  <c r="P256" i="17"/>
  <c r="X136" i="54"/>
  <c r="X137" i="54"/>
  <c r="H151" i="58"/>
  <c r="I151" i="58" s="1"/>
  <c r="R150" i="54"/>
  <c r="S150" i="54" s="1"/>
  <c r="H139" i="54"/>
  <c r="I139" i="54" s="1"/>
  <c r="H150" i="54"/>
  <c r="I150" i="54" s="1"/>
  <c r="R139" i="54"/>
  <c r="S139" i="54" s="1"/>
  <c r="R151" i="58"/>
  <c r="S151" i="58" s="1"/>
  <c r="P263" i="17"/>
  <c r="P265" i="17"/>
  <c r="R164" i="54"/>
  <c r="S164" i="54" s="1"/>
  <c r="C252" i="17"/>
  <c r="P252" i="17" s="1"/>
  <c r="C253" i="17"/>
  <c r="P253" i="17" s="1"/>
  <c r="C266" i="17"/>
  <c r="D264" i="17"/>
  <c r="P264" i="17" s="1"/>
  <c r="I193" i="17"/>
  <c r="H51" i="17"/>
  <c r="D250" i="17"/>
  <c r="I23" i="17"/>
  <c r="D272" i="17" s="1"/>
  <c r="I52" i="17"/>
  <c r="I215" i="17"/>
  <c r="I128" i="17"/>
  <c r="I127" i="17" s="1"/>
  <c r="I22" i="17"/>
  <c r="R135" i="54"/>
  <c r="S135" i="54" s="1"/>
  <c r="I37" i="17"/>
  <c r="D273" i="17" s="1"/>
  <c r="I36" i="17"/>
  <c r="I192" i="17"/>
  <c r="H65" i="17"/>
  <c r="I66" i="17"/>
  <c r="R155" i="54"/>
  <c r="S155" i="54" s="1"/>
  <c r="I140" i="17"/>
  <c r="H83" i="17"/>
  <c r="I84" i="17"/>
  <c r="C278" i="17" s="1"/>
  <c r="Q172" i="54"/>
  <c r="H164" i="54"/>
  <c r="I164" i="54" s="1"/>
  <c r="I67" i="17"/>
  <c r="D276" i="17" s="1"/>
  <c r="I80" i="17"/>
  <c r="I194" i="17"/>
  <c r="E286" i="17" s="1"/>
  <c r="E289" i="17" s="1"/>
  <c r="I85" i="17"/>
  <c r="D278" i="17" s="1"/>
  <c r="I141" i="17"/>
  <c r="D283" i="17" s="1"/>
  <c r="I49" i="17"/>
  <c r="I53" i="17"/>
  <c r="D275" i="17" s="1"/>
  <c r="H135" i="54"/>
  <c r="I135" i="54" s="1"/>
  <c r="H155" i="54"/>
  <c r="I155" i="54" s="1"/>
  <c r="I81" i="17"/>
  <c r="G172" i="54"/>
  <c r="I138" i="17"/>
  <c r="C282" i="17" s="1"/>
  <c r="P282" i="17" s="1"/>
  <c r="P287" i="17" l="1"/>
  <c r="S287" i="17" s="1"/>
  <c r="I191" i="17"/>
  <c r="R284" i="17"/>
  <c r="S284" i="17"/>
  <c r="R285" i="17"/>
  <c r="S285" i="17"/>
  <c r="R282" i="17"/>
  <c r="S282" i="17"/>
  <c r="R279" i="17"/>
  <c r="S279" i="17"/>
  <c r="E292" i="17"/>
  <c r="I139" i="17"/>
  <c r="I117" i="17"/>
  <c r="I116" i="17" s="1"/>
  <c r="C276" i="17"/>
  <c r="P276" i="17" s="1"/>
  <c r="I65" i="17"/>
  <c r="C286" i="17"/>
  <c r="C273" i="17"/>
  <c r="P273" i="17" s="1"/>
  <c r="I35" i="17"/>
  <c r="C288" i="17"/>
  <c r="P288" i="17" s="1"/>
  <c r="I214" i="17"/>
  <c r="I205" i="17"/>
  <c r="C272" i="17"/>
  <c r="P272" i="17" s="1"/>
  <c r="I21" i="17"/>
  <c r="C275" i="17"/>
  <c r="P275" i="17" s="1"/>
  <c r="I51" i="17"/>
  <c r="P278" i="17"/>
  <c r="C280" i="17"/>
  <c r="P280" i="17" s="1"/>
  <c r="C283" i="17"/>
  <c r="P283" i="17" s="1"/>
  <c r="C281" i="17"/>
  <c r="P281" i="17" s="1"/>
  <c r="X151" i="58"/>
  <c r="I361" i="55" s="1"/>
  <c r="I79" i="17"/>
  <c r="C277" i="17" s="1"/>
  <c r="P277" i="17" s="1"/>
  <c r="X150" i="54"/>
  <c r="Y150" i="54" s="1"/>
  <c r="X164" i="54"/>
  <c r="Y164" i="54" s="1"/>
  <c r="X155" i="54"/>
  <c r="Y155" i="54" s="1"/>
  <c r="X139" i="54"/>
  <c r="Y139" i="54" s="1"/>
  <c r="P266" i="17"/>
  <c r="X135" i="54"/>
  <c r="Y135" i="54" s="1"/>
  <c r="W172" i="54"/>
  <c r="D286" i="17"/>
  <c r="D267" i="17"/>
  <c r="P250" i="17"/>
  <c r="C274" i="17"/>
  <c r="P274" i="17" s="1"/>
  <c r="C255" i="17"/>
  <c r="R172" i="54"/>
  <c r="S172" i="54" s="1"/>
  <c r="I83" i="17"/>
  <c r="H137" i="17"/>
  <c r="H172" i="54"/>
  <c r="I172" i="54" s="1"/>
  <c r="H50" i="17"/>
  <c r="R287" i="17" l="1"/>
  <c r="P286" i="17"/>
  <c r="S286" i="17" s="1"/>
  <c r="R288" i="17"/>
  <c r="S288" i="17"/>
  <c r="S276" i="17"/>
  <c r="R276" i="17"/>
  <c r="R281" i="17"/>
  <c r="S281" i="17"/>
  <c r="R272" i="17"/>
  <c r="S272" i="17"/>
  <c r="S273" i="17"/>
  <c r="R273" i="17"/>
  <c r="R277" i="17"/>
  <c r="S277" i="17"/>
  <c r="S278" i="17"/>
  <c r="R278" i="17"/>
  <c r="S274" i="17"/>
  <c r="R274" i="17"/>
  <c r="R280" i="17"/>
  <c r="S280" i="17"/>
  <c r="R275" i="17"/>
  <c r="S275" i="17"/>
  <c r="R283" i="17"/>
  <c r="S283" i="17"/>
  <c r="I20" i="17"/>
  <c r="I137" i="17"/>
  <c r="I204" i="17"/>
  <c r="C289" i="17"/>
  <c r="D289" i="17"/>
  <c r="X172" i="54"/>
  <c r="C267" i="17"/>
  <c r="P255" i="17"/>
  <c r="P267" i="17" s="1"/>
  <c r="H224" i="17"/>
  <c r="I50" i="17"/>
  <c r="R286" i="17" l="1"/>
  <c r="I224" i="17"/>
  <c r="I225" i="17" s="1"/>
  <c r="S289" i="17"/>
  <c r="D291" i="17"/>
  <c r="D292" i="17"/>
  <c r="C291" i="17"/>
  <c r="C292" i="17"/>
  <c r="Y172" i="54"/>
  <c r="I360" i="55"/>
  <c r="I372" i="55" s="1"/>
  <c r="P289" i="17"/>
  <c r="P291" i="17" l="1"/>
  <c r="Q287" i="17"/>
  <c r="Q284" i="17"/>
  <c r="Q288" i="17"/>
  <c r="Q272" i="17"/>
  <c r="H290" i="17"/>
  <c r="L290" i="17"/>
  <c r="M290" i="17"/>
  <c r="Q285" i="17"/>
  <c r="N290" i="17"/>
  <c r="Q282" i="17"/>
  <c r="Q273" i="17"/>
  <c r="O290" i="17"/>
  <c r="Q274" i="17"/>
  <c r="P290" i="17"/>
  <c r="Q286" i="17"/>
  <c r="Q275" i="17"/>
  <c r="Q276" i="17"/>
  <c r="Q277" i="17"/>
  <c r="Q278" i="17"/>
  <c r="Q279" i="17"/>
  <c r="Q280" i="17"/>
  <c r="Q281" i="17"/>
  <c r="F290" i="17"/>
  <c r="G290" i="17"/>
  <c r="K290" i="17"/>
  <c r="J290" i="17"/>
  <c r="I290" i="17"/>
  <c r="E290" i="17"/>
  <c r="Q283" i="17"/>
  <c r="C290" i="17"/>
  <c r="D290" i="17"/>
  <c r="R289" i="17"/>
  <c r="P292" i="17"/>
  <c r="Q289" i="1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<sst xmlns="http://schemas.openxmlformats.org/spreadsheetml/2006/main" count="5018" uniqueCount="1178">
  <si>
    <t>SKUPAJ</t>
  </si>
  <si>
    <t>SKUPAJ PROJEKT</t>
  </si>
  <si>
    <t>NOTRANJA OPREMA</t>
  </si>
  <si>
    <t>1.</t>
  </si>
  <si>
    <t>2.</t>
  </si>
  <si>
    <t>3.</t>
  </si>
  <si>
    <t>6.</t>
  </si>
  <si>
    <t>8.</t>
  </si>
  <si>
    <t>9.</t>
  </si>
  <si>
    <t>10.</t>
  </si>
  <si>
    <t>11.</t>
  </si>
  <si>
    <t>12.</t>
  </si>
  <si>
    <t>13.</t>
  </si>
  <si>
    <t>14.</t>
  </si>
  <si>
    <t>15.</t>
  </si>
  <si>
    <t>16.</t>
  </si>
  <si>
    <t>17.</t>
  </si>
  <si>
    <t>18.</t>
  </si>
  <si>
    <t>19.</t>
  </si>
  <si>
    <t>20.</t>
  </si>
  <si>
    <t>21.</t>
  </si>
  <si>
    <t>22.</t>
  </si>
  <si>
    <t>23.</t>
  </si>
  <si>
    <t>Letni fond delovnih dni</t>
  </si>
  <si>
    <t>Število dela prostih dni (prazniki)</t>
  </si>
  <si>
    <t>% projekta</t>
  </si>
  <si>
    <t>0</t>
  </si>
  <si>
    <t>POBUDA</t>
  </si>
  <si>
    <t>0.1</t>
  </si>
  <si>
    <t>0.2</t>
  </si>
  <si>
    <t>1</t>
  </si>
  <si>
    <t>ZAGON</t>
  </si>
  <si>
    <t>1.1</t>
  </si>
  <si>
    <t>1.2</t>
  </si>
  <si>
    <t>1.3</t>
  </si>
  <si>
    <t>PROJEKTIRANJE</t>
  </si>
  <si>
    <t>3</t>
  </si>
  <si>
    <t>3.1</t>
  </si>
  <si>
    <t>3.2</t>
  </si>
  <si>
    <t>4.1</t>
  </si>
  <si>
    <t>4.2</t>
  </si>
  <si>
    <t>4.3</t>
  </si>
  <si>
    <t>4.4</t>
  </si>
  <si>
    <t>4.5</t>
  </si>
  <si>
    <t>UPORABA</t>
  </si>
  <si>
    <t>5.1</t>
  </si>
  <si>
    <t>5.2</t>
  </si>
  <si>
    <t>KONEC ŽIVLJENJSKEGA CIKLA</t>
  </si>
  <si>
    <t>2.1</t>
  </si>
  <si>
    <t>2.2</t>
  </si>
  <si>
    <t>2.3</t>
  </si>
  <si>
    <t>6.1</t>
  </si>
  <si>
    <t>6.2</t>
  </si>
  <si>
    <t>6.3</t>
  </si>
  <si>
    <t>ŠTEVILO NU</t>
  </si>
  <si>
    <t>NAROČNIK</t>
  </si>
  <si>
    <t>PONUDNIK</t>
  </si>
  <si>
    <t>GRADNJA</t>
  </si>
  <si>
    <t>DATUM</t>
  </si>
  <si>
    <t>GRADBENO OBRTNIŠKA DELA (GO)</t>
  </si>
  <si>
    <t>STROJNE INŠTALACIJE (SI)</t>
  </si>
  <si>
    <t>ELEKTRIČNE INŠTALACIJE (EI)</t>
  </si>
  <si>
    <t xml:space="preserve">TRŽNA ANALIZA                            </t>
  </si>
  <si>
    <t>OCENA GOSPODARNOSTI</t>
  </si>
  <si>
    <t>ZAGON PROJEKTA</t>
  </si>
  <si>
    <t>ŠTUDIJA IZVEDLJIVOSTI</t>
  </si>
  <si>
    <t>ZAŠČITA PRED HRUPOM</t>
  </si>
  <si>
    <t>VREDNOST V EUR</t>
  </si>
  <si>
    <t>1 do 6 točk</t>
  </si>
  <si>
    <t>1 do 9 točk</t>
  </si>
  <si>
    <t>Cenovni razred I</t>
  </si>
  <si>
    <t>Cenovni razred II</t>
  </si>
  <si>
    <t>Cenovni razred III</t>
  </si>
  <si>
    <t>Cenovni razred IV</t>
  </si>
  <si>
    <t>Cenovni razred V</t>
  </si>
  <si>
    <t>EUR</t>
  </si>
  <si>
    <t>BRUTO POVRŠINA</t>
  </si>
  <si>
    <t>SKUPAJ BRUTO POVRŠINA</t>
  </si>
  <si>
    <t>SNOVANJE</t>
  </si>
  <si>
    <t>2.4</t>
  </si>
  <si>
    <t>2.5</t>
  </si>
  <si>
    <t>PRIPRAVA GRADIV ZA NAROČILO</t>
  </si>
  <si>
    <t>POVPREČNA VREDNOST GOI EUR/m2 BEP</t>
  </si>
  <si>
    <t>SKUPAJ NETO POVRŠINA</t>
  </si>
  <si>
    <t>POVPREČNA VREDNOST NOTRANJA OPREMA EUR/m2 NEP</t>
  </si>
  <si>
    <t>število funkcionalnih področij</t>
  </si>
  <si>
    <t>zahteve glede oblikovanje svetlobe</t>
  </si>
  <si>
    <t>zahteve glede razporeditve in razmerja prostorov</t>
  </si>
  <si>
    <t>zahteve glede inštalacij</t>
  </si>
  <si>
    <t>zahteve glede barv in materialov</t>
  </si>
  <si>
    <t>konstruktivno oblikovanje detajlov</t>
  </si>
  <si>
    <t>zahteve za vključitev v okolje</t>
  </si>
  <si>
    <t>zahtevnost inštalacij</t>
  </si>
  <si>
    <t>4.</t>
  </si>
  <si>
    <t>5.</t>
  </si>
  <si>
    <t>SKUPAJ MAKSIMALNO 42</t>
  </si>
  <si>
    <t>oblikovne zahteve</t>
  </si>
  <si>
    <t>komunalna ureditev</t>
  </si>
  <si>
    <t>1 do 8 točk</t>
  </si>
  <si>
    <t>SKUPAJ MAKSIMALNO 36</t>
  </si>
  <si>
    <t>IZBRANI CENOVNI RAZRED</t>
  </si>
  <si>
    <t>NAROČANJE</t>
  </si>
  <si>
    <t>PORAZDELITEV UR ZA NAČRTE ELEKTROTEHNIKE</t>
  </si>
  <si>
    <t>PORAZDELITEV UR ZA NAČRTE STROJNIŠTVA</t>
  </si>
  <si>
    <t>I.</t>
  </si>
  <si>
    <t>Stroški</t>
  </si>
  <si>
    <t>A.</t>
  </si>
  <si>
    <t>mesec</t>
  </si>
  <si>
    <t>leto</t>
  </si>
  <si>
    <t>ura</t>
  </si>
  <si>
    <t>faktor bruto/neto</t>
  </si>
  <si>
    <t>skupaj</t>
  </si>
  <si>
    <t>B.</t>
  </si>
  <si>
    <t>Drugi stroški</t>
  </si>
  <si>
    <t>pisarniški in drobni material</t>
  </si>
  <si>
    <t>telefon, internet</t>
  </si>
  <si>
    <t>reprezentanca</t>
  </si>
  <si>
    <t>amortizacija osnovnih sredsev</t>
  </si>
  <si>
    <t>7.</t>
  </si>
  <si>
    <t>potni stroški, dnevnice</t>
  </si>
  <si>
    <t>prevozna sredstva (leasing, vzdrževanje)</t>
  </si>
  <si>
    <t>literatura, revije, časopisi</t>
  </si>
  <si>
    <t>sodne takse</t>
  </si>
  <si>
    <t>zavarovanja</t>
  </si>
  <si>
    <t>finančni stroški (banke, posojila, )</t>
  </si>
  <si>
    <t>davki</t>
  </si>
  <si>
    <t>računovodstvo</t>
  </si>
  <si>
    <t>odvetniške in notarske stroitve</t>
  </si>
  <si>
    <t xml:space="preserve">druga svetovanja v zvezi z vodenjem firme </t>
  </si>
  <si>
    <t>članarine</t>
  </si>
  <si>
    <t>natečaji (materialni stroški, delo ziunanjih sodelavcev, nabave gradiva, ..)</t>
  </si>
  <si>
    <t>promocija (objave, sodelovanje na predstavitvah)</t>
  </si>
  <si>
    <t>donacije</t>
  </si>
  <si>
    <t>štipendije</t>
  </si>
  <si>
    <t>kazni, odškodnine (rizični fond)</t>
  </si>
  <si>
    <t>skupaj biro</t>
  </si>
  <si>
    <t>C.</t>
  </si>
  <si>
    <t>SKUPAJ A.+B.+C.</t>
  </si>
  <si>
    <t>II.</t>
  </si>
  <si>
    <t>Proizvodne ure</t>
  </si>
  <si>
    <t xml:space="preserve">proizvodne ure </t>
  </si>
  <si>
    <t>Cena povprečne proizvodne ure (NU)</t>
  </si>
  <si>
    <t>Razmerja</t>
  </si>
  <si>
    <t>faktor NU/bto ura</t>
  </si>
  <si>
    <t>prostori, 15 m2/delavec (najemnina, tekoči stroški in vzdrževanje, nadomestilo za uporabo stavbnega zemljišča)</t>
  </si>
  <si>
    <t>pošta, kurirji, DHL, …</t>
  </si>
  <si>
    <t>Pričakovani dobiček (pred obdavčitvijo, 10 % stroškov</t>
  </si>
  <si>
    <t>faktor NU/nto ura</t>
  </si>
  <si>
    <t>delež</t>
  </si>
  <si>
    <t>prehrana (ocena)</t>
  </si>
  <si>
    <t>prevoz na delo (ocena)</t>
  </si>
  <si>
    <t>regres</t>
  </si>
  <si>
    <t>Podatki</t>
  </si>
  <si>
    <t>število zaposlenih</t>
  </si>
  <si>
    <t>od tega proizvodnih delavcev</t>
  </si>
  <si>
    <t>Stroški dela posameznega delavca</t>
  </si>
  <si>
    <t>skupaj za vse delavce</t>
  </si>
  <si>
    <t>dni</t>
  </si>
  <si>
    <t>ur</t>
  </si>
  <si>
    <t>Letni dopust</t>
  </si>
  <si>
    <t>Bolniška odsotnost</t>
  </si>
  <si>
    <t>Izobraževanje</t>
  </si>
  <si>
    <t>bto plača</t>
  </si>
  <si>
    <t>neto plača</t>
  </si>
  <si>
    <t>zahteve glede varovanja, ohranjanja in razvoja narave</t>
  </si>
  <si>
    <t>VRSTA UREDITVE</t>
  </si>
  <si>
    <t>POVRŠINA</t>
  </si>
  <si>
    <t>SKUPAJ POVRŠINA</t>
  </si>
  <si>
    <t>POVPREČNA VREDNOST GOI EUR/m2</t>
  </si>
  <si>
    <t>do 10 točk</t>
  </si>
  <si>
    <t>11 do 18 točk</t>
  </si>
  <si>
    <t>19 do 26 točk</t>
  </si>
  <si>
    <t>27 do 34 točk</t>
  </si>
  <si>
    <t>35 do 42 točk</t>
  </si>
  <si>
    <t>do 8 točk</t>
  </si>
  <si>
    <t>9 do 15 točk</t>
  </si>
  <si>
    <t>16 do 22 točk</t>
  </si>
  <si>
    <t>23 do 29 točk</t>
  </si>
  <si>
    <t>30 do 36 točk</t>
  </si>
  <si>
    <t>SKUPAJ OSNOVNE STORITVE</t>
  </si>
  <si>
    <t>GRADBENA POGODBA</t>
  </si>
  <si>
    <t>PRIPRAVA GRADNJE</t>
  </si>
  <si>
    <t>SPUŠČANJE V OBRATOVANJE</t>
  </si>
  <si>
    <t>OBRATOVANJE</t>
  </si>
  <si>
    <t>VZDRŽEVANJE</t>
  </si>
  <si>
    <t>PRESOJA</t>
  </si>
  <si>
    <t>PRENOVA</t>
  </si>
  <si>
    <t>RAZGRADNJA</t>
  </si>
  <si>
    <t>DDV 22%</t>
  </si>
  <si>
    <t>NAVODILA</t>
  </si>
  <si>
    <r>
      <t>m</t>
    </r>
    <r>
      <rPr>
        <vertAlign val="superscript"/>
        <sz val="10"/>
        <rFont val="Inter Light"/>
        <family val="2"/>
        <charset val="238"/>
      </rPr>
      <t>2</t>
    </r>
  </si>
  <si>
    <t>POSEBNE STORITVE</t>
  </si>
  <si>
    <t>Vpiši vrednost</t>
  </si>
  <si>
    <t>IZRAČUNANI CENOVNI RAZRED</t>
  </si>
  <si>
    <t>PORAZDELITEV UR ZA NAČRTOVANJE STAVB</t>
  </si>
  <si>
    <t>ODPRTI PROSTOR</t>
  </si>
  <si>
    <t>TIPOLOGIJA NOTRANJE OPREME</t>
  </si>
  <si>
    <t>SKUPAJ NOTRANJA OPREMA</t>
  </si>
  <si>
    <t>OSNOVNI PODATKI</t>
  </si>
  <si>
    <t>SKUPAJ ODPRTI PROSTOR</t>
  </si>
  <si>
    <t>I</t>
  </si>
  <si>
    <t>II</t>
  </si>
  <si>
    <t>III</t>
  </si>
  <si>
    <t>IV</t>
  </si>
  <si>
    <t>V</t>
  </si>
  <si>
    <t>x</t>
  </si>
  <si>
    <t>preprosti rovi in predori</t>
  </si>
  <si>
    <t>obalni zidovi in stene</t>
  </si>
  <si>
    <t>preproste zapornice za ladje in čolne</t>
  </si>
  <si>
    <t>enostavne naprave za predelavo gradbenih odpadkov</t>
  </si>
  <si>
    <t>zahtevni nasipi in jezovi</t>
  </si>
  <si>
    <t>fiksne zapornice</t>
  </si>
  <si>
    <t>preproste premične zapornice</t>
  </si>
  <si>
    <t>zahtevni obalni zidovi in stene, utrditev brežin na vodnih poteh</t>
  </si>
  <si>
    <t>ladijske zapornice za nizko višino dviga</t>
  </si>
  <si>
    <t>ladjedelnice, preprosti suhi doki</t>
  </si>
  <si>
    <t>ladijski kanali z bitvami, obalnimi zidovi, s preprostimi pogoji</t>
  </si>
  <si>
    <t>začasna skladišča, nepokriti zbirni centri in prekladalne postaje za odpadke, odpadno embalažo in kosovne odpadke s preprostimi dodatnimi napravami</t>
  </si>
  <si>
    <t>kompostirnice rastlinskih odpadkov brez posebnih naprav</t>
  </si>
  <si>
    <t>odlagališča gradbenih odpadkov</t>
  </si>
  <si>
    <t xml:space="preserve">enopoljni mostovi </t>
  </si>
  <si>
    <t>premične zapornice</t>
  </si>
  <si>
    <t>hidroelektrarne</t>
  </si>
  <si>
    <t>ladijski kanali z bitvami, obalnimi zidovi, v zahtevnih razmerah, s prehodi</t>
  </si>
  <si>
    <t>ladijske zapornice za veliko višino dviga</t>
  </si>
  <si>
    <t>zahtevni suhi doki</t>
  </si>
  <si>
    <t>kompostirnice</t>
  </si>
  <si>
    <t>sanacija starih odlagališč odpadkov in kontaminiranih zemljišč</t>
  </si>
  <si>
    <t>enostavni večpoljni in ločni mostovi</t>
  </si>
  <si>
    <t>zahtevni dimniki</t>
  </si>
  <si>
    <t>zahtevne vetrnice</t>
  </si>
  <si>
    <t xml:space="preserve">sidrani masivni podporni in oporni zidovi na zahtevnem terenu </t>
  </si>
  <si>
    <t>zahtevne samostojne podzemne garaže, zahtevne kaverne in komore, zahtevni predori</t>
  </si>
  <si>
    <t>zahtevne čistilne naprave</t>
  </si>
  <si>
    <t>zahtevni plavajoči pomoli, premični nakladalni mostovi</t>
  </si>
  <si>
    <t>mostovi za komunalne vode</t>
  </si>
  <si>
    <t>posebej zahtevni dimniki</t>
  </si>
  <si>
    <t xml:space="preserve">sidrani masivni podporni in oporni zidovi na izjemno zahtevnem terenu </t>
  </si>
  <si>
    <t>privezi za čolne z bitvami, sidrišči, valobrani in bojami na stoječih vodah</t>
  </si>
  <si>
    <t>protihrupne ograje, z izjemo protihrupnih ograj kot krajinskega oblikovanja,</t>
  </si>
  <si>
    <t>nesidrani enostavni masivni podporni in oporni zidovi z majhnimi višinskimi razlikami brez prometne obremenitve kot sredstvo za preoblikovanje terena in za konstruktivno zaščito pobočij</t>
  </si>
  <si>
    <t>posamezna vodna telesa z enakomernim padcem in enakomerno spremenljivim prečnim prerezom</t>
  </si>
  <si>
    <t>posamezna vodna telesa z enakomernim padcem in prečnim prerezom, z izjemo posameznih vodnih teles s pretežno ekološkimi in krajinsko oblikovalskimi elementi</t>
  </si>
  <si>
    <t>Nasipi in jezovi</t>
  </si>
  <si>
    <t>rovi in prepusti</t>
  </si>
  <si>
    <t>preproste ojačitve brežin</t>
  </si>
  <si>
    <t>začasna skladišča, nepokriti zbirni centri in prekladalne postaje za odpadke, odpadno embalažo in kosovne odpadke brez dodatnih naprav</t>
  </si>
  <si>
    <t>odlagališča gradbenih odpadkov brez posebnih naprav</t>
  </si>
  <si>
    <t>enostavni sistemi za zaščito pred hrupom</t>
  </si>
  <si>
    <t>jambori in stolpi brez nadgradenj</t>
  </si>
  <si>
    <t>nesidrani enostavni masivni podporni in oporni zidovi s prometnimi obremenitvami na nezahtevnem terenu</t>
  </si>
  <si>
    <t>posamezna vodna telesa z neenakomernim padcem in neenakomerno spremenljivim prečnim prerezom</t>
  </si>
  <si>
    <t>zadrževalniki in nasipi z višino do 5,0 m nad terenom ali do 100.000 m3 prostornine</t>
  </si>
  <si>
    <t>enostavne fiksne zapornice</t>
  </si>
  <si>
    <t>majhne hidroelektrarne</t>
  </si>
  <si>
    <t>začasna skladišča, nepokriti zbirni centri in prekladalne postaje za odpadke, odpadno embalažo in kosovne odpadke z zahtevnimi dodatnimi napravami</t>
  </si>
  <si>
    <t>naprave za predelavo odpadkov</t>
  </si>
  <si>
    <t>naprave za predelavo gradbenih odpadkov</t>
  </si>
  <si>
    <t>kompostirnice organiskih odpadkov, kompostirnice rastlinskih odpadkov</t>
  </si>
  <si>
    <t>odlagališča nenevarnih odpadkov in monodeponije</t>
  </si>
  <si>
    <t>sistemi za zaščito pred hrupom</t>
  </si>
  <si>
    <t>ravni enopoljni mostovi preproste zasnove</t>
  </si>
  <si>
    <t>dimniki</t>
  </si>
  <si>
    <t>enostavni dimniki</t>
  </si>
  <si>
    <t>čistilne naprave s skupno aerobno stabilizacijo, črpališča in dvižne naprave</t>
  </si>
  <si>
    <t>čistilne naprave, zahtevnejša črpališča in dvižne naprave</t>
  </si>
  <si>
    <t>posamezna vodna telesa z neenakomernim padcem in številnimi spremembami  prečnega prerez, vodni sistemi s številnimi spremembami prereza, zlasti zahtevno načrtovanje vodotokov z visokimi tehničnimi zahtevami in izravnalnimi ukrepi</t>
  </si>
  <si>
    <t xml:space="preserve">zadrževalniki in nasipi s prostornino od 100.000 m³ do 5.000.000 m³ </t>
  </si>
  <si>
    <t>izjemno zahtevni nasipi in jezovi</t>
  </si>
  <si>
    <t>preproste pregrade in zapore kanalov</t>
  </si>
  <si>
    <t>pregrade in zapore kanalov</t>
  </si>
  <si>
    <t>protipoplavni jezovi in stene</t>
  </si>
  <si>
    <t>protipoplavni jezovi in stene v težkih pogojih</t>
  </si>
  <si>
    <t>odlagališča nenevarnih odpadkov in mono odlagališča s težkimi tehničnimi zahtevami</t>
  </si>
  <si>
    <t>sistemi za kondicioniranje nevarnih odpadkov</t>
  </si>
  <si>
    <t>odlagališča nevarnih odpadkov</t>
  </si>
  <si>
    <t>sistemi za podzemna odlagališča</t>
  </si>
  <si>
    <t>odlagališča zabojnikov</t>
  </si>
  <si>
    <t>tesnjenje starih nanosov in onesnaženih mest s visokimi tehničnimi zahtevami</t>
  </si>
  <si>
    <t>tesnjenje starih nanosov in onesnaženih mest</t>
  </si>
  <si>
    <t>sistemi za zaščito pred hrupom v zahtevem urbanem okolju</t>
  </si>
  <si>
    <t>postaje podzemne železnice</t>
  </si>
  <si>
    <t xml:space="preserve">sidrani masivni podporni in oporni zidovi ali nesidrani masivni podporni in oporni zidovi na zahtevnem terenu </t>
  </si>
  <si>
    <t>zahtevne hidroelektrarne, na primer črpalne ali kavernske elektrarne</t>
  </si>
  <si>
    <t>poplavni kesoni, zahtevni jezovi, valobrani</t>
  </si>
  <si>
    <t>privezi za čolne z bitvami, sidrišči, valobrani in bojami na tekočnih vodah, enostavni nakladalni mostovi za ladje, z enostavnimi obalnimi zidovi in pomoli</t>
  </si>
  <si>
    <t>nakladalni mostovi za ladje, pristanišča z bitvami, sidrišči, valobrani in bojami z  obalnimi zidovi in pomoli z velikimi obremenitvami</t>
  </si>
  <si>
    <t>pristanišča, nakladalni mostovi za ladje v primeru plime ali poplave, pristanišča v primeru plime in poplave, zahtevne obalne stene in pomoli</t>
  </si>
  <si>
    <t>dvigala za ladje</t>
  </si>
  <si>
    <t>plavajoči doki</t>
  </si>
  <si>
    <t>sežigalnice, pirolizne naprave</t>
  </si>
  <si>
    <t>zahtevni eno- in večpoljni mostovi in ločni mostovi</t>
  </si>
  <si>
    <t>zahtevne vzdolžno prednapete jeklene konstrukcije</t>
  </si>
  <si>
    <t>zahtevne postaje podzemne železnice</t>
  </si>
  <si>
    <t>posebej zahtevne postaje  in prestopne postaje podzemne železnice</t>
  </si>
  <si>
    <t>zbiralniki deževnice</t>
  </si>
  <si>
    <t>male komunalne čistilne naprave, enostavna črpališča in dvižne naprave</t>
  </si>
  <si>
    <t>zahtevni rovi in prepusti</t>
  </si>
  <si>
    <t>posebej zahtevni rovi in prepusti</t>
  </si>
  <si>
    <t>večstopenjske naprave za predelavo odpadkov</t>
  </si>
  <si>
    <t>enostavne, enostopenjske naprave za predelavo odpadkov</t>
  </si>
  <si>
    <t>zahtevne naprave za čiščenje odpadne vode</t>
  </si>
  <si>
    <t>naprave za čiščenje odpadne vode</t>
  </si>
  <si>
    <t>predori in tuneli</t>
  </si>
  <si>
    <t>zahtevni predori in tuneli</t>
  </si>
  <si>
    <t>zelo zahtevni predori in tuneli</t>
  </si>
  <si>
    <t>izjemno zahtevni mostovi</t>
  </si>
  <si>
    <t xml:space="preserve">samostojne podzemne garaže, enostavne kaverne in komore, enostavne predori </t>
  </si>
  <si>
    <t>izjemno zahtevne kaverne in komore</t>
  </si>
  <si>
    <t>Stanovanjske stavbe, domovi, šole, upravne stavbe ali banke s povprečno tehnično opremo</t>
  </si>
  <si>
    <t>Domovi, šole, upravne stavbe z nadpovprečno tehnično opremo</t>
  </si>
  <si>
    <t>stanovanjske stavbe z zamaknjenimi tlorisi</t>
  </si>
  <si>
    <t>stanovanjske stavbe, izpostavljene zunanjemu hrupu</t>
  </si>
  <si>
    <t>hoteli, kadar se ne uvrščajo v III. razred</t>
  </si>
  <si>
    <t>univerze in visoke šole</t>
  </si>
  <si>
    <t>bolnišnice, kadar se ne uvrščajo v III. razred</t>
  </si>
  <si>
    <t>stavbe za oddih, zdravljenje in rekreacijo</t>
  </si>
  <si>
    <t>Dvorane za družabne prireditve, kadar se ne uvrščajo v III. razred</t>
  </si>
  <si>
    <t>delavnice, ki potrebujejo zvočno zaščitene prostore</t>
  </si>
  <si>
    <t>hoteli z obsežno gastronomsko dejavnostjo</t>
  </si>
  <si>
    <t>stavbe za poslovno ali stanovanjsko rabo</t>
  </si>
  <si>
    <t>bolnišnice na posebej neugodnih lokacijah ali z neugodno razporeditvijo oskrbovalnih naprav</t>
  </si>
  <si>
    <t>Koncertne dvorane, gledališča, operne hiše, konferenčne in kongresne dvorane stavbe</t>
  </si>
  <si>
    <t>snemalni studii, akustični merilni laboratoriji</t>
  </si>
  <si>
    <t>Prostori (dvorane) za počitek, igralnice, foyerji</t>
  </si>
  <si>
    <t>Pisarne odprtega tipa</t>
  </si>
  <si>
    <t>Učilnice, predavalnice in sejne sobe</t>
  </si>
  <si>
    <t>– do 500 m³</t>
  </si>
  <si>
    <t>– 500 do 1 500 m³</t>
  </si>
  <si>
    <t>– več kot 1 500 m³</t>
  </si>
  <si>
    <t>Kinematografi</t>
  </si>
  <si>
    <t>– do 1 000 m³</t>
  </si>
  <si>
    <t>– 1 000 do 3 000 m³</t>
  </si>
  <si>
    <t>– več kot 3 000 m³</t>
  </si>
  <si>
    <t>Cerkve</t>
  </si>
  <si>
    <t>Športne dvorane, telovadnice</t>
  </si>
  <si>
    <t>– brez možnosti pregrajevanje, do 1 000 m³</t>
  </si>
  <si>
    <t>– z možnostjo pregrajevanja, do 3 000 m³</t>
  </si>
  <si>
    <t>Večnamenske dovrane</t>
  </si>
  <si>
    <t>– do 3 000 m³</t>
  </si>
  <si>
    <t>Koncertne dvorane, gledališča, operne hiše</t>
  </si>
  <si>
    <t>prostori s spremenljivimi akustičnimi lastnostmi</t>
  </si>
  <si>
    <t>TEHNOLOGIJA</t>
  </si>
  <si>
    <t>TEHNOLOGIJA (TH)</t>
  </si>
  <si>
    <t>VREDNOST DEL GRADNJA</t>
  </si>
  <si>
    <t>TEHNIČNA OPREMA</t>
  </si>
  <si>
    <t>INŽENIRSKI OBJEKTI</t>
  </si>
  <si>
    <t>STAVBE</t>
  </si>
  <si>
    <t>OBJEKTI PROMETNE INFRASTRUKTURE</t>
  </si>
  <si>
    <t>GRADBENE KONSTRUKCIJE</t>
  </si>
  <si>
    <t>ELEKTRIČNE INSTALACIJE</t>
  </si>
  <si>
    <t>STROJNE INSTALACIJE</t>
  </si>
  <si>
    <t>UČINKOVITA RABA ENERGIJE</t>
  </si>
  <si>
    <t>PROSTORSKA AKUSTIKA</t>
  </si>
  <si>
    <t>POŽARNA VARNOST</t>
  </si>
  <si>
    <t>oblikovna zahtevnost</t>
  </si>
  <si>
    <t>konstrukcijska zahtevnost</t>
  </si>
  <si>
    <t>zahtevnost zaključnih del</t>
  </si>
  <si>
    <t>SEZNAMI STANDARDNIH PRIMEROV</t>
  </si>
  <si>
    <t>Preprosta zunanja ureditev</t>
  </si>
  <si>
    <t>Terase in strešni vrtovi</t>
  </si>
  <si>
    <t>Otroška igrišča</t>
  </si>
  <si>
    <t>Gledališča na prostem</t>
  </si>
  <si>
    <t>Pokopališča, spomeniki, spominska obeležja, z visokimi ali zelo visokimi zahtevami</t>
  </si>
  <si>
    <t>namakanje in odvodnjavanje brez cevnih sistemov, obsežna zemeljska dela z različnimi nivoji ali materiali</t>
  </si>
  <si>
    <r>
      <t>zadrževalniki in nasipi s prostornino nad 5.000.000 m</t>
    </r>
    <r>
      <rPr>
        <vertAlign val="superscript"/>
        <sz val="10"/>
        <color rgb="FF000000"/>
        <rFont val="Inter"/>
        <family val="2"/>
      </rPr>
      <t>3</t>
    </r>
  </si>
  <si>
    <t>enostavni jambori in stolpi brez nadgradenj</t>
  </si>
  <si>
    <t>jambori in stolpi z nadgradnjami</t>
  </si>
  <si>
    <t>jambori in stolpi z nadgradnjami in etažami z uporabnimi površinami</t>
  </si>
  <si>
    <t>jambori in stolpi z nadgradnjami in etažami z uporabnimi površinami v javni rabi</t>
  </si>
  <si>
    <t>INŽENIRSKI OBJEKTI (IZBOR)</t>
  </si>
  <si>
    <t>cenovni razred je enak kot za stavbe</t>
  </si>
  <si>
    <t>Poraba časa - odprti prostor</t>
  </si>
  <si>
    <t>PORAZDELITEV UR  - UČINKOVITA RABA ENERGIJE</t>
  </si>
  <si>
    <t>PORAZDELITEV UR  - ZAŠČITA PRED HRUPOM</t>
  </si>
  <si>
    <t>IZRAČUN IZHODIŠČNIH VREDNOSTI OSNOVNIH STORITEV</t>
  </si>
  <si>
    <t>PORAZDELITEV UR  - PROSTORSKA AKUSTIKA</t>
  </si>
  <si>
    <t>3 do 33 %</t>
  </si>
  <si>
    <t>2 do 8 %</t>
  </si>
  <si>
    <t>% z dodatki</t>
  </si>
  <si>
    <t>AB KONSTRUKCIJA BREZ OPAŽNIH NAČRTOV ALI ENOSTAVNA LESENA KONSTRUKCIJA</t>
  </si>
  <si>
    <t>BREZ NAČRTA UTOROV IN PREBOJEV V NAČRTIH INŠTALACIJ</t>
  </si>
  <si>
    <t>BREZ PREVERJANJA MONTAŽNIH IN DELAVNIŠKIH NAČRTOV V TEHNIČNIH NAČRTIH</t>
  </si>
  <si>
    <t>PRIBITEK ZA PRENOVO</t>
  </si>
  <si>
    <t>specifični tehnični pogoji</t>
  </si>
  <si>
    <t>geološke geotehnične danosti gradbenega zemljišča,</t>
  </si>
  <si>
    <t>tehnična oprema in opremljenost,</t>
  </si>
  <si>
    <t>Vključevanje v okolje ali v območje objekta,</t>
  </si>
  <si>
    <t>število funkcionalnih področij ali konstrukcijske in tehnične zahteve,</t>
  </si>
  <si>
    <t>1 do 5 točk</t>
  </si>
  <si>
    <t>1 do 10 točk</t>
  </si>
  <si>
    <t>1 do 15 točk</t>
  </si>
  <si>
    <t>SKUPAJ MAKSIMALNO 40</t>
  </si>
  <si>
    <t>11 do 17 točk</t>
  </si>
  <si>
    <t>18 do 25 točk</t>
  </si>
  <si>
    <t>26 do 33 točk</t>
  </si>
  <si>
    <t>34 do 40 točk</t>
  </si>
  <si>
    <t>vključevanje v okolje ali v območje objekta,</t>
  </si>
  <si>
    <t>SKUPAJ NU ZA FAZO</t>
  </si>
  <si>
    <t>SKUPAJ EUR ZA FAZO</t>
  </si>
  <si>
    <t>GRADBENI NADZOR</t>
  </si>
  <si>
    <t>Ceste izven naselij</t>
  </si>
  <si>
    <t>– brez posebnih horizontalnih elementov osi ali na zmerno neravnem terenu</t>
  </si>
  <si>
    <t>– s posebnimi horizontalnimi elementi osi ali na neravnem terenu</t>
  </si>
  <si>
    <t>– z večjim številom posebnih horizontalnih elementov osi ali na močno neravnem terenu</t>
  </si>
  <si>
    <t>– v hribovitem terenu</t>
  </si>
  <si>
    <t>Ceste in trgi v naselju</t>
  </si>
  <si>
    <t>– Stanovanjske in zbirne ulice</t>
  </si>
  <si>
    <t>– druge mestne ulice z običajnimi prometnimi zahtevami ali normalnimi urbanističnimi razmerami (povprečno število povezav z okolico)</t>
  </si>
  <si>
    <t>– druge mestne ulice z visokimi prometnimi zahtevami ali težkimi urbanističnimi razmerami (veliko število povezav z okoljem)</t>
  </si>
  <si>
    <t>Poti</t>
  </si>
  <si>
    <t>– na ravnem terenu z enostavnimi pogoji za odvodnjavanje</t>
  </si>
  <si>
    <t>– na neravnem terenu z enostavnimi pogoji za gradnjo in odvodnjavanje</t>
  </si>
  <si>
    <t>– na neravnem terenu s težkimi pogoji za gradnjo in odvodnjavanje</t>
  </si>
  <si>
    <t>Parkirišča, prometne površine</t>
  </si>
  <si>
    <t>– preproste prometne površine, parkirišča izven urbanih območij</t>
  </si>
  <si>
    <t>– notranja parkirišča</t>
  </si>
  <si>
    <t xml:space="preserve">– območja umirjenega prometa z običajnimi urbanističnimi zahtevami </t>
  </si>
  <si>
    <r>
      <t> </t>
    </r>
    <r>
      <rPr>
        <sz val="10"/>
        <color rgb="FF221F1F"/>
        <rFont val="Inter"/>
        <family val="2"/>
      </rPr>
      <t>x</t>
    </r>
  </si>
  <si>
    <t>– območja umirjenega prometa z visokimi urbanističnimi zahtevami</t>
  </si>
  <si>
    <t>– prometne površine za pretovarjanje cesta/cesta</t>
  </si>
  <si>
    <t>– prometne površine za pretovarjanje kombinirani promet</t>
  </si>
  <si>
    <t>Bencinske črpalke, počivališča</t>
  </si>
  <si>
    <t>– z običajnimi prometnimi zahtevami</t>
  </si>
  <si>
    <t>– z visokimi prometnimi zahtevami</t>
  </si>
  <si>
    <t>Vozlišča</t>
  </si>
  <si>
    <t>– enostavna nivojska</t>
  </si>
  <si>
    <t>– zahtevna nivojska</t>
  </si>
  <si>
    <t>– zelo zahtevna nivojska</t>
  </si>
  <si>
    <t>– enostavna izven nivojska</t>
  </si>
  <si>
    <t>– zahtevna izven nivojska</t>
  </si>
  <si>
    <t>– zelo zahtevna izven nivojska</t>
  </si>
  <si>
    <t>Železniški tiri na odprtih progah</t>
  </si>
  <si>
    <t>– brez kretnic in križišč</t>
  </si>
  <si>
    <t>Tirni in peronski sistemi železniških postaj</t>
  </si>
  <si>
    <t>- z enostavno tirno shemo</t>
  </si>
  <si>
    <t>– z zahtevno tirno shemo</t>
  </si>
  <si>
    <t>– z zelo zahtevno tirno shemo</t>
  </si>
  <si>
    <t>– enostavne prometne površine pristajališč, letališča za jadralna letala</t>
  </si>
  <si>
    <t>– zahtevne prometne površine pristajališč, enostavne prometne površine letališč</t>
  </si>
  <si>
    <r>
      <t>x</t>
    </r>
    <r>
      <rPr>
        <sz val="7.5"/>
        <color theme="1"/>
        <rFont val="Inter"/>
        <family val="2"/>
      </rPr>
      <t> </t>
    </r>
  </si>
  <si>
    <t>– zahtevne prometne površine letališč</t>
  </si>
  <si>
    <t>bajerji z nasipi višine do 3,0 m nad terenom, brez razbremenilnikov visoke vode in regulacijskih odtočnih objektov</t>
  </si>
  <si>
    <t>bajerji z nasipi višine več kot 3 m nad terenom brez razbremenilnikov visokih vod, ribniki z nasipi višine do 3 m nad terenom z razbremenilnikom visokih vod</t>
  </si>
  <si>
    <t>Nosilne konstrukcije z zelo majhno statično zahtevnostjo, predvsem enostavne statično določene ravninske konstrukcije iz lesa, jekla, kamna ali nearmiranega betona, za mirujoče obtežbe, brez ugotavljanja horizontalne togosti</t>
  </si>
  <si>
    <t>Oporni zidovi</t>
  </si>
  <si>
    <t>Temeljenje</t>
  </si>
  <si>
    <t>enostavno ploskovno temeljenje (temeljne plošče)</t>
  </si>
  <si>
    <t xml:space="preserve">povprečno zahtevno ploskovno temeljenje, povprečno zahtevno ravninsko in prostorsko temeljenje </t>
  </si>
  <si>
    <t>zahtevno ploskovno temeljenje, zahtevno ravninsko in prostorsko temeljenje, pilotna in druga posebna temeljenja</t>
  </si>
  <si>
    <t>zidane gradnje z nosilnimi stenami do temeljev, brez ugotavljanja horizontalne togosti,</t>
  </si>
  <si>
    <t>konstrukcije, pri katerih je treba trdnostne lastnosti zidanih delov določiti s preizkusom (inženirska opečna gradnja)</t>
  </si>
  <si>
    <t>nosilne zidane konstrukcije z upoštevanjem nosilnih oziroma ojačenih sten,</t>
  </si>
  <si>
    <t>Oboki</t>
  </si>
  <si>
    <t>enostavni oboki</t>
  </si>
  <si>
    <t>zahtevni oboki in sistemi obokov</t>
  </si>
  <si>
    <t>Stropne konstrukcije</t>
  </si>
  <si>
    <t>enostavne stropne konstrukcije s pretežno mirujočo površinsko obtežbo</t>
  </si>
  <si>
    <t>povprečno zahtevne stropne konstrukcije</t>
  </si>
  <si>
    <t>enopoljne poševne plošče</t>
  </si>
  <si>
    <t>poševni ali ukrivljeni nosilci</t>
  </si>
  <si>
    <t>poševni ukrivljeni nosilci</t>
  </si>
  <si>
    <t>povprečno zahtevne brane in ortotropne plošče,</t>
  </si>
  <si>
    <t>zahtevne brane in ortotropne plošče,</t>
  </si>
  <si>
    <t>enostavne poliedrične konstrukcije brez prednapetja</t>
  </si>
  <si>
    <t>enostavne sovprežne konstrukcije stavb brez upoštevanja vpliva raztezkov in skrčkov</t>
  </si>
  <si>
    <t>povprečno zahtevne sovprežne konstrukcije</t>
  </si>
  <si>
    <t>prednapete sovprežne konstrukcije</t>
  </si>
  <si>
    <t>Utrejene skeletne konstrukcije</t>
  </si>
  <si>
    <t>zahtevni okvirji, skeleti in stolpi, pri katerih se morata stabilnost in trdnost preverjati po posebnih računskih metodah</t>
  </si>
  <si>
    <t>enostavne okvirne konstrukcije, brez prednapetih konstrukcij in brez preverjanja stabilnosti,</t>
  </si>
  <si>
    <t>povprečno zahtevne okvirne konstrukcije</t>
  </si>
  <si>
    <t>Okvirne in skeletne konstrukcije</t>
  </si>
  <si>
    <t>zahtevne okvirne konstrukcije s prednapetimi konstrukcijskimi elementi in s preverjanjem stabilnosti</t>
  </si>
  <si>
    <t>povprečno zahtevne ploskovne konstrukcije (plošče, stene)</t>
  </si>
  <si>
    <t>zahtevne ploskovne konstrukcije (plošče, stene, poliedrične konstrukcije, lupine)</t>
  </si>
  <si>
    <t>povprečno zahtevne prostorske konstrukcije</t>
  </si>
  <si>
    <t>zahtevne prostorske konstrukcije</t>
  </si>
  <si>
    <t>konstrukcije, prednapete s kabli</t>
  </si>
  <si>
    <t>enostavne konstrukcije, prednapete s kabli</t>
  </si>
  <si>
    <t>Dinamično obremenjene konstrukcije</t>
  </si>
  <si>
    <t>konstrukcije z enostavno dinamično obremenitvijo</t>
  </si>
  <si>
    <t>konstrukcije s povprečno do zelo zahtevno dinamično obremenitvijo</t>
  </si>
  <si>
    <t>povprečno do zelo zahtevne konstrukcije, prednapete s kabli</t>
  </si>
  <si>
    <t>Posebne računske metode</t>
  </si>
  <si>
    <t>zahtevne nosilne konstrukcije, pri katerih se za dimenzioniranje prerezov upošteva teorija II. reda</t>
  </si>
  <si>
    <t>zelo zahtevne nosilne konstrukcije, pri katerih se za dimenzioniranje prerezov upošteva teorija II. reda</t>
  </si>
  <si>
    <t>zahtevne inovativne nosilne konstrukcije</t>
  </si>
  <si>
    <t>nosilne konstrukcije, pri katerih je stabilnost mogoče dokazati le z modelnimi preizkusi ali z računom po metodi končnih elementov</t>
  </si>
  <si>
    <t>nosilne konstrukcije, pri katerih je treba pri dimenzioniranju prerezov upoštevati odpornost veznih elementov</t>
  </si>
  <si>
    <t>Prednapete betonske konstrukcije</t>
  </si>
  <si>
    <t>enostavne statično določene betonske prednapete konstrukcije</t>
  </si>
  <si>
    <t>povprečno zahtevne betonske prednapete konstrukcije</t>
  </si>
  <si>
    <t>zahtevne do zelo zahtevne betonske prednapete konstrukcije</t>
  </si>
  <si>
    <t>enostavni gradbeni odri in drugi enostavni odri za inženirske objekte</t>
  </si>
  <si>
    <t>zahtevni gradbeni odri in drugi zahtevni odri za inženirske objekte</t>
  </si>
  <si>
    <t>zelo zahtevni gradbeni odri in drugi zelo zahtevni odri za inženirske objekte, npr. visoki nosilni odri ali odri z velikim razponom</t>
  </si>
  <si>
    <t>Gradbeni odri</t>
  </si>
  <si>
    <t>Zelo zahtevne nosilne konstrukcije, predvsem statično in konstrukcijsko neobičajno zahtevne nosilne konstrukcije</t>
  </si>
  <si>
    <t>Nosilne konstrukcije z nadpovprečno zahtevnostjo, predvsem statično in konstrukcijsko zahtevne nosilne konstrukcije običajne izvedbe in nosilne konstrukcije, pri katerih je pri preverjanju stabilnosti in trdnosti treba upoštevati težko določljive vplive</t>
  </si>
  <si>
    <t>Nosilne konstrukcije s povprečno zahtevnostjo, predvsem zahtevne, statično določene in nedoločene ravninske konstrukcije običajne izvedbe, brez prednapetih in sovprežnih konstrukcij in brez preverjanja stabilnosti</t>
  </si>
  <si>
    <t>Nosilne konstrukcije z majhno statično zahtevnostjo, predvsem statično določene ravninske konstrukcije običajne izvedbe, brez prednapetih in sovprežnih konstrukcij, za pretežno mirujočo obremenitev</t>
  </si>
  <si>
    <t>SKUPAJ GRADBENI STROŠKI</t>
  </si>
  <si>
    <t>VREDNOST V EUR S PRIBITKI</t>
  </si>
  <si>
    <t>Krajinske ureditve vodotokov, brežin in plazišč</t>
  </si>
  <si>
    <t>Počivališča, parkirišča, avtobusna in železniška postajališča in peroni z opremo, obračališča in druge utrjene površine, gozdne ceste, pešpoti, kolesarske poti in jahalne steze</t>
  </si>
  <si>
    <t>Območja urbanih vrtov (mestni vrtički, skupnostni vrtovi ipd.)</t>
  </si>
  <si>
    <t>Skakalnice</t>
  </si>
  <si>
    <t>Športna igrišča in rekreacijska območja</t>
  </si>
  <si>
    <t>Športni objekti v odprti krajini, poligoni, tekmovalne steze, vzletišča, jahališča, površine za avtomobilske, motoristične, kolesarske in konjske dirke s pomožnimi objekti</t>
  </si>
  <si>
    <t>Razgledne ploščadi in opazovalnice</t>
  </si>
  <si>
    <t>Živalski in botanični vrtovi, arboretumi</t>
  </si>
  <si>
    <t>Objekti za zaščito pred hrupom in vetrom (protihrupne in protivetrne ograje ali drugi objekti)</t>
  </si>
  <si>
    <t>Urbana oprema (grajena igrala, vodometi in vodnjaki), objekti za oglaševanje in informacijski panoji</t>
  </si>
  <si>
    <t>Zunanje vrtne razstave in dvoranske vrtne predstavitve</t>
  </si>
  <si>
    <t>Nepokrita prezentirana arheološka najdišča in ruševine</t>
  </si>
  <si>
    <t>Zunanje ureditve v povezavi z zgodovinskimi stavbami ali drugimi objekti, zgodovinski parki in vrtovi, vrtni spomeniki</t>
  </si>
  <si>
    <t>Zunanje ureditve glede na tipologijo stavbe, s povprečnimi topografskimi pogoji ali povprečno opremo (npr. ob večstanovanjskih ali javnih stavbah)</t>
  </si>
  <si>
    <t>Zunanje ureditve glede na tipologijo stavbe, s težkimi ali posebej težkimi topografskimi razmerami ali visokimi ali zelo visokimi zahtevami glede opreme (npr. soseske, zunanji prostor šol in vrtcev, domov za starejše, zunanji prostor reprezentančnih stavb ipd.)</t>
  </si>
  <si>
    <t>Marine s pripadajočimi pristaniškimi napravami (športna pristanišča in marine, tudi rečna pristanišča, oprema za plaže, pomoli in pontoni)</t>
  </si>
  <si>
    <t>Urejena naravna kopališča, smučišča na vodi, vlečnice za smučanje na vodi, kajakaške proge</t>
  </si>
  <si>
    <t>Vodne in obvodne ureditve s pretežno ekološkimi in krajinskimi elementi, ribniki brez jezov, drenažni jarki in drugi objekti za osuševanje zemljišč,</t>
  </si>
  <si>
    <t>Reliefno preoblikovanje terena  (nasipi, izkopi in odkopi)</t>
  </si>
  <si>
    <t>CENOVNI RAZREDI - STAVBE</t>
  </si>
  <si>
    <t>CENOVNI RAZREDI - NOTRANJA OPREMA</t>
  </si>
  <si>
    <t>CENOVNI RAZREDI - ODPRTI PROSTOR</t>
  </si>
  <si>
    <t>MERILA ZA OCENJEVANJE INŽENIRSKIH OBJEKTOV</t>
  </si>
  <si>
    <t>CENOVNI RAZREDI - INŽENIRSKI OBJEKTI</t>
  </si>
  <si>
    <t>CENOVNI RAZREDI - OBJEKTI PROMETNE INFRASTRUKTURE</t>
  </si>
  <si>
    <t>MERILA ZA OCENJEVANJE OBJEKTI PROMETNE INFRASTRUKTURE</t>
  </si>
  <si>
    <t>MERILA ZA OCENJEVANJE - STAVBE</t>
  </si>
  <si>
    <t>MERILA ZA OCENJEVANJE - NOTRANJA OPREMA</t>
  </si>
  <si>
    <t>MERILA ZA OCENJEVANJE - ODPRTI PROSTOR</t>
  </si>
  <si>
    <t>posamične prezračevalne naprave</t>
  </si>
  <si>
    <t>Strojne inštalacije</t>
  </si>
  <si>
    <t>inštalacije za plin, vodovod in kanalizacijo s kratkim in enostavnim razvodom</t>
  </si>
  <si>
    <t>inštalacije za plin, vodovod in kanalizacijo z obsežnim razvejanim razvodom, sistemom za kroženje sanitarne vode, dvižnimi vodi in napravami za zviševanje tlaka</t>
  </si>
  <si>
    <t>sistemi za čiščenje, razstrupljanje ali nevtralizacijo odpadne vode, sistemi za biološko, kemično ali fizikalno obdelavo vode, sistemi s posebnimi higienskimi zahtevami ali nove tehnologije (npr. za bolnišnice, domove za ostarele in podobnoi)</t>
  </si>
  <si>
    <t>naprave za tlačno regulacijo plina, večstopenjski ločevalniki lahkih tekočin</t>
  </si>
  <si>
    <t>površinsko ogrevanje</t>
  </si>
  <si>
    <t>hišne toplotne postaje</t>
  </si>
  <si>
    <t>razvejana omrežja</t>
  </si>
  <si>
    <t>ogrevalni sistemi v stavbah, eno- ali dvovalentni sistemi (na primer solarni sistemi za ogrevanje sanitarne vode, sistemi s toplotno črpalko)</t>
  </si>
  <si>
    <t>multivalentni sistemi</t>
  </si>
  <si>
    <t>sistemi s sočasno proizvodnjo toplote in električne energije, parno ogrevanje, sistemi s toplo vodo, sevalno stropno ogrevanje (npr. športne ali industrijske hale)</t>
  </si>
  <si>
    <t xml:space="preserve">posamične naprave za ogrevanje, etažno ogrevanje </t>
  </si>
  <si>
    <t>termodinamični prezračevalni sistemi (na primer ogrevanje), nadtlačno prezračevanje</t>
  </si>
  <si>
    <t>prezračevalni sistemi z vsaj dvema termodinamičnima sistemoma (npr. ogrevanje ali hlajenje), delni klimatski sistemi, klimatski sistemi</t>
  </si>
  <si>
    <t>sistemi s posebnimi zahtevami glede kakovosti zraka (npr. operacijske dvorane)</t>
  </si>
  <si>
    <t>hišne postaje za daljinsko hlajenje, centralno hlajenje</t>
  </si>
  <si>
    <t>hladilne naprave, hladilni sistemi brez procesnega hlajenja</t>
  </si>
  <si>
    <t>Električne inštalacije</t>
  </si>
  <si>
    <t>ozemljitev</t>
  </si>
  <si>
    <t>nizkonapetostni sistemi z do dvema merilnima mestoma, vključno z osvetlitvijo ali varnostno razsvetljavo s posameznimi baterijami</t>
  </si>
  <si>
    <t>kompaktne transformatorske postaje, lastni sistemi za proizvodnjo električne energije (npr. centralni akumulatorji ali sistemi za neprekinjeno napajanje, fotovoltaični sistemi)</t>
  </si>
  <si>
    <t>sistemi centralne varnostne razsvetljave</t>
  </si>
  <si>
    <t>Nizkonapetostne napeljave, vključno z vodili</t>
  </si>
  <si>
    <t>sistemi za zaščito pred strelo ali ozemljitev, razen če je navedeno v I ali III razredu</t>
  </si>
  <si>
    <t>zunanja razsvetljava</t>
  </si>
  <si>
    <t>Visokonapetostni ali srednjenapetostni sistemi, transformatorske postaje, notranji napajalni sistemi s posebnimi zahtevami (npr. zasilni generatorji električne energije, kombinirane toplarne in elektrarne, dinamično neprekinjeno napajanje)</t>
  </si>
  <si>
    <t>nizkonapetostni sistemi z do tremi distribucijskimi nivoji (merilnimi mesti), vključno z osvetlitvijo</t>
  </si>
  <si>
    <t>nizkonapetostni sistemi z najmanj štirimi distribucijskimi nivoji (merilnimi mesti) ali več kot 1000 A nazivnega toka</t>
  </si>
  <si>
    <t>sistemi razsvetljave s posebnimi zahtevami načrtovanja (npr. simulacije svetlobe za muzeje ali druge posebne prostore)</t>
  </si>
  <si>
    <t>sistemi za zaščito pred strelo s posebnimi zahtevami (npr. bolnišnice, stolpnice, podatkovni centri)</t>
  </si>
  <si>
    <t>Preproste telekomunikacijske inštalacije s posameznimi terminali</t>
  </si>
  <si>
    <t>Telekomunikacijski ali informacijski sistemi, ki niso navedeni v I. ali III. razredu</t>
  </si>
  <si>
    <t>Telekomunikacijski ali informacijski tehnološki sistemi s posebnimi zahtevami (npr. konferenčni ali tolmaški sistemi, sistemi za obveščanje javnosti za posebne prostore, sistemi za spremljanje nepremičnin, aktivne omrežne komponente, oddaljena prenosna omrežja, sistemi za daljinsko upravljanje, sistemi za vodenje parkiranja)</t>
  </si>
  <si>
    <t>Transportni sistemi</t>
  </si>
  <si>
    <t>Posamezna standardna dvigala, manjša tovorna dvigala, dvižne ploščadi</t>
  </si>
  <si>
    <t>Dvigala ki niso navedena v I. ali III. razredu, tekoče stopnice ali trakovi, žerjavi, nakladalni mostovi, neprekinjeni transportni sistemi</t>
  </si>
  <si>
    <t>Dvigala s posebnimi zahtevami, fasadna dvigala, transportni sistemi z več kot dvema oddajnima ali sprejemnima točkama</t>
  </si>
  <si>
    <t>Posebne naprave in sistemi</t>
  </si>
  <si>
    <t>enostavna kuhinjska oprema, na primer čajne kuhinje</t>
  </si>
  <si>
    <t>kuhinjska oprema, npr. srednje velike kuhinje, pogrevalne kuhinje, naprave za pripravo hrane ali pijače,</t>
  </si>
  <si>
    <t>serviranje ali skladiščenje hrane (brez kuhinje), vključno s pripadajočimi hladilnimi sistemi</t>
  </si>
  <si>
    <t>zahtevna kuhinjska tehnologija, na primer velike kuhinje, oprema za proizvodne kuhinje, vključno s strežbo ali skladiščenjem in pripadajočimi hladilnimi sistemi, komercialno hlajenje za velike kuhinje, velike hladilnice ali hladilne omare</t>
  </si>
  <si>
    <t>naprave za pranje ali čiščenje, na primer za skupne pralnice</t>
  </si>
  <si>
    <t>naprave za pranje ali čiščenje, na primer oprema za javne pralnice</t>
  </si>
  <si>
    <t>pralni ali čistilni sistemi za velika pralna in čistilna podjetja</t>
  </si>
  <si>
    <t>medicinska ali laboratorijska oprema, na primer za posamično splošno medicinsko prakso</t>
  </si>
  <si>
    <t>medicinska ali laboratorijska oprema, na primer za skupinske prakse v splošni medicini ali posamezne prakse v specialistični medicini, sanatoriji, oskrbovalni centri, bolnišnični oddelki, laboratorijski prostori za šole</t>
  </si>
  <si>
    <t>medicinska ali laboratorijska oprema, na primer za klinike, inštitute z učnimi ali raziskovalnimi nalogami, laboratorije, proizvodne obrate</t>
  </si>
  <si>
    <t>posamični gasilni aparati, na primer ročni gasilni aparati</t>
  </si>
  <si>
    <t>ročno upravljani sistemi za gašenje požara</t>
  </si>
  <si>
    <t>avtomatični sistemi za gašenje požara</t>
  </si>
  <si>
    <t>sistemi za odstranjevanje, npr. odpadkov ali perila,</t>
  </si>
  <si>
    <t>sistemi za odstranjevanje, na primer centralni sistemi za odstranjevanje perila ali odpadkov, centralni sistemi za sesanje</t>
  </si>
  <si>
    <t>odrska tehnika za majhne ali srednje velike odre</t>
  </si>
  <si>
    <t>odrska tehnika za velike odre</t>
  </si>
  <si>
    <t>Sistemi za oskrbo s tekočinami in plini, na primer za proizvodnjo, shranjevanje, predelavo ali distribucijo medicinskih ali tehničnih plinov, tekočin ali vakuuma</t>
  </si>
  <si>
    <t>bazenski sistemi na primer sistemi za obdelavo vode, sistemi za ustvarjanje valov, premično dno bazena</t>
  </si>
  <si>
    <t>Sistemi za ogrevanje in hlajenje tehnoloških procesov, sistemi za tehnološki zrak, na primer vakuumski sistemi, testne postaje, vetrovniki, industrijski sesalni sistemi</t>
  </si>
  <si>
    <t>Tehnologija za bencinske črpalke in pralnice vozil</t>
  </si>
  <si>
    <t>skladiščni sistemi, na primer naprave za shranjevanje in dviganje (s pripadajočimi regalnimi sistemi), avtomatski sistemi za prevoz blaga</t>
  </si>
  <si>
    <t>Sistemi za odtaljevanje ali zaščita proti zmrzali</t>
  </si>
  <si>
    <t>Stacionarni sistemi za odtaljevanje za velike sisteme, npr. za letališča</t>
  </si>
  <si>
    <t>Tehnološki sistemi</t>
  </si>
  <si>
    <t>enostavni tehnološki sistemi za obdelavo vode (na primer prezračevanje, odstranjevanje železa, odstranjevanje mangana, kemično razkisanje, fizično razkisanje)</t>
  </si>
  <si>
    <t>tehnološki sistemi za obdelavo vode (na primer membranska filtracija, flokulacijska filtracija, ozoniranje, odstranjevanje arzena, dealuminizacija, denitrifikacija)</t>
  </si>
  <si>
    <t>enostavni tehnološki sistemi za čiščenje odpadne vode (na primer aerobna stabilizacija)</t>
  </si>
  <si>
    <t>tehnološki sistemi za čiščenje odpadne vode (npr. za večstopenjske čistilne naprave)</t>
  </si>
  <si>
    <t>enostavni sistemi za obdelavo blata (npr. sistemi za usedanje blata z mehanskimi napravami)</t>
  </si>
  <si>
    <t>sistemi za večstopenjske ali kombinirane procese obdelave blata</t>
  </si>
  <si>
    <t>enostavni tehnični sistemi za odvajanje odplak</t>
  </si>
  <si>
    <t>tehnični sistemi za odvajanje odplak</t>
  </si>
  <si>
    <t>enostavni tehnični sistemi za črpanje, dovajanje in skladiščenje vode</t>
  </si>
  <si>
    <t>tehnični sistemi za črpanje, dovajanje in skladiščenje vode</t>
  </si>
  <si>
    <t>enostavni sistemi za čiščenje deževnice</t>
  </si>
  <si>
    <t>enostavni sistemi za sisteme za dekontaminacijo podtalnice</t>
  </si>
  <si>
    <t>kompleksni tehnični sistemi za sisteme za dekontaminacijo podtalnice</t>
  </si>
  <si>
    <t>enostavni tehnični sistemi za dovajanje in odstranjevanje plinov
(npr. sistem odorizacije)</t>
  </si>
  <si>
    <t>enostavni tehnični sistemi za oskrbo in odstranjevanje trdnih snovi</t>
  </si>
  <si>
    <t>tehnični sistemi za oskrbo in odstranjevanje trdnih snovi</t>
  </si>
  <si>
    <t>enostavni tehnični sistemi za odstranjevanje odpadkov (npr. za kompostarne, sistemi za kondicioniranje nevarnih odpadkov, odlagališča gospodinjskih odpadkov ali mono odlagališča nevarnih odpadkov, sistemi za podzemna odlagališča, sistemi za obdelavo onesnaženih tal)</t>
  </si>
  <si>
    <t>tehnološki sistemi za odstranjevanje odpadkov (npr. za sežigalnice, pirolizne sisteme, večnamenske sisteme za obdelavo materialov, ki jih je mogoče reciklirati)</t>
  </si>
  <si>
    <t>Avtomatizacija stavb</t>
  </si>
  <si>
    <t>sistemi avtomatizacije stavb, nevtralni do proizvajalca, ali sistemi za avtomatizacijo s sistemsko integracijo med sistemskimi skupinami</t>
  </si>
  <si>
    <t>TIPOLOGIJA</t>
  </si>
  <si>
    <t>MINIMALNO ŠTEVILO NU</t>
  </si>
  <si>
    <t>MAKSIMALNO ŠTEVILO NU</t>
  </si>
  <si>
    <t xml:space="preserve">Vrednosti v ležeči pisavi so informativne narave. </t>
  </si>
  <si>
    <t>DELEŽ UREDITVE ODPRTEGA PROSTORA, KI BO ZAJET V NAČRT ARHITEKTURE</t>
  </si>
  <si>
    <t>0 do 100 %</t>
  </si>
  <si>
    <t>OPOMBE</t>
  </si>
  <si>
    <t>IDEJNO PROJEKTIRANJE</t>
  </si>
  <si>
    <t>PROJEKTIRANJE ZA IZVEDBO</t>
  </si>
  <si>
    <t>% stroškov gradnje</t>
  </si>
  <si>
    <t>OSNOVNE STORITVE</t>
  </si>
  <si>
    <t>PROJEKTANT</t>
  </si>
  <si>
    <t>UPORABI SREDNJO VREDNOST ŠTEVILA NU</t>
  </si>
  <si>
    <t xml:space="preserve">Ureditve ob avtocestah in cestah, zasaditve protivetrnih pasov, zelene ločevalne poteze </t>
  </si>
  <si>
    <t>Zasaditve na prostem z zahtevami glede ohranjanja  narave (izravnalni ukrepi, nadomestni habitati)</t>
  </si>
  <si>
    <t xml:space="preserve">Zunanja ureditev in zasaditev odlagališč odpadkov, zbirnih centrov in smetišč </t>
  </si>
  <si>
    <t xml:space="preserve">Odprti prostori na območjih enostavne pozidave v manjših podeželskih  naseljih in ob posameznih objektih </t>
  </si>
  <si>
    <t>Parki, javni vrtovi in druge urejene zelene površine</t>
  </si>
  <si>
    <t>Trgi (ki so ali niso sestavni deli javne ceste) in območja za pešce</t>
  </si>
  <si>
    <t>Ozelenjena parkirišča in poti brez posebne opreme, zelenice</t>
  </si>
  <si>
    <t>Mestne ulice, avenije in drevoredi v varovalnem pasu cest ter drugi drevoredi, ozelenjene poti in druge povezave z urbano opremo</t>
  </si>
  <si>
    <t>Zabaviščni in tematski parki (npr. vodni, adrenalinski, plezalni parki in podobni objekti na prostem)</t>
  </si>
  <si>
    <t>Ureditve vodotokov in nabrežij vodnih teles v naseljih</t>
  </si>
  <si>
    <t xml:space="preserve">Izobraževalna območja, naravoslovne in druge učne poti </t>
  </si>
  <si>
    <t>Vrtovi in vrtna dvorišča z reprezentativno funkcijo ali visokimi zahtevami</t>
  </si>
  <si>
    <t xml:space="preserve">Smučišča in sankališča s tehnično opremo ali brez </t>
  </si>
  <si>
    <t>Kombinirana igrišča (z raznovrstnim programom), športna igrišča, teniška igrišča in igrišča z umetno podlago</t>
  </si>
  <si>
    <t>Ureditve zahtevnega terena z opornimi zidovi ali drugimi oporami v naseljih</t>
  </si>
  <si>
    <t>Mestni trgi in območja za pešce z visokimi ali zelo visokimi zahtevami glede opreme (mestna jedra, tržnice ipd.)</t>
  </si>
  <si>
    <t>Utrjene brežine (armirane brežine, podporni zidovi, suhozidi, gabioni, skalne ali kamnite zložbe ipd.)</t>
  </si>
  <si>
    <t>8. Infrastruktura</t>
  </si>
  <si>
    <t>1. Stanovanjske stavbe</t>
  </si>
  <si>
    <t>2. Izobraževanje, znanstvena in raziskovalna dejavnost</t>
  </si>
  <si>
    <t>3. Pisarniški in upravni prostori</t>
  </si>
  <si>
    <t>4. Zdravstveni prostori in prostori za oskrbo</t>
  </si>
  <si>
    <t>5. Trgovina in gostinstvo</t>
  </si>
  <si>
    <t>6. Šport in prosti čas</t>
  </si>
  <si>
    <t>2. Izobraževalne, znanstvene in raziskovalne stavbe</t>
  </si>
  <si>
    <t>5. Trgovske in gostinske stavbe</t>
  </si>
  <si>
    <t>3. Poslovne in upravne stavbe</t>
  </si>
  <si>
    <t>8. Stavbe za infrastrukturo</t>
  </si>
  <si>
    <t>7. Gospodarske, industrijske in kmetijske stavbe</t>
  </si>
  <si>
    <t>6. Stavbe za šport in rekreacijo</t>
  </si>
  <si>
    <t>9. Stavbe za kulturo in obredne stavbe</t>
  </si>
  <si>
    <t>1. Stanovanjski prostori</t>
  </si>
  <si>
    <t>9. Kultura, prostori za obrede</t>
  </si>
  <si>
    <t>1. V odprti krajini</t>
  </si>
  <si>
    <t>2. V mestih in naseljih</t>
  </si>
  <si>
    <t>3. Ozelenitev stavb</t>
  </si>
  <si>
    <t>4. Igrišča in športni objekti</t>
  </si>
  <si>
    <t>5. Posebni objekti</t>
  </si>
  <si>
    <t>6. Drugi objekti na prostem</t>
  </si>
  <si>
    <t>1. Objekti in naprave za oskrbo z vodo</t>
  </si>
  <si>
    <t>2. Objekti in naprave za odstranjevanje in čiščenje odpadnih vod z izjemo drenažnih sistemov, ki so namenjeni prometnim površinam in odvodnjavanju (odprti prostor)</t>
  </si>
  <si>
    <t>3. Objekti in naprave za hidrotehniko razen ureditev vodotokov in nabrežij ter vodnih in obvodnih ureditev (odprti prostor)</t>
  </si>
  <si>
    <t>4. Objekti in naprave za oskrbo in odstranjevanje</t>
  </si>
  <si>
    <t>5. Objekti in naprave za odstranjevanje odpadkov</t>
  </si>
  <si>
    <t>6. Inženirski objekti za promet</t>
  </si>
  <si>
    <t>7. Drugi inženirski objekti</t>
  </si>
  <si>
    <t>cisterne</t>
  </si>
  <si>
    <t>1. Ceste</t>
  </si>
  <si>
    <t>2. Železnice</t>
  </si>
  <si>
    <t>3. Letališča</t>
  </si>
  <si>
    <t>Zasaditve v odprti krajini, drevoredi, nasadi</t>
  </si>
  <si>
    <t>Območja varstva narave  z različnimi zahtevami glede zagotavljanja ekoloških funkcij (npr. mreženja biotopov)</t>
  </si>
  <si>
    <t>Pripadajoče površine ob stavbah ter drugih objektih in napravah, vrtovi in ureditve z nizkimi ali povprečnimi zahtevami</t>
  </si>
  <si>
    <t>Vertikalna in horizontalna ozelenitev ovoja stavb z visokimi ali zelo visokimi zahtevami (zelene strehe in zelene stene)</t>
  </si>
  <si>
    <t>Ozelenitev v notranjih prostorih z visokimi ali zelo visokimi zahtevami</t>
  </si>
  <si>
    <t>Notranja dvorišča, atriji z visokimi ali zelo visokimi zahtevami</t>
  </si>
  <si>
    <t>Igrišča za igre z žogo, nogometna igrišča in podobno, z nizkimi ali povprečnimi zahtevami</t>
  </si>
  <si>
    <t>Športni objekti za atletiko, atletske steze s pripadajočimi ureditvami in športni stadioni</t>
  </si>
  <si>
    <t>Igrišča za golf, konjeniški centri</t>
  </si>
  <si>
    <t>Šolska dvorišča in igrišča z igrali in vadbenimi napravami</t>
  </si>
  <si>
    <t xml:space="preserve">Šotorišča, kamp oziroma območja za kampiranje ali za avtodome s povprečnimi ali visokimi zahtevami </t>
  </si>
  <si>
    <t>Zunanji bazeni z visokimi zahtevami; bazenska kopališča</t>
  </si>
  <si>
    <t>7. Gospodarstvo, industrija, kmetijstvo, promet</t>
  </si>
  <si>
    <t>4. Zdravstvo in varstvo</t>
  </si>
  <si>
    <t>Vrednotenje storitev na področju arhitekturnega 
in krajinskoarhitekturnega projektiranja</t>
  </si>
  <si>
    <t>OPREDELITEV</t>
  </si>
  <si>
    <t>PRIPRAVA GRADIV ZA NAROČILO GRADNJE</t>
  </si>
  <si>
    <t>NAROČILO TEHNOLOŠKE OPREME</t>
  </si>
  <si>
    <t>DOVOLJENJE ZA UPORABO</t>
  </si>
  <si>
    <t>IZDELAVA DOKUMENTACIJE ZA DOVOLJEVANJE</t>
  </si>
  <si>
    <t>VKLJUČI V IZRAČUN</t>
  </si>
  <si>
    <t>BTO VREDNOST NU V EUR</t>
  </si>
  <si>
    <t>PROJEKTNA DOKUMENTACIJA ZA PROJEKTNE POGOJE</t>
  </si>
  <si>
    <t>PROJEKTNA DOKUMENTACIJA ZA PRIDOBIVANJE GRADBENEGA DOVOLJENJA</t>
  </si>
  <si>
    <t>INFORMATIVNA MINIMALNA VREDNOST</t>
  </si>
  <si>
    <t>INFORMATIVNA MAKSIMALNA VREDNOST</t>
  </si>
  <si>
    <t>INFORMATIVNA MINIMALNA VREDNOST EUR/m2 BTP</t>
  </si>
  <si>
    <t>INFORMATIVNA MASKIMALNA VREDNOST EUR/m2 BTP</t>
  </si>
  <si>
    <t>INFORMATIVNA MINIMALNA VREDNOST EUR/m2 NTP</t>
  </si>
  <si>
    <t>INFORMATIVNA MAKSIMALNAVREDNOST EUR/m2 NTP</t>
  </si>
  <si>
    <t>INFORMATIVNA MINIMALNA VREDNOST EUR/m2</t>
  </si>
  <si>
    <t>INFORMATIVNA MAKSIMALNA VREDNOST EUR/m2</t>
  </si>
  <si>
    <t>IZVAJANJE GRADNJE</t>
  </si>
  <si>
    <t>PREDAJA OBJEKTA</t>
  </si>
  <si>
    <t>SI 
(D.100-D.300)</t>
  </si>
  <si>
    <t>EI 
(D.400-D.500)</t>
  </si>
  <si>
    <t>TH (D.600-D.900)</t>
  </si>
  <si>
    <t>GO 
(C.100 - C.900)</t>
  </si>
  <si>
    <t>INDEKS</t>
  </si>
  <si>
    <t>IZHODIŠČNO ŠTEVILO NU</t>
  </si>
  <si>
    <t>VREDNOST NU</t>
  </si>
  <si>
    <r>
      <t>NU/m</t>
    </r>
    <r>
      <rPr>
        <vertAlign val="superscript"/>
        <sz val="10"/>
        <rFont val="Inter"/>
        <family val="2"/>
      </rPr>
      <t>2</t>
    </r>
  </si>
  <si>
    <r>
      <t>NU/m</t>
    </r>
    <r>
      <rPr>
        <vertAlign val="superscript"/>
        <sz val="8"/>
        <rFont val="Inter Light"/>
        <family val="2"/>
        <charset val="238"/>
      </rPr>
      <t>2</t>
    </r>
  </si>
  <si>
    <t>NU</t>
  </si>
  <si>
    <t>ALI VPIŠI ŠTEVILO NU</t>
  </si>
  <si>
    <t>IDEJNA ZASNOVA (IDZ)</t>
  </si>
  <si>
    <t>IDEJNI PROJEKT (IDP)</t>
  </si>
  <si>
    <t>PROJEKT IZVEDENIH DEL (PID)</t>
  </si>
  <si>
    <t>Cenovni razred V+</t>
  </si>
  <si>
    <t>INDEKS TIPOLOGIJE</t>
  </si>
  <si>
    <t>MINIMALNO ŠTEVILO NU/m2</t>
  </si>
  <si>
    <t>MAKSIMALNO ŠTEVILO NU/m2</t>
  </si>
  <si>
    <t>STAVBA 1 / DEL 1</t>
  </si>
  <si>
    <t>STAVBA 2 / DEL 2</t>
  </si>
  <si>
    <t>STAVBA 3 / DEL 3</t>
  </si>
  <si>
    <t>STAVBA 4 / DEL 4</t>
  </si>
  <si>
    <t>STAVBA 5 / DEL 5</t>
  </si>
  <si>
    <t>INFORMATIVNA VREDNOST STROŠKOV GRADNJE EUR/m2 BTP</t>
  </si>
  <si>
    <t>OCENA STROŠKOV GRADNJE</t>
  </si>
  <si>
    <t>INFORMATIVNA OCENA STROŠKOV GRADNJE</t>
  </si>
  <si>
    <r>
      <t>EUR/m</t>
    </r>
    <r>
      <rPr>
        <i/>
        <vertAlign val="superscript"/>
        <sz val="8"/>
        <rFont val="Inter Light"/>
        <family val="2"/>
        <charset val="238"/>
      </rPr>
      <t>2</t>
    </r>
  </si>
  <si>
    <t>SKUPNO MINIMALNO ŠTEVILO NU</t>
  </si>
  <si>
    <t>SKUPNO MAKSIMALNO ŠTEVILO NU</t>
  </si>
  <si>
    <r>
      <t>m</t>
    </r>
    <r>
      <rPr>
        <vertAlign val="superscript"/>
        <sz val="10"/>
        <rFont val="Inter Light"/>
        <family val="2"/>
      </rPr>
      <t>2</t>
    </r>
  </si>
  <si>
    <t>SKUPNA OCENA STROŠKOV GRADNJE</t>
  </si>
  <si>
    <r>
      <t>EUR/m</t>
    </r>
    <r>
      <rPr>
        <i/>
        <vertAlign val="superscript"/>
        <sz val="8"/>
        <rFont val="Inter Light"/>
        <family val="2"/>
      </rPr>
      <t>2</t>
    </r>
  </si>
  <si>
    <t>IZHODIŠČNA VREDNOST V EUR</t>
  </si>
  <si>
    <t>CENOVNI RAZRED - ARHITEKTURA</t>
  </si>
  <si>
    <t>CENOVNI RAZRED - GRADBENE KONSTRUKCIJE</t>
  </si>
  <si>
    <t>CENOVNI RAZRED - ELEKTRIČNE INSTALACIJE</t>
  </si>
  <si>
    <t>CENOVNI RAZRED - STROJNE INSTALACIJE</t>
  </si>
  <si>
    <t>CENOVNI RAZRED - TEHNOLOGIJA</t>
  </si>
  <si>
    <t>CENOVNI RAZRED - POŽARNA VARNOST</t>
  </si>
  <si>
    <t>CENOVNI RAZRED - UČINKOVITA RABA ENERGIJE</t>
  </si>
  <si>
    <t>CENOVNI RAZRED - ZAŠČITA PRED HRUPOM</t>
  </si>
  <si>
    <t>CENOVNI RAZRED - PROSTORSKA AKUSTIKA</t>
  </si>
  <si>
    <t>IZHODIŠČNO ŠTEVILO NU ZA VSE FAZE</t>
  </si>
  <si>
    <t>% stroškov gradnje stavbe</t>
  </si>
  <si>
    <t>% s pribitki</t>
  </si>
  <si>
    <t>% stroškov električnih inštalacij</t>
  </si>
  <si>
    <t>Cenovni razred VI</t>
  </si>
  <si>
    <t>IZRAČUN ŠTEVILA NU ZA POŽARNO VARNOST</t>
  </si>
  <si>
    <t>INDEKS TIPOLOGIJA</t>
  </si>
  <si>
    <t>PROJEKTIRANJE OBJEKTOV</t>
  </si>
  <si>
    <t>PODPORNO / TEHNIČNO PROJEKTIRANJE</t>
  </si>
  <si>
    <t>PRIBITKI IN ODBITKI</t>
  </si>
  <si>
    <t>OBJEKT 1 / DEL 1</t>
  </si>
  <si>
    <t>OBJEKT 2 / DEL 2</t>
  </si>
  <si>
    <t>OBJEKT 3 / DEL 3</t>
  </si>
  <si>
    <t>OBJEKT 4 / DEL 4</t>
  </si>
  <si>
    <t>OBJEKT 5 / DEL 5</t>
  </si>
  <si>
    <t>CENOVNI RAZRED</t>
  </si>
  <si>
    <t>INFORMATIVNA VREDNOST STROŠKOV GRADNJE EUR/m2</t>
  </si>
  <si>
    <t>IZBRANA VREDNOST STROKOV GRADNJE EUR/m2</t>
  </si>
  <si>
    <t>IZRAČUN ŠTEVILA NU ZA NAČRTOVANJE ODPRTEGA PROSTORA</t>
  </si>
  <si>
    <t>STAVBA</t>
  </si>
  <si>
    <t>PORAZDELITEV NU ZA NAČRTOVANJE ODPRTEGA PROSTORA</t>
  </si>
  <si>
    <t>% stroškov gradnje odprtega prostora</t>
  </si>
  <si>
    <t>Poraba časa - stavbe</t>
  </si>
  <si>
    <t>IZRAČUN ŠTEVILA NU ZA NAČRTOVANJE GRADBENIH KONSTRUKCIJ</t>
  </si>
  <si>
    <t>% stroškov tehnologije</t>
  </si>
  <si>
    <t>IZRAČUN ŠTEVILA NU ZA ELEKTRIČNE INŠTALACIJE</t>
  </si>
  <si>
    <t>IZRAČUN ŠTEVILA NU ZA STROJNE INŠTALACIJE</t>
  </si>
  <si>
    <t>IZRAČUN ŠTEVILA NU ZA TEHNOLOGIJO</t>
  </si>
  <si>
    <t>PORAZDELITEV NU ZA STORITVE NA PODROČJU POŽARNE VARNOSTI</t>
  </si>
  <si>
    <t>IZRAČUN ŠTEVILA NU</t>
  </si>
  <si>
    <t>VRSTA IZRAČUNA</t>
  </si>
  <si>
    <t>CELOTNA BTP</t>
  </si>
  <si>
    <t>BRUTO POVRŠINA DELA</t>
  </si>
  <si>
    <t>BRUTO POVRŠINA ZA IZRAČUN</t>
  </si>
  <si>
    <r>
      <t>NU/m</t>
    </r>
    <r>
      <rPr>
        <vertAlign val="superscript"/>
        <sz val="8"/>
        <rFont val="Inter"/>
        <family val="2"/>
      </rPr>
      <t>2</t>
    </r>
  </si>
  <si>
    <t>MED SEBOJ POVEZANE UREDITVE (PRI IZRAČUNU POTREBNIH NU SE UPOŠTEVA SEŠTEVEK POVRŠIN)</t>
  </si>
  <si>
    <t>POSAMEZNE UREDITVE (PRI IZRAČUNU POTREBNIH NU SE VSAK DEL IZRAČUNAVA POPOLNOMA LOČENO)</t>
  </si>
  <si>
    <t>ENA STAVBA Z RAZLIČNIMI DELI (PRI IZRAČUNU POTREBNIH NU SE UPOŠTEVA SEŠTEVEK POVRŠIN VSEH DELOV)</t>
  </si>
  <si>
    <t>pri URE enačba odstopa od HOAI ker s polinomsko enačbo ne gre</t>
  </si>
  <si>
    <t>VODENJE PROJEKTIRANJA</t>
  </si>
  <si>
    <t>POSKUSNO OBRATOVANJE</t>
  </si>
  <si>
    <t>PROJEKTANTSKI PREDRAČUN</t>
  </si>
  <si>
    <t>% projekta VP + ARH</t>
  </si>
  <si>
    <t>% s pribitki 
VP + ARH</t>
  </si>
  <si>
    <t>PROJEKT ZA IZVEDBO (PZI)</t>
  </si>
  <si>
    <t>VODENJE IN KOORDINACIJA</t>
  </si>
  <si>
    <t>ARHITEKTURA</t>
  </si>
  <si>
    <t>ARHITEKTURA - ODPRTI PROSTOR</t>
  </si>
  <si>
    <t>KRAJINSKA ARHITEKTURA</t>
  </si>
  <si>
    <t>ELEKTRIČNE INŠTALACIJE</t>
  </si>
  <si>
    <t>STROJNE INŠTALACIJE</t>
  </si>
  <si>
    <t>ŠTEVILO NU JE ZAJETO V ŠTEVILU NU ZA PROJEKTIRANJE OBJEKTOV IN SE POSEBEJ PRIKAZUJE V ZAVIHKU ARHIGRAM 6</t>
  </si>
  <si>
    <t>IZVLEČEK NU PO POSAMEZNIH PODROČJIH</t>
  </si>
  <si>
    <t>IZVLEČEK VREDNOSTI PO POSAMEZNIH PODROČJIH</t>
  </si>
  <si>
    <t>SKUPAJ EUR ZA PODROČJE</t>
  </si>
  <si>
    <t>% vrednosti vseh storitev</t>
  </si>
  <si>
    <t>100 % pomeni, da bo projektiranje odprtega prostora opravil arhitekt v sklopu načrta zunanje ureditve, 0 % pa da bo storitev opravil krajinski arhitekt v sklopu načrta krajinske arhitekture</t>
  </si>
  <si>
    <t xml:space="preserve">Cenovni razdredi za posamezna področja za vsak posamezen objekt ali del objekta se razberejo iz ustreznih tabel. Če določanje po seznamu ni mogoče oziroma kadar gre za posebne primere, se razred določi s točkovanjem glede na posamezna merila za ocenjevanje, ki kot rezultat določijo cenovni razred. </t>
  </si>
  <si>
    <t>ROKI IN POGOJI ZA IZVEDBO DEL</t>
  </si>
  <si>
    <t>STRUKTURA CENE</t>
  </si>
  <si>
    <t>CENA 
BREZ DDV</t>
  </si>
  <si>
    <t>POGOJ ZA PLAČILO</t>
  </si>
  <si>
    <t>CENA Z DDV</t>
  </si>
  <si>
    <t>xx</t>
  </si>
  <si>
    <t>delovnih dni</t>
  </si>
  <si>
    <t>PROJEKTNA DOKUMENTACIJA IDZ</t>
  </si>
  <si>
    <t>PROJEKTNA DOKUMENTACIJA IDP</t>
  </si>
  <si>
    <t>delovnih dni po prejemu vseh projektnih in drugih pogojev</t>
  </si>
  <si>
    <t>PRIPRAVA DOKUMENTACIJE ZA PRIDOBIVANJE DOVOLJENJ</t>
  </si>
  <si>
    <t xml:space="preserve">delovnih dni po pisni potrditvi predane IDZ s strani naročnika </t>
  </si>
  <si>
    <t>PROJEKTNA DOKUMENTACIJA ZA PRIDOBIVANJE MNENJ IN GRADBENEGA DOVOLJENJA (DGD)</t>
  </si>
  <si>
    <t>delovnih dni po pridobitvi vseh mnenj in soglasij</t>
  </si>
  <si>
    <t>- ločena PZI projektna dokumentacija za odstranitev objekta</t>
  </si>
  <si>
    <t>delovnih dni …</t>
  </si>
  <si>
    <t>- ločena PZI dokumentacija za pripravljalna dela</t>
  </si>
  <si>
    <t>- ločena PZI dokumentacija za načrt notranje opreme</t>
  </si>
  <si>
    <t>delovnih dni po pisni potrditvi projekta PZI s strani naročnika</t>
  </si>
  <si>
    <t>- ločen popis GO del za odstranitev objekta</t>
  </si>
  <si>
    <t>- ločen popis GO del za pripravljalna dela</t>
  </si>
  <si>
    <t>- ločen popis del za načrt notranje opreme</t>
  </si>
  <si>
    <t>NAROČANJE GRADNJE</t>
  </si>
  <si>
    <t>delovnih dni po prejemu vprašanj</t>
  </si>
  <si>
    <t>delovnih dni po sklenitvi gradbene pogodbe, prejemu zakoličbenega zapisnika in pridobitvi vseh potrebnih dokumentov in podatkov s strani naročnika (potrdilo o plačanem komunalnem prispevku, soglasja za priključitev, načrt organizacije gradbišča, …)</t>
  </si>
  <si>
    <t>PRIKAZ IZVEDENIH DEL (PID)</t>
  </si>
  <si>
    <t>delovnih dni od podpisa pogodbe</t>
  </si>
  <si>
    <t>delovnih dni od podpisa pogodbe / od plačila / zaključka predhodne faze</t>
  </si>
  <si>
    <t>delovnih dni od podpisa pogodbe / od plačila / zaključka predhodne faze / od prejema potrjene projektne naloge</t>
  </si>
  <si>
    <t>PROJEKTNA DOKUMENTACIJA ZA IZVEDBO (PZI)</t>
  </si>
  <si>
    <t>delovnih dni po pridobitvi (pravnomočnega) gradbenega dovoljenja</t>
  </si>
  <si>
    <t>PROJEKTNA DOKUMENTACIJA ZA RAZPIS (PZR)</t>
  </si>
  <si>
    <t>Sodelovanje pri uvedbi v delo in zakoličenju se izvaja skladno s terminskim načrtom graditve.</t>
  </si>
  <si>
    <t>delovnih dni po prejemu vseh potrjenih dopolnitev in sprememb iz gradbenega dnevnika v DWG formatu.</t>
  </si>
  <si>
    <t>Se izvaja v časovni odvisnosti od dejanj pristojnih organov.</t>
  </si>
  <si>
    <t>delovnih dni po izdanem pisnem naročilu za posamezno storitev s strani naročnika.</t>
  </si>
  <si>
    <t>Pisno / ustno poročilo naročniku o storitvah te podfaze po ST ZAPS 01 / Plačilo za to fazo se opravi po zaključku faze 0.2.</t>
  </si>
  <si>
    <t>Pisno / ustno poročilo naročniku o storitvah te podfaze po ST ZAPS 01</t>
  </si>
  <si>
    <t>Pisno / ustno poročilo naročniku o storitvah te podfaze po ST ZAPS 01 / Plačilo za to fazo se opravi po zaključku faze 1.3.</t>
  </si>
  <si>
    <t>Pisno / ustno poročilo naročniku – zazidalna /prostorska preveritev / in potrditev gradiv s strani naročnika / Plačilo za to fazo se opravi po zaključku faze 1.3.</t>
  </si>
  <si>
    <t>S strani naročnika potrjena projektna naloga.</t>
  </si>
  <si>
    <t>PROJEKTNA DOKUMENTACIJA ZA PROJEKTNE POGOJE (DPP)</t>
  </si>
  <si>
    <t>Predaja IDZ in potrditev s strani naročnika.</t>
  </si>
  <si>
    <t>Predaja IDP in potrditev s strani naročnika.</t>
  </si>
  <si>
    <t>Predaja DPP in potrditev s strani naročnika.</t>
  </si>
  <si>
    <t>Predaja DGD in potrditev s strani naročnika.</t>
  </si>
  <si>
    <t>Predaja PZI in potrditev s strani naročnika.</t>
  </si>
  <si>
    <t>Predaja gradiv in potrditev s strani naročnika.</t>
  </si>
  <si>
    <t>Predaja PZR in potrditev s strani naročnika.</t>
  </si>
  <si>
    <t>Poročilo o opravljenih aktivnostih.</t>
  </si>
  <si>
    <t>Mesečno, skupaj s poročilom o opravljenih aktivnostih.</t>
  </si>
  <si>
    <t>Predaja PID in potrditev s strani naročnika.</t>
  </si>
  <si>
    <t>Predaja gradiv in potrditev s strani naročnika. / Poročilo o opravljenih aktivnostih.</t>
  </si>
  <si>
    <t>Predaja DPP in potrditev s strani naročnika. / Potrdilo o pošiljanju DPP relevantnim mnenjedajalcem.</t>
  </si>
  <si>
    <t>RAZPISNA DOKUMENTACIJA</t>
  </si>
  <si>
    <t>IZVEDBA RAZPISA</t>
  </si>
  <si>
    <t>Potrdilo o oddani vlogi.</t>
  </si>
  <si>
    <t>ZASTOPANJE INVESTITORJA V UPRAVNIH POSTOPKIH: POPOLNA VLOGA ZA PRIJAVO GRADNJE</t>
  </si>
  <si>
    <t>ZASTOPANJE INVESTITORJA V UPRAVNIH POSTOPKIH: POPOLNA ZAHTEVA ZA PRIDOBITEV UPORABNEGA DOVOLJENJA</t>
  </si>
  <si>
    <t>Pravnomočno uporabno dovoljenje.</t>
  </si>
  <si>
    <t xml:space="preserve">Projektantski nadzor v času poskusnega obratovanja se v dogovorjenem obsegu izvaja ves čas poskusnega obratovanja. </t>
  </si>
  <si>
    <t xml:space="preserve">Projektantski nadzor v času predaje objekta se v dogovorjenem obsegu izvaja ves čas predaje objekta, do pridobitve uporabnega dovoljenja oz. primopredaje naročniku. </t>
  </si>
  <si>
    <t>delovnih dni od podpisa pogodbe. (Opomba: podfaza izvaja skupaj s podfazo 1.1. Zagon projekta.)</t>
  </si>
  <si>
    <t>delovnih dni od podpisa pogodbe. (Opomba: podfaza se izvaja skupaj s podfazo 1.2. Študija izvedljivosti.)</t>
  </si>
  <si>
    <t>Predaja gradiv in potrditev s strani naročnika. / Kot za osnovne storitve v tej podfazi. / Mesečno na podlagi poročila o opravljenih aktivnostih / izstavljenega računa (na primer za skupni podatkovni strežnik).</t>
  </si>
  <si>
    <t>ZASTOPANJE INVESTITORJA V UPRAVNIH POSTOPKIH</t>
  </si>
  <si>
    <t>OBRAČUNSKI STROŠKI</t>
  </si>
  <si>
    <t>IZBRANA VREDNOST EUR/m2 NTP</t>
  </si>
  <si>
    <t>NETO TLORISNA POVRŠINA (NTP)</t>
  </si>
  <si>
    <t>NETO POVRŠINA DELA</t>
  </si>
  <si>
    <t>CENOVNI RAZRED - NOTRANJA OPREMA</t>
  </si>
  <si>
    <t>SKUPNA NETO POVRŠINA</t>
  </si>
  <si>
    <r>
      <t>EUR/m</t>
    </r>
    <r>
      <rPr>
        <vertAlign val="superscript"/>
        <sz val="8"/>
        <rFont val="Inter Light"/>
        <family val="2"/>
      </rPr>
      <t>2</t>
    </r>
  </si>
  <si>
    <t>ARHITEKTURA - NOTRANJA OPREMA</t>
  </si>
  <si>
    <t>ARHITEKTURA - STAVBE</t>
  </si>
  <si>
    <t>ŠTEVILO NU VP + ARH</t>
  </si>
  <si>
    <t>VREDNOST V EUR VP + ARH</t>
  </si>
  <si>
    <t>% stroškov gradnje notranja oprema</t>
  </si>
  <si>
    <r>
      <t>m</t>
    </r>
    <r>
      <rPr>
        <vertAlign val="superscript"/>
        <sz val="10"/>
        <rFont val="Inter SemiBold"/>
        <family val="2"/>
      </rPr>
      <t>2</t>
    </r>
  </si>
  <si>
    <r>
      <t>EUR/m</t>
    </r>
    <r>
      <rPr>
        <vertAlign val="superscript"/>
        <sz val="10"/>
        <rFont val="Inter SemiBold"/>
        <family val="2"/>
      </rPr>
      <t>2</t>
    </r>
  </si>
  <si>
    <t>NOTRANJA OPREMA / DEL 1</t>
  </si>
  <si>
    <t>NOTRANJA OPREMA / DEL 2</t>
  </si>
  <si>
    <t>NOTRANJA OPREMA / DEL 3</t>
  </si>
  <si>
    <t>NOTRANJA OPREMA / DEL 4</t>
  </si>
  <si>
    <t>NOTRANJA OPREMA / DEL 5</t>
  </si>
  <si>
    <t>Pribitki povečujejo ali zmanjšujejo vrednosti, navedene v opombah.</t>
  </si>
  <si>
    <t>CENOVNI RAZREDI</t>
  </si>
  <si>
    <t>STANDARD ZAPS</t>
  </si>
  <si>
    <t>PRIPOMOČEK ZA PRIPRAVO PONUDBE</t>
  </si>
  <si>
    <t>Število obračunskih ur / delovni dan</t>
  </si>
  <si>
    <t>Tedenski fond obračunskih ur</t>
  </si>
  <si>
    <t>Število delovnih ur / delovni dan</t>
  </si>
  <si>
    <t>obračunske ure proizvodnih delavcev</t>
  </si>
  <si>
    <t>Skupaj efektivnih delovnih dni</t>
  </si>
  <si>
    <t>Mesečni fond efektivnih delovnih dni (povprečni)</t>
  </si>
  <si>
    <t>Število efektivnih ur (billable hours)</t>
  </si>
  <si>
    <t>vse ure vseh delavcev</t>
  </si>
  <si>
    <t>Vrednosti so informativne in se razlikujejo glede na organizacijo posameznega biroja.</t>
  </si>
  <si>
    <r>
      <t xml:space="preserve">delovnih dni po pisni potrditvi predane IDZ </t>
    </r>
    <r>
      <rPr>
        <sz val="8"/>
        <color rgb="FF00B0F0"/>
        <rFont val="Inter"/>
        <family val="2"/>
      </rPr>
      <t>(opcija: IDP)</t>
    </r>
    <r>
      <rPr>
        <sz val="8"/>
        <rFont val="Inter"/>
        <family val="2"/>
      </rPr>
      <t xml:space="preserve"> s strani naročnika, pridobitvi vseh potrebnih projektnih pogojev, dokumentov in dokazil s strani naročnika (npr. vezano na postopke evidentiranosti, lastništva, davke in prispevke ipd.)</t>
    </r>
  </si>
  <si>
    <r>
      <t>Projektantski</t>
    </r>
    <r>
      <rPr>
        <sz val="8"/>
        <color rgb="FF00B0F0"/>
        <rFont val="Inter"/>
        <family val="2"/>
      </rPr>
      <t xml:space="preserve"> </t>
    </r>
    <r>
      <rPr>
        <sz val="8"/>
        <rFont val="Inter"/>
        <family val="2"/>
      </rPr>
      <t>nadzor se v dogovorjenem obsegu izvaja ves čas gradnje, skladno s potekom gradbenih del, do podpisa izvajalca in nadzornika da so dela končana.</t>
    </r>
  </si>
  <si>
    <r>
      <t xml:space="preserve">Gradbeni nadzor se v dogovorjenem obsegu izvaja ves čas gradnje, skladno s potekom gradbenih del, do podpisa izvajalca in nadzornika da so dela končana. 
Gradbeni nadzor se bo izvajal v skupnem maksimalnem obsegu </t>
    </r>
    <r>
      <rPr>
        <sz val="8"/>
        <color rgb="FF00B0F0"/>
        <rFont val="Inter"/>
        <family val="2"/>
      </rPr>
      <t>x ur</t>
    </r>
    <r>
      <rPr>
        <sz val="8"/>
        <rFont val="Inter"/>
        <family val="2"/>
      </rPr>
      <t xml:space="preserve"> na teden, skupnem maksimalnem trajanju </t>
    </r>
    <r>
      <rPr>
        <sz val="8"/>
        <color rgb="FF00B0F0"/>
        <rFont val="Inter"/>
        <family val="2"/>
      </rPr>
      <t>x tednov</t>
    </r>
    <r>
      <rPr>
        <sz val="8"/>
        <rFont val="Inter"/>
        <family val="2"/>
      </rPr>
      <t xml:space="preserve"> oziroma v skupnem maksimalnem številu </t>
    </r>
    <r>
      <rPr>
        <sz val="8"/>
        <color rgb="FF00B0F0"/>
        <rFont val="Inter"/>
        <family val="2"/>
      </rPr>
      <t>x ur</t>
    </r>
    <r>
      <rPr>
        <sz val="8"/>
        <rFont val="Inter"/>
        <family val="2"/>
      </rPr>
      <t>.</t>
    </r>
  </si>
  <si>
    <r>
      <t>Gradbeni nadzor v času poskusnega obratovanja se v dogovorjenem obsegu izvaja ves čas poskusnega obratovanja. 
Projektantski</t>
    </r>
    <r>
      <rPr>
        <sz val="8"/>
        <color rgb="FF00B0F0"/>
        <rFont val="Inter"/>
        <family val="2"/>
      </rPr>
      <t xml:space="preserve"> </t>
    </r>
    <r>
      <rPr>
        <sz val="8"/>
        <rFont val="Inter"/>
        <family val="2"/>
      </rPr>
      <t xml:space="preserve">nadzor se bo izvajal v skupnem maksimalnem obsegu </t>
    </r>
    <r>
      <rPr>
        <sz val="8"/>
        <color rgb="FF00B0F0"/>
        <rFont val="Inter"/>
        <family val="2"/>
      </rPr>
      <t>x ur</t>
    </r>
    <r>
      <rPr>
        <sz val="8"/>
        <rFont val="Inter"/>
        <family val="2"/>
      </rPr>
      <t xml:space="preserve"> na teden, skupnem maksimalnem trajanju </t>
    </r>
    <r>
      <rPr>
        <sz val="8"/>
        <color rgb="FF00B0F0"/>
        <rFont val="Inter"/>
        <family val="2"/>
      </rPr>
      <t>x</t>
    </r>
    <r>
      <rPr>
        <sz val="8"/>
        <rFont val="Inter"/>
        <family val="2"/>
      </rPr>
      <t xml:space="preserve"> </t>
    </r>
    <r>
      <rPr>
        <sz val="8"/>
        <color rgb="FF00B0F0"/>
        <rFont val="Inter"/>
        <family val="2"/>
      </rPr>
      <t>tednov</t>
    </r>
    <r>
      <rPr>
        <sz val="8"/>
        <rFont val="Inter"/>
        <family val="2"/>
      </rPr>
      <t xml:space="preserve"> oziroma v skupnem maksimalnem številu </t>
    </r>
    <r>
      <rPr>
        <sz val="8"/>
        <color rgb="FF00B0F0"/>
        <rFont val="Inter"/>
        <family val="2"/>
      </rPr>
      <t>x</t>
    </r>
    <r>
      <rPr>
        <sz val="8"/>
        <rFont val="Inter"/>
        <family val="2"/>
      </rPr>
      <t xml:space="preserve"> </t>
    </r>
    <r>
      <rPr>
        <sz val="8"/>
        <color rgb="FF00B0F0"/>
        <rFont val="Inter"/>
        <family val="2"/>
      </rPr>
      <t>ur</t>
    </r>
    <r>
      <rPr>
        <sz val="8"/>
        <rFont val="Inter"/>
        <family val="2"/>
      </rPr>
      <t>.</t>
    </r>
  </si>
  <si>
    <r>
      <t xml:space="preserve">Gradbeni nadzor v času predaje objekta se v dogovorjenem obsegu izvaja ves čas predaje objekta, do pridobitve uporabnega dovoljenja oz. primopredaje naročniku. 
Projektantski nadzor se bo izvajal v skupnem maksimalnem obsegu </t>
    </r>
    <r>
      <rPr>
        <sz val="8"/>
        <color rgb="FF00B0F0"/>
        <rFont val="Inter"/>
        <family val="2"/>
      </rPr>
      <t>x ur</t>
    </r>
    <r>
      <rPr>
        <sz val="8"/>
        <rFont val="Inter"/>
        <family val="2"/>
      </rPr>
      <t xml:space="preserve"> na teden, skupnem maksimalnem trajanju </t>
    </r>
    <r>
      <rPr>
        <sz val="8"/>
        <color rgb="FF00B0F0"/>
        <rFont val="Inter"/>
        <family val="2"/>
      </rPr>
      <t>x</t>
    </r>
    <r>
      <rPr>
        <sz val="8"/>
        <rFont val="Inter"/>
        <family val="2"/>
      </rPr>
      <t xml:space="preserve"> </t>
    </r>
    <r>
      <rPr>
        <sz val="8"/>
        <color rgb="FF00B0F0"/>
        <rFont val="Inter"/>
        <family val="2"/>
      </rPr>
      <t>tednov</t>
    </r>
    <r>
      <rPr>
        <sz val="8"/>
        <rFont val="Inter"/>
        <family val="2"/>
      </rPr>
      <t xml:space="preserve"> oziroma v skupnem maksimalnem številu </t>
    </r>
    <r>
      <rPr>
        <sz val="8"/>
        <color rgb="FF00B0F0"/>
        <rFont val="Inter"/>
        <family val="2"/>
      </rPr>
      <t>x</t>
    </r>
    <r>
      <rPr>
        <sz val="8"/>
        <rFont val="Inter"/>
        <family val="2"/>
      </rPr>
      <t xml:space="preserve"> </t>
    </r>
    <r>
      <rPr>
        <sz val="8"/>
        <color rgb="FF00B0F0"/>
        <rFont val="Inter"/>
        <family val="2"/>
      </rPr>
      <t>ur</t>
    </r>
    <r>
      <rPr>
        <sz val="8"/>
        <rFont val="Inter"/>
        <family val="2"/>
      </rPr>
      <t>.</t>
    </r>
  </si>
  <si>
    <t>PROJEKT ZA RAZPIS (PZR)</t>
  </si>
  <si>
    <t>ARHITEKTURA / KRAJINSKA ARHITEKTURA - ODPRTI PROSTOR</t>
  </si>
  <si>
    <t>PRIBITEK ZA VKLJUČEVANJE DRUGIH IZVAJALCEV V POGODBO</t>
  </si>
  <si>
    <t>% projekta VK + ARH</t>
  </si>
  <si>
    <t>% s pribitki 
VK + ARH</t>
  </si>
  <si>
    <t>ŠTEVILO NU VK + ARH</t>
  </si>
  <si>
    <t>VREDNOST V EUR VK + ARH</t>
  </si>
  <si>
    <t>% stroškov strojnih inštalacij</t>
  </si>
  <si>
    <t>PORAZDELITEV UR ZA NAČRTE TEHNOLOGIJE</t>
  </si>
  <si>
    <t>PRIPRAVA DOKUMENTACIJE ZA DOVOLJEVANJE</t>
  </si>
  <si>
    <t>Poraba časa - notranja oprema</t>
  </si>
  <si>
    <t>IZRAČUN ŠTEVILA NU ZA NAČRTOVANJE STAVB</t>
  </si>
  <si>
    <t>IZRAČUN ŠTEVILA NU ZA NAČRTOVANJE NOTRANJE OPREME</t>
  </si>
  <si>
    <t>PORAZDELITEV NU ZA NAČRTOVANJE NOTRANJE OPREME</t>
  </si>
  <si>
    <t>PORAZDELITEV NU ZA NAČRTE GRADBENIH KONSTRUKCIJ</t>
  </si>
  <si>
    <t>POPIS DEL</t>
  </si>
  <si>
    <t>OPOMBE:</t>
  </si>
  <si>
    <t>SKUPAJ NU ZA PODROČJE</t>
  </si>
  <si>
    <t>% vrednosti vseh stroškov gradnje</t>
  </si>
  <si>
    <t>% vrednosti stroškov gradnje za stavbo</t>
  </si>
  <si>
    <t>Za več informacij glej tudi:</t>
  </si>
  <si>
    <t>POPRAVKI</t>
  </si>
  <si>
    <t>6.12</t>
  </si>
  <si>
    <t>Odklenjeno polje za vnos vrednosti NU na zavihku Arhigram 6.</t>
  </si>
  <si>
    <t>6.13</t>
  </si>
  <si>
    <t>Popravljen sklic v polju I378 in I380 na zavihku OSNOVNI PODATKI (popravek nima vpliva na izračun).</t>
  </si>
  <si>
    <t>ENA STAVBA ALI VEČ RAZLIČNIH STAVB (PRI IZRAČUNU POTREBNIH NU SE VSAKA STAVBA IZRAČUNAVA LOČENO)</t>
  </si>
  <si>
    <t>VEČ ENAKIH STAVB - IZRAČUNA SE ŠTEVILO NU ZA ENO STAVBO, NATO PA SE V PONUDBO NAVEDE USTREZNO VREDNOST V SKLADU Z NAVODILI</t>
  </si>
  <si>
    <t>ZASTOPANJE INVESTITORJA V UPRAVNIH POSTOPKIH: PRIDOBIVANJE PROJEKTNIH POGOJEV</t>
  </si>
  <si>
    <t>ZASTOPANJE INVESTITORJA V UPRAVNIH POSTOPKIH: PRIDOBIVANJE MNENJ</t>
  </si>
  <si>
    <t>ZASTOPANJE INVESTITORJA V UPRAVNIH POSTOPKIH: PRIDOBIVANJE GRADBENEGA DOVOLJENJA</t>
  </si>
  <si>
    <t>Pridobljena vsa potrebna mnenja.</t>
  </si>
  <si>
    <t>95 % vrednosti - potrdilo o oddani vlogi, 5 % vrednosti - pravnomočno gradbeno dovoljenje.</t>
  </si>
  <si>
    <t>IZVAJANJE GRADNJE (PROJEKTANTSKI NADZOR)</t>
  </si>
  <si>
    <t>TABELA 2: POSEBNE STORITVE</t>
  </si>
  <si>
    <t>TABELA 1: OSNOVNE STORITVE</t>
  </si>
  <si>
    <t>Poraba časa - gradbene konstrukcije</t>
  </si>
  <si>
    <t>Poraba časa - TEHNIČNA OPREMA</t>
  </si>
  <si>
    <t>Poraba časa - požarna varnost</t>
  </si>
  <si>
    <t>poraba časa - GRADBENA FIZIKA</t>
  </si>
  <si>
    <t>PRILOGA C - ROKI IN POGOJI ZA IZVEDBO, CENA TER POGOJI ZA PLAČILO</t>
  </si>
  <si>
    <t>Izbrisane neaktivne opcije za izbiro posebnih storitev na listu OSNOVNI PODATKI (popravek nima vpliva na izračun)</t>
  </si>
  <si>
    <t>Popravljeno navodilo glede gradnje več enakih objektov (usklajeno s ST ZAPS 02:2023, popravek nima vpliva na izračun)</t>
  </si>
  <si>
    <t>Naslovi listov OSNOVNE STORITVE IN POSEBNE STORITVE usklajeni s Pripomočkom za pripravo ponudbe.</t>
  </si>
  <si>
    <t xml:space="preserve">Če želite pridobiti informativne vrednosti tudi za storitve s področja tehničnega projektiranja oziroma izdelave dopolnilnih gradiv, je potrebno določiti cenovne razrede tudi za ta področja. </t>
  </si>
  <si>
    <t xml:space="preserve">Na listu OSNOVNI PODATKI najprej vpišite ime objekta ali dela objekta za vsak posamezen objekt ali del objekta. Nato izberite tipologijo za ta objekt ali del objekta, določite cenovne razrede za vsak posamezen del ter vpišite bruto oziroma neto tlorisno površino (BTP ali NTP). </t>
  </si>
  <si>
    <t>Na podlagi podanih podatkov se za vsako področje izračuna minimalno in maskimalno število NU. Za vsako področje, ki ga želite vključiti v izračun je potrebno odkljukati ustrezno okence v poljih od A378 dalje. Če želite uporabiiti srednjo vrednost števila NU, odkljukajte ustrezen kvadratek. Če želite vnesti drugačno število NU, ga vpišite v stolpec F (modro polje) in izklopite kljukico v stolpcu E (uporabi srednjo vrednost števila NU).</t>
  </si>
  <si>
    <t>LISTI</t>
  </si>
  <si>
    <t>List za vnos vseh podatkov.</t>
  </si>
  <si>
    <t>List s podatki o priporočenih cenovnih razredih in drugimi podatki, potrebnimi za izračun.</t>
  </si>
  <si>
    <t>List z izračunom vrednosti po Arhigramu, razporejenimi po fazah in podfazah življenjskega cikla objektov ter dodatno še izvleček po posameznih področjih.</t>
  </si>
  <si>
    <t xml:space="preserve">PRILOGA C: ROKI IN POGOJI ZA IZVEDBO, CENA TER POGOJI ZA PLAČILO - TABELA 1: OSNOVNE STORITVE k Pripomočku za pripravo ponudbe po ST ZAPS. Tabela ni avtomatizirana temveč se izpolni ročno. Priporočljivo je, da kadar posamezna faza ni vključena v ponudbo, vrstic ne brišete, temveč vpišete besedilo "NI VKLJUČENO V PONUDBO". Namig: okvirno potrebno število delovnih dni lahko izračunate tako, da število NU najprej delite s številom predvidenih efektivnih ur na dan (na primer 6), nato pa še s številom delavcev, ki bodo delali na projektu. </t>
  </si>
  <si>
    <t>PRILOGA C: ROKI IN POGOJI ZA IZVEDBO, CENA TER POGOJI ZA PLAČILO - TABELA 2: POSEBNE STORITVE k Pripomočku za pripravo ponudbe po ST ZAPS. Seznam ni avtomatiziran temveč se izpolni ročno. Seznam se priloži le kadar so v ponudbo vključene tudi posebne storitve.</t>
  </si>
  <si>
    <t>List s pripomočkom za izračun povprečne vrednosti NU za posamezen arhitekturni biro. Vrednosti so informativne in se razlikujejo glede na organizacijo posameznega biroja.</t>
  </si>
  <si>
    <t>OSTALI LISTI</t>
  </si>
  <si>
    <t>Listi, na katerih se izvajajo računske operacije za izračunavanje vrednosti za projektiranje objektov in podporno oziroma tehnično projektiranje.</t>
  </si>
  <si>
    <t>Posodobljena navodila.</t>
  </si>
  <si>
    <r>
      <t xml:space="preserve">Za podfazo </t>
    </r>
    <r>
      <rPr>
        <sz val="10"/>
        <color rgb="FF000000"/>
        <rFont val="Inter Medium"/>
        <family val="2"/>
      </rPr>
      <t>2.2. Idejno projektiranje</t>
    </r>
    <r>
      <rPr>
        <sz val="10"/>
        <color rgb="FF000000"/>
        <rFont val="Inter Light"/>
        <family val="2"/>
      </rPr>
      <t xml:space="preserve"> se lahko določi največ seštevek odstotnih deležev podfaz 2.2. Idejno projektiranje in 2.1. Snovanje.</t>
    </r>
  </si>
  <si>
    <r>
      <t xml:space="preserve">Za podfazo </t>
    </r>
    <r>
      <rPr>
        <sz val="10"/>
        <color rgb="FF000000"/>
        <rFont val="Inter Medium"/>
        <family val="2"/>
      </rPr>
      <t>2.3. Priprava dokumentacije za dovoljevanje</t>
    </r>
    <r>
      <rPr>
        <sz val="10"/>
        <color rgb="FF000000"/>
        <rFont val="Inter Light"/>
        <family val="2"/>
      </rPr>
      <t xml:space="preserve"> se lahko določi največ seštevek odstotnih deležev podfaz 2.3. Priprava dokumentacije za dovoljevanje in 2.2. Idejno projektiranje.</t>
    </r>
  </si>
  <si>
    <r>
      <t xml:space="preserve">Za podfazo </t>
    </r>
    <r>
      <rPr>
        <sz val="10"/>
        <color rgb="FF000000"/>
        <rFont val="Inter Medium"/>
        <family val="2"/>
      </rPr>
      <t>2.4. Projektiranje za izvedbo</t>
    </r>
    <r>
      <rPr>
        <sz val="10"/>
        <color rgb="FF000000"/>
        <rFont val="Inter Light"/>
        <family val="2"/>
      </rPr>
      <t xml:space="preserve"> se lahko določi največ seštevek odstotnih deležev podfaz 2.3. Projektiranje za izvedbo in 2.2. Idejno projektiranje.</t>
    </r>
  </si>
  <si>
    <r>
      <t xml:space="preserve">Za podfazo </t>
    </r>
    <r>
      <rPr>
        <sz val="10"/>
        <color rgb="FF000000"/>
        <rFont val="Inter Medium"/>
        <family val="2"/>
      </rPr>
      <t>2.1. Snovanje</t>
    </r>
    <r>
      <rPr>
        <sz val="10"/>
        <color rgb="FF000000"/>
        <rFont val="Inter Light"/>
        <family val="2"/>
      </rPr>
      <t xml:space="preserve"> se lahko določi največ seštevek odstotnih deležev podfaz 2.1. Snovanje in 1.1. Zagon projekta.</t>
    </r>
  </si>
  <si>
    <r>
      <t xml:space="preserve">Za podfazo </t>
    </r>
    <r>
      <rPr>
        <sz val="10"/>
        <color rgb="FF000000"/>
        <rFont val="Inter Medium"/>
        <family val="2"/>
      </rPr>
      <t>4.2. Izvajanje gradnje</t>
    </r>
    <r>
      <rPr>
        <sz val="10"/>
        <color rgb="FF000000"/>
        <rFont val="Inter Light"/>
        <family val="2"/>
      </rPr>
      <t>, kadar gre za načrtovanje stavb, se določi največ seštevek odstotnih deležev podfaz 4.2. Izvajanje gradnje, 1.1. Zagon projekta in 2.1. Snovanje.</t>
    </r>
  </si>
  <si>
    <t>LOČENO NAROČANJE NEKATERIH PODFAZ:</t>
  </si>
  <si>
    <t>NAROČANJE VEČJEGA ŠTEVILA OBJEKTOV</t>
  </si>
  <si>
    <r>
      <t xml:space="preserve">Če naročilo vključuje </t>
    </r>
    <r>
      <rPr>
        <sz val="10"/>
        <rFont val="Inter Medium"/>
        <family val="2"/>
      </rPr>
      <t>več različnih objektov</t>
    </r>
    <r>
      <rPr>
        <sz val="10"/>
        <rFont val="Inter Light"/>
        <family val="2"/>
        <charset val="238"/>
      </rPr>
      <t>, se število NU izračuna za vsak objekt posebej ob upoštevanju določil tega standarda.</t>
    </r>
  </si>
  <si>
    <r>
      <t xml:space="preserve">Če naročilo vključuje </t>
    </r>
    <r>
      <rPr>
        <sz val="10"/>
        <rFont val="Inter Medium"/>
        <family val="2"/>
      </rPr>
      <t>več v bistvenem delu enakih objektov</t>
    </r>
    <r>
      <rPr>
        <sz val="10"/>
        <rFont val="Inter Light"/>
        <family val="2"/>
        <charset val="238"/>
      </rPr>
      <t>, ki se načrtujejo in gradijo v enakih ali zelo podobnih časovnih in lokacijskih okoliščinah, ali če gre za več objektov v skladu s tipsko ali serijsko gradnjo, je treba za prvo do četrto ponovitev za fazi 1. Zagon in 2. Projektiranje znižati število NU za 50 odstotkov, za peto do sedmo ponovitev za 60 odstotkov in za vsako naslednjo ponovitev za 90 odstotkov.</t>
    </r>
  </si>
  <si>
    <r>
      <t>Če naročilo vključuje</t>
    </r>
    <r>
      <rPr>
        <sz val="10"/>
        <rFont val="Inter Medium"/>
        <family val="2"/>
      </rPr>
      <t xml:space="preserve"> osnovne storitve, ki so bile že predmet drugega naročila</t>
    </r>
    <r>
      <rPr>
        <sz val="10"/>
        <rFont val="Inter Light"/>
        <family val="2"/>
        <charset val="238"/>
      </rPr>
      <t xml:space="preserve"> med pogodbenima strankama za v bistvenem delu enak objekt, se za novo naročilo uporabijo določila prejšnjega odstavka, tudi če osnovne storitve niso bile izvedene v enakih ali zelo podobnih časovnih in lokacijskih okoliščinah.</t>
    </r>
  </si>
  <si>
    <t>6.14</t>
  </si>
  <si>
    <t>Dopolnjena navodila glede naročanja večjega števila objektov.</t>
  </si>
  <si>
    <t>faktor</t>
  </si>
  <si>
    <t>Izračun števila NU za področje prostorske akustike omejen do 30.000 m2.</t>
  </si>
  <si>
    <t>Popravljen izračun števila NU za požarno varnost.</t>
  </si>
  <si>
    <t xml:space="preserve">ENOTNO NAROČILO PROJEKTIRANJA RAZLIČNIH VRST OBJEKTOV </t>
  </si>
  <si>
    <t>Kadar gre za enotno naročilo osnovnih storitev za projektiranje stavbe in ureditve pripadajočega odprtega prostora in kadar površina ureditve odprtega prostora ne presega 50 m2, je število NU za osnovne storitve pri projektiranju ureditev odprtega prostora za podfazi 2.1. Snovanje in 2.2. Idejno projektiranje že določeno v okviru maksimalnega števila NU za projektiranje stavb.</t>
  </si>
  <si>
    <t>Dodano navodilo glede naročanja posameznih faz in glede enotnega naročanja različnih vrst objektov.</t>
  </si>
  <si>
    <t>IZVAJANJE GRADNJE (DODATEK ZA GRADBENI NADZOR)</t>
  </si>
  <si>
    <t>POSKUSNO OBRATOVANJE (DODATEK ZA GRADBENI NADZOR)</t>
  </si>
  <si>
    <t>PREDAJA OBJEKTA (DODATEK ZA GRADBENI NADZOR)</t>
  </si>
  <si>
    <t>Popravljeno javljanje napake pri enačbah za izračunvanje odstotnih vrednosti glede na vrednost stroškov gradnje na zavihku Arhigram v primeru da stroški gradnje niso določeni (popravek nima vpliva na izračun).</t>
  </si>
  <si>
    <t>Posodobljene informativne vrednosti stroškov gradnje za stavbe in odprti prostor (popravek nima vpliva na izračun).</t>
  </si>
  <si>
    <t>Dopolnjeni manjkajoči indeksi za objekte odptega prostora.</t>
  </si>
  <si>
    <t>Dodane vrednosti za prostorsko akustiko za podfazo 4.5. na zavihku Arhigram 6.</t>
  </si>
  <si>
    <t>6.15</t>
  </si>
  <si>
    <t>Popravljen seštevek NU in EUR na zavihku Arhigram 6 pod točko 4.5 Dovoljenje za uporabo.</t>
  </si>
  <si>
    <t>Popravljen sklic na cenovne razrede pri prostorski akustiki.</t>
  </si>
  <si>
    <t>SKUPAJ STAVBE</t>
  </si>
  <si>
    <t>NETO POVRŠINA ZA IZRAČUN</t>
  </si>
  <si>
    <t>Popravljena napaka v izračunih vrednosti vodenja projektiranja - pribitek za vključevanje drugih izvajalcev v pogodbo ni upoštevan.</t>
  </si>
  <si>
    <t xml:space="preserve">Popravljena napaka v fazi 5. Obratovanje - pribitek za prenovo v tej fazi ni upoštevan. </t>
  </si>
  <si>
    <t>1. Najenostavnejša notranja oprema za začasno uporabo z najpreprostejšo serijsko opremo ali brez nje</t>
  </si>
  <si>
    <t>2. Notranja oprema z nizkimi zahtevami glede načrtovanja, z uporabo serijsko izdelanega pohištva in opreme preproste kakovosti, brez tehnične opreme</t>
  </si>
  <si>
    <t>3. Notranja oprema s povprečnimi zahtevami glede načrtovanja, pretežno z uporabo serijsko izdelanega pohištva in opreme ali s povprečno tehnično opremo</t>
  </si>
  <si>
    <t>4. Notranja oprema z visokimi zahtevami glede načrtovanja, z uporabo serijsko izdelanega pohištva in pohištva visoke kakovosti ali visokokakovostne tehnične opreme</t>
  </si>
  <si>
    <t>5. Notranjost z zelo visokimi zahtevami glede načrtovanja, z uporabo kompleksnega pohištva in opreme ali obsežne tehnične opreme</t>
  </si>
  <si>
    <t>6. Najenostavnejše sobe brez pohištva ali za začasno uporabo</t>
  </si>
  <si>
    <t>7. Najenostavnejši prostori brez pohištva ali za začasno uporabo</t>
  </si>
  <si>
    <t>8. Preprosti stanovanjski prostori z nizkimi zahtevami glede oblikovanja ali opreme</t>
  </si>
  <si>
    <t>9. Stanovanjski prostori s povprečnimi zahtevami, serijsko opremljene kuhinje</t>
  </si>
  <si>
    <t>10. Stanovanjski prostori v skupnih nastanitvah ali domovih</t>
  </si>
  <si>
    <t>11. Stanovanjski prostori z visokimi zahtevami, kuhinje in kopalnice po meri</t>
  </si>
  <si>
    <t>12. Predelava podstrešja, zimski vrtovi</t>
  </si>
  <si>
    <t>13. preproste odprte dvorane</t>
  </si>
  <si>
    <t>14. shrambe ali pomožni prostori s preprostim pohištvom ali opremo</t>
  </si>
  <si>
    <t>15. Skupinski prostori, na primer v jaslih, vrtcih, mladinskih centrih, mladinskih domovih, mladinskih hostlih</t>
  </si>
  <si>
    <t>16. učilnice, predavalnice, seminarske sobe, manjše knjižnice, menze</t>
  </si>
  <si>
    <t>17. Avditoriji, izobraževalni centri, knjižnice, laboratoriji, učne kuhinje z jedilnicami oziroma saloni ali brez, specializirane učilnice s tehnično opremo</t>
  </si>
  <si>
    <t>18. kongresni, konferenčni in seminarski prostori, sejne sobe s pohištvom in opremo po meri ter obsežno tehnično opremo</t>
  </si>
  <si>
    <t>19. Znanstvenoraziskovalni prostori z visokimi zahtevami in tehnično opremo</t>
  </si>
  <si>
    <t>20. območja notranjih komunikacij</t>
  </si>
  <si>
    <t>21. Kopirnice, prostori za čistila ali drugi pomožni prostori brez konstrukcijskih elementov</t>
  </si>
  <si>
    <t>22. pisarne, administrativni prostori in lounge s povprečnimi zahtevami, stopnišča, čakalnice, čajne kuhinje</t>
  </si>
  <si>
    <t>23. Sanitarni prostori, utility, pomožni prostori, tehnični prostori</t>
  </si>
  <si>
    <t>24. Vhodne avle, sejne ali konferenčne sobe, menze, družabni prostori</t>
  </si>
  <si>
    <t>25. prostori za stranke, razstavni in predstavitveni prostori</t>
  </si>
  <si>
    <t>26. Prostori za sestanke in konference, sodne dvorane, vodstveni prostori z opremo po meri ali sofisticirano tehnično opremo</t>
  </si>
  <si>
    <t>27. Poslovne, sejne ali konferenčne sobe v prefinjenem dizajnu s pohištvom in opremo po meri, dodelano opremo ali zelo visokimi tehničnimi zahtevami</t>
  </si>
  <si>
    <t>28. Odprte igralnice ali avle</t>
  </si>
  <si>
    <t>29. Preprosti prostori za počitek ali pomožni prostori</t>
  </si>
  <si>
    <t>30. posvetovalne, negovalne, bolniške, bivalne ali družabne sobe s povprečnimi potrebami brez medicinsko tehnične opreme</t>
  </si>
  <si>
    <t>31. ambulante in prostori za oskrbo z opremo ali medicinsko tehnološko opremo v zdravstvenih, terapevtskih, rehabilitacijskih ali negovalnih ustanovah in ambulantah ordinacijah</t>
  </si>
  <si>
    <t>32. Operacijske dvorane, porodne sobe, rentgenske sobe</t>
  </si>
  <si>
    <t>33. Prodajne stojnice za začasno uporabo</t>
  </si>
  <si>
    <t>34. Kioski, prodajna skladišča, pomožni prostori s preprosto opremo in opremo</t>
  </si>
  <si>
    <t>35. Povprečne trgovine ali restavracije, nakupovalne površine, restavracije s hitro hrano</t>
  </si>
  <si>
    <t>36. Specializirane trgovine, butiki, razstavni saloni, kinodvorane, velike kuhinje</t>
  </si>
  <si>
    <t>37. Razstavna stojala, če se uporabljajo sistemske ali modularne komponente</t>
  </si>
  <si>
    <t>38. Posamezne razstavne stojnice</t>
  </si>
  <si>
    <t>39. sobe za goste, visokokakovostni sanitarni prostori, na primer v restavracijah, barih, vinskih barih, kavarnah, klubskih sobah</t>
  </si>
  <si>
    <t>40. gostinski ali sanitarni prostori, na primer v penzionih ali hotelih s povprečnimi zahtevami ali napravami ali opremo</t>
  </si>
  <si>
    <t>41. Prostori za goste, recepcije ali zabaviščni prostori v hotelih z individualno zasnovo ali opremo ali z vrhunsko opremo ali tehnično opremo</t>
  </si>
  <si>
    <t>42. Pomožni ali servisni prostori v športnih objektih ali bazenih</t>
  </si>
  <si>
    <t>43. Bazeni, fitnes, wellness ali savna, veliki športni objekti</t>
  </si>
  <si>
    <t>44. Športne, večnamenske ali mestne dvorane, telovadnice, plesne šole</t>
  </si>
  <si>
    <t>45. Preproste dvorane ali delavnice brez posebne opreme, paviljoni</t>
  </si>
  <si>
    <t>46. Kmetijski gospodarski prostori</t>
  </si>
  <si>
    <t>47. Trgovski prostori, delavnice s tehnično ali mehansko opremo</t>
  </si>
  <si>
    <t>48. Celotne delavnice ali industrijski objekti</t>
  </si>
  <si>
    <t>49. Gostinska ali poslovna območja na letališčih, železniških postajah</t>
  </si>
  <si>
    <t>50. Prostori v podzemnih garažah, podhodih</t>
  </si>
  <si>
    <t>51. Kulturni ali sakralnI objekti, verski prostori</t>
  </si>
  <si>
    <t>52. Individualno oblikovane razstavne, muzejske ali gledališke površine</t>
  </si>
  <si>
    <t>53. Koncertne ali gledališke dvorane, studijske sobe za radio, televizijo ali gledališče</t>
  </si>
  <si>
    <t>INFORMATIVNA VREDNOST STROŠKOV GRADNJE EUR/m2 NTP</t>
  </si>
  <si>
    <t>IZBRANA VREDNOST STROŠKOV GRADNJE EUR/m2 BEP</t>
  </si>
  <si>
    <t>IZBRANA VREDNOST STROŠKOV GRADNJE EUR/m2 NTP</t>
  </si>
  <si>
    <t>© 2026 ZAPS, vse pravice pridržane</t>
  </si>
  <si>
    <t>Vrednosti se ne izračunavajo avtomatično, temveč jih po lastni presoji upošteva ponudnik pri pripravi ponudbe oziroma pogodbe.</t>
  </si>
  <si>
    <t xml:space="preserve">Odstopanja od minimalnega števila NU oziroma odstopanje od priporočene vrednosti NU, objavljene na spletni strani ZAPS, </t>
  </si>
  <si>
    <t>v višini več kot 20 % ne zagotavljajo kakovostne izvedbe storitev.</t>
  </si>
  <si>
    <r>
      <t xml:space="preserve">Če naročilo vključuje </t>
    </r>
    <r>
      <rPr>
        <sz val="9"/>
        <rFont val="Inter Medium"/>
        <family val="2"/>
        <charset val="238"/>
      </rPr>
      <t>več primerljivih objektov</t>
    </r>
    <r>
      <rPr>
        <sz val="9"/>
        <rFont val="Inter Light"/>
        <family val="2"/>
      </rPr>
      <t xml:space="preserve"> s pretežno podobnimi pogoji projektiranja, ki se jim lahko določi isti cenovni razred in ki bodo projektirani in zgrajeni v enakih ali zelo podobnih časovnih in lokacijskih okoliščinah, se število NU izračuna na podlagi seštevka BTP vseh objektov - na zavihku OSNOVNI PODATKI izberemo možnost "</t>
    </r>
    <r>
      <rPr>
        <sz val="9"/>
        <rFont val="Inter Medium"/>
        <family val="2"/>
        <charset val="238"/>
      </rPr>
      <t>ena stavba z različnimi deli</t>
    </r>
    <r>
      <rPr>
        <sz val="9"/>
        <rFont val="Inter Light"/>
        <family val="2"/>
      </rPr>
      <t>" .</t>
    </r>
  </si>
  <si>
    <r>
      <t xml:space="preserve">Če naročilo vključuje </t>
    </r>
    <r>
      <rPr>
        <sz val="9"/>
        <rFont val="Inter Medium"/>
        <family val="2"/>
        <charset val="238"/>
      </rPr>
      <t>več različnih objektov</t>
    </r>
    <r>
      <rPr>
        <sz val="9"/>
        <rFont val="Inter Light"/>
        <family val="2"/>
      </rPr>
      <t>, se število NU izračuna za vsak objekt posebej - na zavihku OSNOVNI PODATKI izberemo možnost "</t>
    </r>
    <r>
      <rPr>
        <sz val="9"/>
        <rFont val="Inter Medium"/>
        <family val="2"/>
        <charset val="238"/>
      </rPr>
      <t>ena stavba ali več različnih stavb</t>
    </r>
    <r>
      <rPr>
        <sz val="9"/>
        <rFont val="Inter Light"/>
        <family val="2"/>
      </rPr>
      <t>".</t>
    </r>
  </si>
  <si>
    <r>
      <t xml:space="preserve">Če naročilo vključuje </t>
    </r>
    <r>
      <rPr>
        <sz val="9"/>
        <rFont val="Inter Medium"/>
        <family val="2"/>
        <charset val="238"/>
      </rPr>
      <t>več v bistvenem delu enakih objektov</t>
    </r>
    <r>
      <rPr>
        <sz val="9"/>
        <rFont val="Inter Light"/>
        <family val="2"/>
      </rPr>
      <t xml:space="preserve">, ki se načrtujejo in gradijo v enakih ali zelo podobnih časovnih in lokacijskih okoliščinah, ali če gre za več objektov v skladu s tipsko ali serijsko gradnjo, je treba </t>
    </r>
    <r>
      <rPr>
        <sz val="9"/>
        <rFont val="Inter Medium"/>
        <family val="2"/>
        <charset val="238"/>
      </rPr>
      <t>za prvo do četrto ponovitev za fazi 1. Zagon in 2. Projektiranje znižati število NU za 50 odstotkov, za peto do sedmo ponovitev za 60 odstotkov in za vsako naslednjo ponovitev za 90 odstotkov</t>
    </r>
    <r>
      <rPr>
        <sz val="9"/>
        <rFont val="Inter Light"/>
        <family val="2"/>
      </rPr>
      <t>. Znižanja se ne izračunavajo avtomatično.</t>
    </r>
  </si>
  <si>
    <t>Upošteva se v fazah od 1 do 4., samo za storitve projektiranja. Če dogovor o povečanju potrebnega števila NU ni bil dosežen, se upošteva 18 % povečanje števila NU glede na vsaj povprečno zahtevnost.
Če gre za prenovo notranje opreme lahko znaša povečanje do 50 %.</t>
  </si>
  <si>
    <t>Upošteva se v vseh fazah, samo za storitve vodenja in koordinacije</t>
  </si>
  <si>
    <t>Če je opcija izbrana, se v fazi 2.4 GK upošteva odbitek 30 %.</t>
  </si>
  <si>
    <t>Če je opcija izbrana, se v fazi 2.4 EI, SI, TH upošteva odbitek 4 %.</t>
  </si>
  <si>
    <t>Spremenjen način izračunavanja NU za storitve na področju notranje opreme.</t>
  </si>
  <si>
    <t>Spremenjeno razmerje odstotnih vrednosti v fazi 2. Projektiranje na račun zmanjšanja podfaze 2.5 Priprava gradiv za naročilo gradnje.</t>
  </si>
  <si>
    <t xml:space="preserve">Posebne storitve so navedene v sivi barvi, informativni izračuni pa v poševni pisavi. </t>
  </si>
  <si>
    <t>Kadar se podfaze 2.1. Snovanje, 2.2. Idejno projektiranje, 2.3. Priprava dokumentacije za dovoljevanje, 2.4. Projektiranje za izvedbo ali 4.2. Izvajanje gradnje naročajo posamično oziroma se nekatere podfaze izpuščajo, se ustrezen delež NU določi na naslednji način:</t>
  </si>
  <si>
    <r>
      <t>NU/m</t>
    </r>
    <r>
      <rPr>
        <vertAlign val="superscript"/>
        <sz val="8"/>
        <rFont val="Inter Light"/>
        <family val="2"/>
        <charset val="238"/>
      </rPr>
      <t>3</t>
    </r>
    <r>
      <rPr>
        <sz val="11"/>
        <color theme="1"/>
        <rFont val="Inter"/>
        <family val="2"/>
        <charset val="238"/>
        <scheme val="minor"/>
      </rPr>
      <t/>
    </r>
  </si>
  <si>
    <t>REZERVA</t>
  </si>
  <si>
    <t>Optimiziran način izračunavanja NU za požarno varnost.</t>
  </si>
  <si>
    <t>ARHIGRAM 7</t>
  </si>
  <si>
    <t>Na podlagi izbora tipologije in velikosti se bo za vsak del prikazala tudi informativna minimalna in maksimalna vrednost stroškov gradnje v EUR/m2, ki pa ne vpliva na izračun potrebnih NU, temveč služi zgolj kot informacija za primerjavo izračunanih vrednosti storitev s stroški gradnje objekta. Na podlagi podanih informativnih vrednosti določite vrednost, ki bo upoštevana v informativnem izračunu, in jo vpišite v ustrezno polje. Program bo izračunal oceno stroškov ter jo porazdelil med vrednosti del za GO, EI, SI in TH dela. Razmerja med temi deli so odvisna od izbrane tipologije objekta. Vrednosti ne vsebujejo DDV.</t>
  </si>
  <si>
    <r>
      <t xml:space="preserve">Če naročilo vključuje </t>
    </r>
    <r>
      <rPr>
        <sz val="10"/>
        <rFont val="Inter Medium"/>
        <family val="2"/>
      </rPr>
      <t>več primerljivih objektov</t>
    </r>
    <r>
      <rPr>
        <sz val="10"/>
        <rFont val="Inter Light"/>
        <family val="2"/>
        <charset val="238"/>
      </rPr>
      <t xml:space="preserve"> s pretežno podobnimi pogoji projektiranja, ki se jim lahko določi isti cenovni razred in ki bodo projektirani in zgrajeni v enakih ali zelo podobnih časovnih in lokacijskih okoliščinah, se število NU izračuna na podlagi seštevka površin vseh objektov.</t>
    </r>
  </si>
  <si>
    <t>LOČENO NAROČANJE NEKATERIH PODFAZ</t>
  </si>
  <si>
    <t>Kadar gre za enotno naročilo osnovnih storitev za projektiranje stavbe in notranje opreme za isto stavbo in kadar obračunski stroški notranje opreme ne presegajo 10.00 evrov, je število NU za osnovne storitve pri projektiranju notranje opreme za podfazi 2.1. Snovanje in 2.2. Idejno projektiranje že določeno v okviru maksimalnega števila NU za projektiranje stavb.</t>
  </si>
  <si>
    <t>Zaokroževanje števila NU na eno decimalko se izvede šele v izračunu NU za posamezno podfazo namesto v izračunu srednje vrednosti št NU za posamezen objekt, ki je povzročila manjšo natančnost.</t>
  </si>
  <si>
    <t>Dodane opombe za naročanje posameznih faz in naročanje večjega števila objektov v skladu s ST ZAPS.</t>
  </si>
  <si>
    <t>1. Enostavne in improvizirane stavbe za začasno uporabo</t>
  </si>
  <si>
    <t>2. Podkletene eno in dvostanovanjske stavbe, nižji standard</t>
  </si>
  <si>
    <t>3. Podkletene eno in dvostanovanjske stavbe, srednji standard</t>
  </si>
  <si>
    <t>4. Podkletene eno in dvostanovanjske stavbe, višji standard</t>
  </si>
  <si>
    <t>5. Nepodkletene eno in dvostanovanjske stavbe, nižji standard</t>
  </si>
  <si>
    <t>6. Nepodkletene eno in dvostanovanjske stavbe, srednji standard</t>
  </si>
  <si>
    <t>7. Nepodkletene eno in dvostanovanjske stavbe, višji standard</t>
  </si>
  <si>
    <t>8. Večstanovanjske stavbe ali skupine stanovanjskih stavb v strnjeni pozidavi, nižji standard</t>
  </si>
  <si>
    <t>9. Večstanovanjske stavbe ali skupine stanovanjskih stavb v strnjeni pozidavi, srednji standard</t>
  </si>
  <si>
    <t>10. Večstanovanjske stavbe ali skupine stanovanjskih stavb v strnjeni pozidavi, višji standard</t>
  </si>
  <si>
    <t>11. Oskrbovana stanovanja, srednji standard</t>
  </si>
  <si>
    <t>12. Oskrbovana stanovanja, višji standard</t>
  </si>
  <si>
    <t>13. Študentski domovi, skupna nastanitev</t>
  </si>
  <si>
    <t>14. Izobraževanje - večnamenske dvorane</t>
  </si>
  <si>
    <t>15. Šole s povprečnimi načrtovalskimi potrebami - osnovne in srednje šole</t>
  </si>
  <si>
    <t>16. Šole s povprečnimi načrtovalskimi potrebami - poklicne šole</t>
  </si>
  <si>
    <t>17. Šole z nadpovprečnimi načrtovalskimi potrebami - izobraževalni centri, visoke šole, univerze, akademije</t>
  </si>
  <si>
    <t>18. Predavalnice, kongresni centri</t>
  </si>
  <si>
    <t>19. Laboratoriji ali inštituti</t>
  </si>
  <si>
    <t>20. Pisarniške in upravne stavbe, nižji standard</t>
  </si>
  <si>
    <t>21. Pisarniške in upravne stavbe, srednji standard</t>
  </si>
  <si>
    <t>22. Pisarniške in upravne stavbe, višji standard</t>
  </si>
  <si>
    <t>23. Parlament, sodna stavba</t>
  </si>
  <si>
    <t>24. Stavbe kazenskega sistema</t>
  </si>
  <si>
    <t>25. Gasilske in policijske postaje</t>
  </si>
  <si>
    <t>26. Hranilniške in bančne poslovalnice</t>
  </si>
  <si>
    <t>27. Knjigarne, arhivi</t>
  </si>
  <si>
    <t>28. Zdravstvo - večnamenske dvorane</t>
  </si>
  <si>
    <t>29. Vrtci - nepodkleteni</t>
  </si>
  <si>
    <t>30. Vrtci - podkleteni</t>
  </si>
  <si>
    <t>31. Mladinski centri, centri za prosti čas</t>
  </si>
  <si>
    <t>32. Ustanove za varstvo odraslih, dnevni centri</t>
  </si>
  <si>
    <t>34. Reševalne postaje, ambulante</t>
  </si>
  <si>
    <t>35. Prostori za terapijo ali rehabilitacijo, zgradbe za rekreacijo, zdravljenje ali okrevanje</t>
  </si>
  <si>
    <t>36. Pomožne bolnišnice</t>
  </si>
  <si>
    <t>37. Bolnišnice I ali II stopnje oskrbe, bolnišnice posebnega namena</t>
  </si>
  <si>
    <t>38. Bolnišnice III. Stopnje oskrbe, univerzitetne bolnišnice</t>
  </si>
  <si>
    <t>33. Domovi za ostarele ali posteljni domovi z medicinsko-tehničnimi pripomočki ali brez njih</t>
  </si>
  <si>
    <t>39. Enostavna prodajna skladišča, stojnice, kioski</t>
  </si>
  <si>
    <t>40. Diskonti</t>
  </si>
  <si>
    <t>41. Trgovski centri, nakupovalni centri, pokrite tržnice, sejemske dvorane</t>
  </si>
  <si>
    <t>42. Stavbe za gostinstvo, menze ali kantine</t>
  </si>
  <si>
    <t>43. Javne kuhinje, z jedilnicami ali brez njih</t>
  </si>
  <si>
    <t>44. Enostavne stavbe za začasno uporabo (bungalovi, stavbe v kampih, hišice na drevesih ali na vodi, glamping hišice ipd.)</t>
  </si>
  <si>
    <t>45. Mladinska prenočišča, planinske koče in zavetišča, počitniški domovi</t>
  </si>
  <si>
    <t>46. Penzioni, gostišča</t>
  </si>
  <si>
    <t>47. Hoteli, moteli</t>
  </si>
  <si>
    <t>48. Preproste tribune</t>
  </si>
  <si>
    <t>49. Čolnarne</t>
  </si>
  <si>
    <t>50. Telovadnice ali športne dvorane</t>
  </si>
  <si>
    <t>51. Večnamenske dvorane</t>
  </si>
  <si>
    <t>52. Veliki športni objekti</t>
  </si>
  <si>
    <t>53. Notranji bazeni</t>
  </si>
  <si>
    <t>54. Enostavne kmetijske zgradbe, na primer poljski skednji</t>
  </si>
  <si>
    <t>55. Gospodarske zgradbe, hlevi</t>
  </si>
  <si>
    <t>56. Rastlinjaki za proizvodnjo</t>
  </si>
  <si>
    <t>57. Kmetijska in obrtna gospodarska poslopja</t>
  </si>
  <si>
    <t>58. Enostavne zaprte enonadstropne dvorane, delavnice</t>
  </si>
  <si>
    <t>59. posebne zgradbe za skladiščenje, na primer hladilnice</t>
  </si>
  <si>
    <t>60. delavnice, obrtne stavbe</t>
  </si>
  <si>
    <t>61. Industrijske stavbe - masivna gradnja</t>
  </si>
  <si>
    <t>62. Industrijske stavbe - skeletna gradnja</t>
  </si>
  <si>
    <t>63. Odprti prehodi, nadkritja, na primer vremenska zavetišča, nadstrešnice</t>
  </si>
  <si>
    <t>64. Enostavne garažne zgradbe</t>
  </si>
  <si>
    <t>65. Parkirne stavbe, garaže, podzemne garaže, vsaka z integriranimi drugimi vrstami uporabe</t>
  </si>
  <si>
    <t>66. Potniški centri ali postaje različnih javnih prevozov</t>
  </si>
  <si>
    <t>67. letališča</t>
  </si>
  <si>
    <t>68. energetske centrale, zgradbe elektrarn, velike elektrarne</t>
  </si>
  <si>
    <t>69. Paviljoni za kulturne namene</t>
  </si>
  <si>
    <t>70. Občinska središča, skupnosti, stavbe za kulturo</t>
  </si>
  <si>
    <t>71. Obredne stavbe, cerkve</t>
  </si>
  <si>
    <t>72. Pokopališke stavbe</t>
  </si>
  <si>
    <t>73. Večnamenske dvorane za verske ali kulturne namene</t>
  </si>
  <si>
    <t>74. Galerije, kinodvorane</t>
  </si>
  <si>
    <t>75. Muzeji</t>
  </si>
  <si>
    <t xml:space="preserve">76. Gledališča, operne in koncertne hiše </t>
  </si>
  <si>
    <t>77. Stavbe za radio ali televizijo</t>
  </si>
  <si>
    <t>Kalkulacija stroškov za določitev vrednosti projektantske obračunske ure (2026)</t>
  </si>
  <si>
    <t>ARHIGRAM 6</t>
  </si>
  <si>
    <t>6.16</t>
  </si>
  <si>
    <t>Popravljena napaka pri izračunu števila NU za tehnologijo faza 2.4.</t>
  </si>
  <si>
    <t>6.17</t>
  </si>
  <si>
    <t>povprečni BTO OD v Sloveniji 2026</t>
  </si>
  <si>
    <t>povprečni NTO OD v Sloveniji 2026</t>
  </si>
  <si>
    <t>programska oprema</t>
  </si>
  <si>
    <t>V 6.17</t>
  </si>
  <si>
    <t>september 2026</t>
  </si>
  <si>
    <t xml:space="preserve">Arhigram 7 je pripravljen na osnovi Standarda storitev Zbornice za arhitekturo in prostor Slovenije (ST ZAPS). Storitve določa ST ZAPS 01, vrednotenje storitev pa ST ZAPS 02. Kadar se ponudba za storitve pripravi v skladu s ST ZAPS, morajo biti storitve opravljene v skladu s tem standardom. Izpolnjujejo se samo okenca, označena z modro barvo. Vrednosti v poševni pisavi so informativne. </t>
  </si>
  <si>
    <t xml:space="preserve">Priporočeni cenovni razdredi za posamezna področja za vsak posamezen objekt ali del objekta se razberejo iz ustreznih tabel na listu CENOVNI RAZREDI. Če določanje po seznamu ni mogoče oziroma kadar gre za posebne primere, se razred določi s točkovanjem glede na posamezna merila za ocenjevanje, navedena na listu CENOVNI RAZREDI, ki kot rezultat določijo cenovni razred. </t>
  </si>
  <si>
    <t xml:space="preserve">Na podlagi vnešenih podatkov se bo za vsak objekt ali del objekta izračunalo priporočeno minimalno in maksimalno število NU za vse faze. Če želite uporabiti srednjo vrednost, v vrsticah od 358 dalje odkljukajte okence "uporabi srednjo vrednost števila NU", v naspretnem primeru pa vpišite željeno vrednost v okviru minimalne in maksimalne vrednosti NU.  </t>
  </si>
  <si>
    <t>Za vsako področje, ki ga želite vključiti v izračun, je potrebno odkljukati ustrezno okence v poljih od A358 dalje. Število NU za izbrano področje se bo preneslo na list ARHIGRAM 6. Na listu ARHIGRAM 6 na enak način odkljukajte faze, ki jih želite vključiti v izračun.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</si>
</sst>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164" formatCode="_-* #,##0.00\ _€_-;\-* #,##0.00\ _€_-;_-* &quot;-&quot;??\ _€_-;_-@_-"/>
    <numFmt numFmtId="165" formatCode="#,##0.00\ &quot;€&quot;"/>
    <numFmt numFmtId="166" formatCode="0_ ;[Red]\-0\ "/>
    <numFmt numFmtId="167" formatCode="#,##0_ ;\-#,##0\ "/>
    <numFmt numFmtId="168" formatCode="0.0%"/>
    <numFmt numFmtId="169" formatCode="0\ &quot;NU&quot;"/>
    <numFmt numFmtId="170" formatCode="#,##0\ [$EUR];\-#,##0\ [$EUR]"/>
    <numFmt numFmtId="171" formatCode="#,##0\ &quot;NU&quot;"/>
    <numFmt numFmtId="172" formatCode="#,##0.0"/>
    <numFmt numFmtId="173" formatCode="0.0000"/>
    <numFmt numFmtId="174" formatCode="#,##0.0000_ ;\-#,##0.0000\ "/>
    <numFmt numFmtId="175" formatCode="#,##0.0000"/>
    <numFmt numFmtId="176" formatCode="0.0"/>
    <numFmt numFmtId="177" formatCode="d\.\ m\.\ yyyy;@"/>
    <numFmt numFmtId="178" formatCode="_-* #,##0\ _€_-;\-* #,##0\ _€_-;_-* &quot;-&quot;??\ _€_-;_-@_-"/>
  </numFmts>
  <fonts count="204">
    <font>
      <sz val="10"/>
      <name val="Arial"/>
      <charset val="238"/>
    </font>
    <font>
      <sz val="11"/>
      <color theme="1"/>
      <name val="Inter"/>
      <family val="2"/>
      <charset val="238"/>
      <scheme val="minor"/>
    </font>
    <font>
      <sz val="11"/>
      <color theme="1"/>
      <name val="Inter"/>
      <family val="2"/>
      <charset val="238"/>
      <scheme val="minor"/>
    </font>
    <font>
      <sz val="11"/>
      <color theme="1"/>
      <name val="Inter"/>
      <family val="2"/>
      <charset val="238"/>
      <scheme val="minor"/>
    </font>
    <font>
      <sz val="11"/>
      <color theme="1"/>
      <name val="Inter"/>
      <family val="2"/>
      <charset val="238"/>
      <scheme val="minor"/>
    </font>
    <font>
      <sz val="11"/>
      <color theme="1"/>
      <name val="Inter"/>
      <family val="2"/>
      <charset val="238"/>
      <scheme val="minor"/>
    </font>
    <font>
      <sz val="11"/>
      <color theme="1"/>
      <name val="Inter"/>
      <family val="2"/>
      <charset val="238"/>
      <scheme val="minor"/>
    </font>
    <font>
      <sz val="10"/>
      <name val="Arial"/>
      <family val="2"/>
      <charset val="238"/>
    </font>
    <font>
      <sz val="10"/>
      <name val="Arial"/>
      <family val="2"/>
      <charset val="238"/>
    </font>
    <font>
      <sz val="11"/>
      <color theme="1"/>
      <name val="Calibri"/>
      <family val="2"/>
      <charset val="238"/>
    </font>
    <font>
      <sz val="11"/>
      <name val="Bahnschrift Light SemiCondensed"/>
      <family val="2"/>
      <charset val="238"/>
    </font>
    <font>
      <sz val="14"/>
      <name val="Bahnschrift SemiBold SemiConden"/>
      <family val="2"/>
      <charset val="238"/>
    </font>
    <font>
      <sz val="12"/>
      <color rgb="FF000000"/>
      <name val="Bahnschrift SemiBold SemiConden"/>
      <family val="2"/>
      <charset val="238"/>
    </font>
    <font>
      <sz val="10"/>
      <color theme="1"/>
      <name val="Bahnschrift SemiLight SemiConde"/>
      <family val="2"/>
      <charset val="238"/>
    </font>
    <font>
      <sz val="10"/>
      <name val="Barlow Semi Condensed SemiBold"/>
      <family val="3"/>
    </font>
    <font>
      <sz val="10"/>
      <name val="Barlow Semi Condensed"/>
      <family val="3"/>
    </font>
    <font>
      <sz val="10"/>
      <color rgb="FF000000"/>
      <name val="Barlow Semi Condensed"/>
      <family val="3"/>
    </font>
    <font>
      <b/>
      <sz val="10"/>
      <color rgb="FF000000"/>
      <name val="Inter"/>
      <family val="2"/>
    </font>
    <font>
      <sz val="10"/>
      <color rgb="FF000000"/>
      <name val="Inter"/>
      <family val="2"/>
    </font>
    <font>
      <sz val="10"/>
      <name val="Inter Light"/>
      <family val="2"/>
      <charset val="238"/>
    </font>
    <font>
      <sz val="14"/>
      <name val="Inter Light"/>
      <family val="2"/>
      <charset val="238"/>
    </font>
    <font>
      <sz val="12"/>
      <name val="Inter Light"/>
      <family val="2"/>
      <charset val="238"/>
    </font>
    <font>
      <b/>
      <sz val="10"/>
      <name val="Inter Light"/>
      <family val="2"/>
      <charset val="238"/>
    </font>
    <font>
      <sz val="12"/>
      <color theme="1" tint="0.499984740745262"/>
      <name val="Inter Light"/>
      <family val="2"/>
      <charset val="238"/>
    </font>
    <font>
      <b/>
      <sz val="12"/>
      <name val="Inter Light"/>
      <family val="2"/>
      <charset val="238"/>
    </font>
    <font>
      <sz val="12"/>
      <color rgb="FF808080"/>
      <name val="Inter Light"/>
      <family val="2"/>
      <charset val="238"/>
    </font>
    <font>
      <sz val="10"/>
      <name val="Inter"/>
      <family val="2"/>
    </font>
    <font>
      <b/>
      <sz val="12"/>
      <name val="Inter"/>
      <family val="2"/>
      <charset val="238"/>
    </font>
    <font>
      <b/>
      <sz val="12"/>
      <color rgb="FF00B0F0"/>
      <name val="Inter"/>
      <family val="2"/>
      <charset val="238"/>
    </font>
    <font>
      <sz val="12"/>
      <name val="Inter"/>
      <family val="2"/>
      <charset val="238"/>
    </font>
    <font>
      <sz val="12"/>
      <name val="Inter Black"/>
      <family val="2"/>
      <charset val="238"/>
    </font>
    <font>
      <sz val="10"/>
      <color rgb="FF808080"/>
      <name val="Inter Light"/>
      <family val="2"/>
      <charset val="238"/>
    </font>
    <font>
      <sz val="12"/>
      <color rgb="FF00B0F0"/>
      <name val="Inter Black"/>
      <family val="2"/>
      <charset val="238"/>
    </font>
    <font>
      <sz val="12"/>
      <color rgb="FF00B0F0"/>
      <name val="Inter ExtraBold"/>
      <family val="2"/>
      <charset val="238"/>
    </font>
    <font>
      <sz val="14"/>
      <color rgb="FF00B0F0"/>
      <name val="Inter Black"/>
      <family val="2"/>
      <charset val="238"/>
    </font>
    <font>
      <sz val="14"/>
      <color rgb="FF00B0F0"/>
      <name val="Inter Light"/>
      <family val="2"/>
      <charset val="238"/>
    </font>
    <font>
      <sz val="10"/>
      <name val="Inter"/>
      <family val="2"/>
      <charset val="238"/>
    </font>
    <font>
      <sz val="10"/>
      <color rgb="FF000000"/>
      <name val="Inter Light"/>
      <family val="2"/>
      <charset val="238"/>
    </font>
    <font>
      <sz val="10"/>
      <color theme="1"/>
      <name val="Inter Light"/>
      <family val="2"/>
      <charset val="238"/>
    </font>
    <font>
      <sz val="12"/>
      <color rgb="FF000000"/>
      <name val="Inter Light"/>
      <family val="2"/>
      <charset val="238"/>
    </font>
    <font>
      <sz val="12"/>
      <color theme="1"/>
      <name val="Inter Light"/>
      <family val="2"/>
      <charset val="238"/>
    </font>
    <font>
      <sz val="11"/>
      <color rgb="FF231F20"/>
      <name val="Barlow Semi Condensed"/>
      <family val="3"/>
    </font>
    <font>
      <b/>
      <sz val="10"/>
      <name val="Inter"/>
      <family val="2"/>
      <charset val="238"/>
    </font>
    <font>
      <sz val="10"/>
      <color theme="0"/>
      <name val="Inter Light"/>
      <family val="2"/>
      <charset val="238"/>
    </font>
    <font>
      <b/>
      <sz val="10"/>
      <color theme="1"/>
      <name val="Inter"/>
      <family val="2"/>
      <charset val="238"/>
    </font>
    <font>
      <sz val="10"/>
      <color rgb="FF222222"/>
      <name val="Inter Light"/>
      <family val="2"/>
      <charset val="238"/>
    </font>
    <font>
      <b/>
      <sz val="10"/>
      <color theme="1"/>
      <name val="Inter Light"/>
      <family val="2"/>
      <charset val="238"/>
    </font>
    <font>
      <sz val="10"/>
      <color theme="1"/>
      <name val="Inter"/>
      <family val="2"/>
      <charset val="238"/>
      <scheme val="minor"/>
    </font>
    <font>
      <b/>
      <sz val="12"/>
      <color theme="1"/>
      <name val="Inter Light"/>
      <family val="2"/>
      <charset val="238"/>
    </font>
    <font>
      <i/>
      <sz val="10"/>
      <color rgb="FFFF0000"/>
      <name val="Inter"/>
      <family val="2"/>
      <charset val="238"/>
    </font>
    <font>
      <sz val="10"/>
      <color theme="1"/>
      <name val="Inter"/>
      <family val="2"/>
      <charset val="238"/>
    </font>
    <font>
      <i/>
      <sz val="10"/>
      <name val="Inter"/>
      <family val="2"/>
      <charset val="238"/>
    </font>
    <font>
      <i/>
      <sz val="10"/>
      <name val="Inter Light"/>
      <family val="2"/>
      <charset val="238"/>
    </font>
    <font>
      <b/>
      <sz val="12"/>
      <color theme="1"/>
      <name val="Inter"/>
      <family val="2"/>
      <charset val="238"/>
    </font>
    <font>
      <b/>
      <sz val="10"/>
      <color rgb="FF00B0F0"/>
      <name val="Inter"/>
      <family val="2"/>
      <charset val="238"/>
    </font>
    <font>
      <b/>
      <sz val="12"/>
      <color rgb="FF000000"/>
      <name val="Inter"/>
      <family val="2"/>
      <charset val="238"/>
    </font>
    <font>
      <vertAlign val="superscript"/>
      <sz val="10"/>
      <name val="Inter Light"/>
      <family val="2"/>
      <charset val="238"/>
    </font>
    <font>
      <sz val="12"/>
      <color rgb="FF00B0F0"/>
      <name val="Inter Light"/>
      <family val="2"/>
      <charset val="238"/>
    </font>
    <font>
      <b/>
      <sz val="14"/>
      <name val="Inter"/>
      <family val="2"/>
      <charset val="238"/>
    </font>
    <font>
      <sz val="12"/>
      <name val="Barlow Semi Condensed"/>
      <family val="3"/>
    </font>
    <font>
      <sz val="10"/>
      <name val="Inter SemiBold"/>
      <family val="2"/>
      <charset val="238"/>
    </font>
    <font>
      <b/>
      <sz val="10"/>
      <name val="Inter"/>
      <family val="2"/>
    </font>
    <font>
      <sz val="10"/>
      <name val="Inter Light"/>
      <family val="2"/>
    </font>
    <font>
      <sz val="12"/>
      <color rgb="FF00B0F0"/>
      <name val="Inter"/>
      <family val="2"/>
      <charset val="238"/>
    </font>
    <font>
      <sz val="10"/>
      <name val="Arial"/>
      <family val="2"/>
    </font>
    <font>
      <sz val="10"/>
      <color rgb="FF221F1F"/>
      <name val="Inter"/>
      <family val="2"/>
    </font>
    <font>
      <sz val="8"/>
      <name val="Arial"/>
      <family val="2"/>
    </font>
    <font>
      <sz val="11"/>
      <name val="Calibri"/>
      <family val="2"/>
    </font>
    <font>
      <sz val="7"/>
      <name val="Arial"/>
      <family val="2"/>
    </font>
    <font>
      <b/>
      <sz val="7"/>
      <name val="Arial"/>
      <family val="2"/>
    </font>
    <font>
      <i/>
      <sz val="7"/>
      <name val="Arial"/>
      <family val="2"/>
    </font>
    <font>
      <vertAlign val="superscript"/>
      <sz val="10"/>
      <color rgb="FF000000"/>
      <name val="Inter"/>
      <family val="2"/>
    </font>
    <font>
      <sz val="10"/>
      <name val="Inter Medium"/>
      <family val="2"/>
    </font>
    <font>
      <i/>
      <sz val="10"/>
      <name val="Inter Light"/>
      <family val="2"/>
    </font>
    <font>
      <sz val="10"/>
      <color rgb="FFFF0000"/>
      <name val="Inter"/>
      <family val="2"/>
    </font>
    <font>
      <b/>
      <sz val="12"/>
      <name val="Inter"/>
      <family val="2"/>
    </font>
    <font>
      <sz val="7.5"/>
      <color theme="1"/>
      <name val="Inter"/>
      <family val="2"/>
    </font>
    <font>
      <b/>
      <sz val="10"/>
      <color rgb="FF221F1F"/>
      <name val="Inter"/>
      <family val="2"/>
    </font>
    <font>
      <sz val="12"/>
      <color rgb="FF00B0F0"/>
      <name val="Inter Medium"/>
      <family val="2"/>
    </font>
    <font>
      <sz val="12"/>
      <name val="Inter Medium"/>
      <family val="2"/>
    </font>
    <font>
      <b/>
      <sz val="10"/>
      <color rgb="FF00B0F0"/>
      <name val="Inter Medium"/>
      <family val="2"/>
    </font>
    <font>
      <sz val="10"/>
      <color rgb="FF00B0F0"/>
      <name val="Inter"/>
      <family val="2"/>
    </font>
    <font>
      <sz val="10"/>
      <color theme="0"/>
      <name val="Inter"/>
      <family val="2"/>
    </font>
    <font>
      <sz val="10"/>
      <color theme="0"/>
      <name val="Inter Light"/>
      <family val="2"/>
    </font>
    <font>
      <sz val="8"/>
      <name val="Inter Light"/>
      <family val="2"/>
      <charset val="238"/>
    </font>
    <font>
      <sz val="9"/>
      <name val="Inter Light"/>
      <family val="2"/>
      <charset val="238"/>
    </font>
    <font>
      <b/>
      <sz val="9"/>
      <name val="Inter"/>
      <family val="2"/>
      <charset val="238"/>
    </font>
    <font>
      <sz val="9"/>
      <name val="Inter"/>
      <family val="2"/>
    </font>
    <font>
      <b/>
      <sz val="9"/>
      <name val="Inter"/>
      <family val="2"/>
    </font>
    <font>
      <sz val="9"/>
      <name val="Barlow Semi Condensed"/>
      <family val="3"/>
    </font>
    <font>
      <sz val="9"/>
      <name val="Inter"/>
      <family val="2"/>
      <charset val="238"/>
    </font>
    <font>
      <b/>
      <sz val="9"/>
      <name val="Inter Light"/>
      <family val="2"/>
      <charset val="238"/>
    </font>
    <font>
      <b/>
      <sz val="9"/>
      <color rgb="FF00B0F0"/>
      <name val="Inter"/>
      <family val="2"/>
      <charset val="238"/>
    </font>
    <font>
      <sz val="9"/>
      <color rgb="FF00B0F0"/>
      <name val="Inter"/>
      <family val="2"/>
      <charset val="238"/>
    </font>
    <font>
      <sz val="9"/>
      <color rgb="FF00B0F0"/>
      <name val="Inter Light"/>
      <family val="2"/>
      <charset val="238"/>
    </font>
    <font>
      <sz val="9"/>
      <color rgb="FF00B0F0"/>
      <name val="Inter Medium"/>
      <family val="2"/>
    </font>
    <font>
      <b/>
      <sz val="9"/>
      <color rgb="FF00B0F0"/>
      <name val="Inter"/>
      <family val="2"/>
    </font>
    <font>
      <sz val="9"/>
      <color rgb="FF00B0F0"/>
      <name val="Inter"/>
      <family val="2"/>
    </font>
    <font>
      <i/>
      <sz val="9"/>
      <name val="Inter"/>
      <family val="2"/>
    </font>
    <font>
      <i/>
      <sz val="10"/>
      <name val="Inter"/>
      <family val="2"/>
    </font>
    <font>
      <sz val="9"/>
      <name val="Inter SemiBold"/>
      <family val="2"/>
    </font>
    <font>
      <vertAlign val="superscript"/>
      <sz val="10"/>
      <name val="Inter"/>
      <family val="2"/>
    </font>
    <font>
      <sz val="8"/>
      <color rgb="FF000000"/>
      <name val="Inter Light"/>
      <family val="2"/>
      <charset val="238"/>
    </font>
    <font>
      <sz val="8"/>
      <name val="Inter"/>
      <family val="2"/>
      <charset val="238"/>
    </font>
    <font>
      <vertAlign val="superscript"/>
      <sz val="8"/>
      <name val="Inter Light"/>
      <family val="2"/>
      <charset val="238"/>
    </font>
    <font>
      <sz val="9"/>
      <color rgb="FF00B0F0"/>
      <name val="Inter SemiBold"/>
      <family val="2"/>
    </font>
    <font>
      <b/>
      <sz val="8"/>
      <name val="Inter Light"/>
      <family val="2"/>
      <charset val="238"/>
    </font>
    <font>
      <i/>
      <sz val="8"/>
      <name val="Inter Light"/>
      <family val="2"/>
      <charset val="238"/>
    </font>
    <font>
      <sz val="10"/>
      <color rgb="FF000000"/>
      <name val="Inter Light"/>
      <family val="2"/>
    </font>
    <font>
      <b/>
      <i/>
      <sz val="10"/>
      <color rgb="FF00B0F0"/>
      <name val="Inter"/>
      <family val="2"/>
      <charset val="238"/>
    </font>
    <font>
      <i/>
      <vertAlign val="superscript"/>
      <sz val="8"/>
      <name val="Inter Light"/>
      <family val="2"/>
      <charset val="238"/>
    </font>
    <font>
      <i/>
      <sz val="8"/>
      <name val="Inter"/>
      <family val="2"/>
      <charset val="238"/>
    </font>
    <font>
      <b/>
      <i/>
      <sz val="8"/>
      <name val="Inter Light"/>
      <family val="2"/>
      <charset val="238"/>
    </font>
    <font>
      <i/>
      <sz val="8"/>
      <name val="Inter Medium"/>
      <family val="2"/>
      <charset val="238"/>
    </font>
    <font>
      <sz val="12"/>
      <name val="Inter Light"/>
      <family val="2"/>
    </font>
    <font>
      <vertAlign val="superscript"/>
      <sz val="10"/>
      <name val="Inter Light"/>
      <family val="2"/>
    </font>
    <font>
      <i/>
      <sz val="8"/>
      <name val="Inter Light"/>
      <family val="2"/>
    </font>
    <font>
      <sz val="8"/>
      <name val="Inter Light"/>
      <family val="2"/>
    </font>
    <font>
      <i/>
      <vertAlign val="superscript"/>
      <sz val="8"/>
      <name val="Inter Light"/>
      <family val="2"/>
    </font>
    <font>
      <sz val="10"/>
      <color rgb="FF00B0F0"/>
      <name val="Inter Light"/>
      <family val="2"/>
      <charset val="238"/>
    </font>
    <font>
      <i/>
      <sz val="8"/>
      <color rgb="FF000000"/>
      <name val="Inter Light"/>
      <family val="2"/>
    </font>
    <font>
      <b/>
      <i/>
      <sz val="8"/>
      <name val="Inter Light"/>
      <family val="2"/>
    </font>
    <font>
      <i/>
      <sz val="8"/>
      <name val="Inter Medium"/>
      <family val="2"/>
    </font>
    <font>
      <sz val="8"/>
      <name val="Inter"/>
      <family val="2"/>
    </font>
    <font>
      <vertAlign val="superscript"/>
      <sz val="8"/>
      <name val="Inter"/>
      <family val="2"/>
    </font>
    <font>
      <sz val="10"/>
      <name val="Inter"/>
      <family val="2"/>
      <scheme val="minor"/>
    </font>
    <font>
      <i/>
      <sz val="9"/>
      <name val="Inter ExtraLight"/>
      <family val="2"/>
    </font>
    <font>
      <sz val="10"/>
      <color rgb="FFCCECFF"/>
      <name val="Inter"/>
      <family val="2"/>
    </font>
    <font>
      <i/>
      <sz val="10"/>
      <name val="Inter ExtraLight"/>
      <family val="2"/>
    </font>
    <font>
      <sz val="10"/>
      <color rgb="FFCCECFF"/>
      <name val="Inter ExtraLight"/>
      <family val="2"/>
    </font>
    <font>
      <sz val="9"/>
      <color theme="0"/>
      <name val="Inter SemiBold"/>
      <family val="2"/>
      <charset val="238"/>
    </font>
    <font>
      <sz val="9"/>
      <color theme="0"/>
      <name val="Inter"/>
      <family val="2"/>
      <charset val="238"/>
    </font>
    <font>
      <i/>
      <sz val="9"/>
      <color theme="0"/>
      <name val="Inter"/>
      <family val="2"/>
      <charset val="238"/>
    </font>
    <font>
      <b/>
      <sz val="11"/>
      <color theme="1"/>
      <name val="Inter"/>
      <family val="2"/>
      <charset val="238"/>
    </font>
    <font>
      <b/>
      <sz val="11"/>
      <name val="Inter"/>
      <family val="2"/>
      <charset val="238"/>
    </font>
    <font>
      <b/>
      <sz val="11"/>
      <color theme="0"/>
      <name val="Inter"/>
      <family val="2"/>
      <charset val="238"/>
    </font>
    <font>
      <b/>
      <sz val="11"/>
      <color rgb="FF00B0F0"/>
      <name val="Inter"/>
      <family val="2"/>
      <charset val="238"/>
    </font>
    <font>
      <sz val="11"/>
      <name val="Barlow Semi Condensed"/>
      <family val="3"/>
      <charset val="238"/>
    </font>
    <font>
      <sz val="9"/>
      <name val="Inter ExtraLight"/>
      <family val="2"/>
    </font>
    <font>
      <sz val="9"/>
      <name val="Inter Light"/>
      <family val="2"/>
    </font>
    <font>
      <sz val="10"/>
      <color rgb="FFCCECFF"/>
      <name val="Inter Light"/>
      <family val="2"/>
      <charset val="238"/>
    </font>
    <font>
      <b/>
      <sz val="20"/>
      <color rgb="FF00B0F0"/>
      <name val="Vectrex"/>
    </font>
    <font>
      <sz val="9"/>
      <color rgb="FFCCECFF"/>
      <name val="Inter SemiBold"/>
      <family val="2"/>
      <charset val="238"/>
    </font>
    <font>
      <sz val="9"/>
      <color rgb="FFCCECFF"/>
      <name val="Inter"/>
      <family val="2"/>
      <charset val="238"/>
    </font>
    <font>
      <sz val="10"/>
      <name val="Inter ExtraLight"/>
      <family val="2"/>
    </font>
    <font>
      <sz val="10"/>
      <name val="Barlow Semi Condensed"/>
      <family val="3"/>
    </font>
    <font>
      <sz val="10"/>
      <color rgb="FF00B0F0"/>
      <name val="Inter Light"/>
      <family val="2"/>
    </font>
    <font>
      <b/>
      <sz val="8"/>
      <name val="Inter Light"/>
      <family val="2"/>
    </font>
    <font>
      <vertAlign val="superscript"/>
      <sz val="8"/>
      <name val="Inter Light"/>
      <family val="2"/>
    </font>
    <font>
      <sz val="10"/>
      <name val="Inter SemiBold"/>
      <family val="2"/>
    </font>
    <font>
      <vertAlign val="superscript"/>
      <sz val="10"/>
      <name val="Inter SemiBold"/>
      <family val="2"/>
    </font>
    <font>
      <u/>
      <sz val="10"/>
      <color theme="10"/>
      <name val="Arial"/>
      <family val="2"/>
    </font>
    <font>
      <b/>
      <sz val="10"/>
      <color rgb="FF00B0F0"/>
      <name val="Inter"/>
      <family val="2"/>
      <scheme val="minor"/>
    </font>
    <font>
      <b/>
      <sz val="8"/>
      <color theme="1"/>
      <name val="Inter"/>
      <family val="2"/>
      <charset val="238"/>
    </font>
    <font>
      <sz val="8"/>
      <name val="Inter Black"/>
      <family val="2"/>
      <charset val="238"/>
    </font>
    <font>
      <sz val="8"/>
      <name val="Inter SemiBold"/>
      <family val="2"/>
      <charset val="238"/>
    </font>
    <font>
      <sz val="8"/>
      <color theme="1"/>
      <name val="Inter Black"/>
      <family val="2"/>
      <charset val="238"/>
    </font>
    <font>
      <sz val="8"/>
      <name val="Barlow Semi Condensed"/>
      <family val="3"/>
      <charset val="238"/>
    </font>
    <font>
      <sz val="8"/>
      <color rgb="FF00B0F0"/>
      <name val="Inter"/>
      <family val="2"/>
    </font>
    <font>
      <sz val="8"/>
      <color theme="0" tint="-0.499984740745262"/>
      <name val="Inter"/>
      <family val="2"/>
      <charset val="238"/>
    </font>
    <font>
      <b/>
      <sz val="8"/>
      <name val="Inter"/>
      <family val="2"/>
      <charset val="238"/>
    </font>
    <font>
      <sz val="8"/>
      <name val="Barlow Semi Condensed"/>
      <family val="3"/>
    </font>
    <font>
      <sz val="8"/>
      <color rgb="FF00B0F0"/>
      <name val="Vectrex"/>
    </font>
    <font>
      <sz val="10"/>
      <color theme="0" tint="-0.499984740745262"/>
      <name val="Inter Light"/>
      <family val="2"/>
      <charset val="238"/>
    </font>
    <font>
      <sz val="10"/>
      <color theme="0" tint="-0.499984740745262"/>
      <name val="Barlow Semi Condensed"/>
      <family val="3"/>
    </font>
    <font>
      <sz val="10"/>
      <color theme="0" tint="-0.499984740745262"/>
      <name val="Inter Light"/>
      <family val="2"/>
    </font>
    <font>
      <sz val="9"/>
      <color rgb="FF00B0F0"/>
      <name val="Inter Light"/>
      <family val="2"/>
    </font>
    <font>
      <sz val="9"/>
      <name val="Inter Thin"/>
      <family val="2"/>
    </font>
    <font>
      <sz val="10"/>
      <name val="Inter Thin"/>
      <family val="2"/>
    </font>
    <font>
      <i/>
      <sz val="9"/>
      <name val="Inter Thin"/>
      <family val="2"/>
    </font>
    <font>
      <i/>
      <sz val="10"/>
      <name val="Inter Thin"/>
      <family val="2"/>
    </font>
    <font>
      <sz val="10"/>
      <color theme="8" tint="0.39997558519241921"/>
      <name val="Inter Light"/>
      <family val="2"/>
      <charset val="238"/>
    </font>
    <font>
      <sz val="10"/>
      <color theme="8" tint="0.39997558519241921"/>
      <name val="Inter Light"/>
      <family val="2"/>
    </font>
    <font>
      <sz val="10"/>
      <name val="Barlow Semi Condensed"/>
      <family val="3"/>
      <charset val="238"/>
    </font>
    <font>
      <sz val="10"/>
      <color theme="0" tint="-0.499984740745262"/>
      <name val="Barlow Semi Condensed"/>
      <family val="3"/>
      <charset val="238"/>
    </font>
    <font>
      <i/>
      <sz val="10"/>
      <color theme="0" tint="-0.499984740745262"/>
      <name val="Barlow Semi Condensed"/>
      <family val="3"/>
      <charset val="238"/>
    </font>
    <font>
      <sz val="9"/>
      <name val="Inter Medium"/>
      <family val="2"/>
      <charset val="238"/>
    </font>
    <font>
      <i/>
      <sz val="9"/>
      <name val="Inter Light"/>
      <family val="2"/>
    </font>
    <font>
      <i/>
      <sz val="9"/>
      <color theme="0"/>
      <name val="Inter Light"/>
      <family val="2"/>
    </font>
    <font>
      <i/>
      <sz val="9"/>
      <color rgb="FF00B0F0"/>
      <name val="Inter Light"/>
      <family val="2"/>
    </font>
    <font>
      <sz val="9"/>
      <color rgb="FFCCECFF"/>
      <name val="Inter Light"/>
      <family val="2"/>
    </font>
    <font>
      <sz val="9"/>
      <color theme="0" tint="-0.499984740745262"/>
      <name val="Inter Light"/>
      <family val="2"/>
    </font>
    <font>
      <sz val="9"/>
      <color rgb="FF5BD4FF"/>
      <name val="Inter Light"/>
      <family val="2"/>
    </font>
    <font>
      <sz val="9"/>
      <color theme="1" tint="0.499984740745262"/>
      <name val="Inter Light"/>
      <family val="2"/>
      <charset val="238"/>
    </font>
    <font>
      <sz val="9"/>
      <color theme="1" tint="0.499984740745262"/>
      <name val="Inter ExtraLight"/>
      <family val="2"/>
      <charset val="238"/>
    </font>
    <font>
      <i/>
      <sz val="9"/>
      <color theme="1" tint="0.499984740745262"/>
      <name val="Inter ExtraLight"/>
      <family val="2"/>
      <charset val="238"/>
    </font>
    <font>
      <sz val="9"/>
      <color theme="1" tint="0.499984740745262"/>
      <name val="Inter"/>
      <family val="2"/>
      <charset val="238"/>
    </font>
    <font>
      <sz val="9"/>
      <color theme="1" tint="0.499984740745262"/>
      <name val="Inter Light"/>
      <family val="2"/>
    </font>
    <font>
      <sz val="9"/>
      <color rgb="FF5BD4FF"/>
      <name val="Inter"/>
      <family val="2"/>
      <charset val="238"/>
    </font>
    <font>
      <i/>
      <sz val="9"/>
      <color rgb="FF5BD4FF"/>
      <name val="Inter ExtraLight"/>
      <family val="2"/>
      <charset val="238"/>
    </font>
    <font>
      <sz val="9"/>
      <color rgb="FF5BD4FF"/>
      <name val="Inter Light"/>
      <family val="2"/>
      <charset val="238"/>
    </font>
    <font>
      <sz val="9"/>
      <color theme="0"/>
      <name val="Inter Light"/>
      <family val="2"/>
    </font>
    <font>
      <sz val="9"/>
      <color theme="0"/>
      <name val="Inter ExtraLight"/>
      <family val="2"/>
    </font>
    <font>
      <i/>
      <sz val="9"/>
      <color theme="0"/>
      <name val="Inter ExtraLight"/>
      <family val="2"/>
    </font>
    <font>
      <sz val="9"/>
      <color rgb="FF5BD4FF"/>
      <name val="Inter ExtraLight"/>
      <family val="2"/>
    </font>
    <font>
      <i/>
      <sz val="9"/>
      <color rgb="FF5BD4FF"/>
      <name val="Inter ExtraLight"/>
      <family val="2"/>
    </font>
    <font>
      <i/>
      <sz val="9"/>
      <color rgb="FF00B0F0"/>
      <name val="Inter"/>
      <family val="2"/>
    </font>
    <font>
      <i/>
      <sz val="10"/>
      <color rgb="FFCCECFF"/>
      <name val="Inter Light"/>
      <family val="2"/>
    </font>
    <font>
      <b/>
      <sz val="18"/>
      <color rgb="FF00B0F0"/>
      <name val="Vectrex"/>
    </font>
    <font>
      <sz val="10"/>
      <color rgb="FF000000"/>
      <name val="Inter Medium"/>
      <family val="2"/>
    </font>
    <font>
      <sz val="10"/>
      <name val="Inter"/>
      <family val="2"/>
      <charset val="238"/>
      <scheme val="minor"/>
    </font>
    <font>
      <sz val="8"/>
      <name val="Arial"/>
      <family val="2"/>
      <charset val="238"/>
    </font>
    <font>
      <sz val="10"/>
      <name val="Inter Medium"/>
      <family val="2"/>
      <charset val="238"/>
    </font>
    <font>
      <sz val="8"/>
      <color rgb="FF000000"/>
      <name val="Segoe UI"/>
      <family val="2"/>
      <charset val="238"/>
    </font>
  </fonts>
  <fills count="14">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rgb="FFCC0099"/>
        <bgColor indexed="64"/>
      </patternFill>
    </fill>
    <fill>
      <patternFill patternType="solid">
        <fgColor rgb="FFFFC000"/>
        <bgColor indexed="64"/>
      </patternFill>
    </fill>
    <fill>
      <patternFill patternType="solid">
        <fgColor rgb="FFC00000"/>
        <bgColor indexed="64"/>
      </patternFill>
    </fill>
    <fill>
      <patternFill patternType="solid">
        <fgColor rgb="FF0070C0"/>
        <bgColor indexed="64"/>
      </patternFill>
    </fill>
    <fill>
      <patternFill patternType="solid">
        <fgColor rgb="FF009999"/>
        <bgColor indexed="64"/>
      </patternFill>
    </fill>
    <fill>
      <patternFill patternType="solid">
        <fgColor rgb="FF00CC00"/>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CCECFF"/>
        <bgColor indexed="64"/>
      </patternFill>
    </fill>
  </fills>
  <borders count="31">
    <border>
      <left/>
      <right/>
      <top/>
      <bottom/>
      <diagonal/>
    </border>
    <border>
      <left/>
      <right/>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right/>
      <top/>
      <bottom style="medium">
        <color indexed="64"/>
      </bottom>
      <diagonal/>
    </border>
    <border>
      <left/>
      <right/>
      <top style="thin">
        <color indexed="64"/>
      </top>
      <bottom style="dashed">
        <color indexed="64"/>
      </bottom>
      <diagonal/>
    </border>
    <border>
      <left/>
      <right/>
      <top style="hair">
        <color indexed="64"/>
      </top>
      <bottom style="dashed">
        <color indexed="64"/>
      </bottom>
      <diagonal/>
    </border>
    <border>
      <left/>
      <right/>
      <top style="dashed">
        <color indexed="64"/>
      </top>
      <bottom style="dashed">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top style="dashed">
        <color indexed="64"/>
      </top>
      <bottom style="hair">
        <color indexed="64"/>
      </bottom>
      <diagonal/>
    </border>
    <border>
      <left/>
      <right/>
      <top/>
      <bottom style="dashed">
        <color indexed="64"/>
      </bottom>
      <diagonal/>
    </border>
    <border>
      <left/>
      <right/>
      <top style="hair">
        <color rgb="FF221F1F"/>
      </top>
      <bottom style="hair">
        <color rgb="FF221F1F"/>
      </bottom>
      <diagonal/>
    </border>
    <border>
      <left/>
      <right/>
      <top/>
      <bottom style="hair">
        <color rgb="FF221F1F"/>
      </bottom>
      <diagonal/>
    </border>
    <border>
      <left/>
      <right/>
      <top style="thin">
        <color rgb="FF221F1F"/>
      </top>
      <bottom style="hair">
        <color rgb="FF221F1F"/>
      </bottom>
      <diagonal/>
    </border>
    <border>
      <left/>
      <right/>
      <top style="dashed">
        <color indexed="64"/>
      </top>
      <bottom/>
      <diagonal/>
    </border>
    <border>
      <left/>
      <right style="thick">
        <color theme="0"/>
      </right>
      <top style="thin">
        <color indexed="64"/>
      </top>
      <bottom style="hair">
        <color indexed="64"/>
      </bottom>
      <diagonal/>
    </border>
    <border>
      <left/>
      <right style="thick">
        <color theme="0"/>
      </right>
      <top style="hair">
        <color indexed="64"/>
      </top>
      <bottom style="hair">
        <color indexed="64"/>
      </bottom>
      <diagonal/>
    </border>
    <border>
      <left/>
      <right style="thick">
        <color theme="0"/>
      </right>
      <top style="hair">
        <color indexed="64"/>
      </top>
      <bottom style="thin">
        <color indexed="64"/>
      </bottom>
      <diagonal/>
    </border>
    <border>
      <left/>
      <right/>
      <top style="dotted">
        <color indexed="64"/>
      </top>
      <bottom style="dotted">
        <color indexed="64"/>
      </bottom>
      <diagonal/>
    </border>
    <border>
      <left/>
      <right/>
      <top/>
      <bottom style="dotted">
        <color indexed="64"/>
      </bottom>
      <diagonal/>
    </border>
    <border>
      <left/>
      <right/>
      <top style="dashed">
        <color indexed="64"/>
      </top>
      <bottom style="thin">
        <color indexed="64"/>
      </bottom>
      <diagonal/>
    </border>
    <border>
      <left/>
      <right/>
      <top style="hair">
        <color indexed="64"/>
      </top>
      <bottom style="medium">
        <color indexed="64"/>
      </bottom>
      <diagonal/>
    </border>
    <border>
      <left/>
      <right/>
      <top style="medium">
        <color auto="1"/>
      </top>
      <bottom/>
      <diagonal/>
    </border>
    <border>
      <left/>
      <right/>
      <top style="hair">
        <color rgb="FF221F1F"/>
      </top>
      <bottom style="thin">
        <color indexed="64"/>
      </bottom>
      <diagonal/>
    </border>
  </borders>
  <cellStyleXfs count="27">
    <xf numFmtId="0" fontId="0" fillId="0" borderId="0"/>
    <xf numFmtId="9" fontId="7" fillId="0" borderId="0" applyFont="0" applyFill="0" applyBorder="0" applyAlignment="0" applyProtection="0"/>
    <xf numFmtId="164" fontId="8" fillId="0" borderId="0" applyFont="0" applyFill="0" applyBorder="0" applyAlignment="0" applyProtection="0"/>
    <xf numFmtId="0" fontId="6" fillId="0" borderId="0"/>
    <xf numFmtId="0" fontId="6" fillId="0" borderId="0"/>
    <xf numFmtId="0" fontId="9" fillId="0" borderId="0"/>
    <xf numFmtId="164" fontId="7" fillId="0" borderId="0" applyFont="0" applyFill="0" applyBorder="0" applyAlignment="0" applyProtection="0"/>
    <xf numFmtId="0" fontId="141" fillId="0" borderId="0" applyNumberFormat="0" applyBorder="0" applyAlignment="0">
      <alignment wrapText="1"/>
    </xf>
    <xf numFmtId="0" fontId="12" fillId="0" borderId="0">
      <alignment wrapText="1"/>
    </xf>
    <xf numFmtId="49" fontId="16" fillId="0" borderId="0" applyNumberFormat="0" applyFill="0" applyBorder="0" applyAlignment="0">
      <alignment vertical="top" wrapText="1"/>
    </xf>
    <xf numFmtId="0" fontId="11" fillId="2" borderId="0" applyBorder="0"/>
    <xf numFmtId="0" fontId="7" fillId="0" borderId="0"/>
    <xf numFmtId="0" fontId="34" fillId="0" borderId="0" applyNumberFormat="0" applyBorder="0" applyAlignment="0">
      <alignment vertical="center"/>
    </xf>
    <xf numFmtId="0" fontId="5" fillId="0" borderId="0"/>
    <xf numFmtId="9" fontId="5" fillId="0" borderId="0" applyFont="0" applyFill="0" applyBorder="0" applyAlignment="0" applyProtection="0"/>
    <xf numFmtId="0" fontId="4" fillId="0" borderId="0"/>
    <xf numFmtId="164" fontId="4" fillId="0" borderId="0" applyFont="0" applyFill="0" applyBorder="0" applyAlignment="0" applyProtection="0"/>
    <xf numFmtId="167" fontId="36" fillId="0" borderId="4">
      <alignment vertical="center"/>
    </xf>
    <xf numFmtId="167" fontId="14" fillId="0" borderId="5" applyNumberFormat="0" applyFill="0" applyBorder="0" applyAlignment="0">
      <alignment horizontal="left" vertical="center"/>
    </xf>
    <xf numFmtId="0" fontId="3" fillId="0" borderId="0"/>
    <xf numFmtId="0" fontId="3" fillId="0" borderId="0"/>
    <xf numFmtId="0" fontId="33" fillId="0" borderId="1" applyNumberFormat="0" applyFill="0" applyAlignment="0"/>
    <xf numFmtId="0" fontId="63" fillId="0" borderId="3" applyNumberFormat="0" applyFill="0" applyBorder="0" applyAlignment="0">
      <alignment vertical="center"/>
    </xf>
    <xf numFmtId="0" fontId="2" fillId="0" borderId="0"/>
    <xf numFmtId="0" fontId="64" fillId="0" borderId="0"/>
    <xf numFmtId="0" fontId="198" fillId="0" borderId="0" applyNumberFormat="0" applyBorder="0" applyAlignment="0">
      <alignment wrapText="1"/>
    </xf>
    <xf numFmtId="0" fontId="151" fillId="0" borderId="0" applyNumberFormat="0" applyFill="0" applyBorder="0" applyAlignment="0" applyProtection="0"/>
  </cellStyleXfs>
  <cellXfs count="1332">
    <xf numFmtId="0" fontId="0" fillId="0" borderId="0" xfId="0"/>
    <xf numFmtId="0" fontId="34" fillId="0" borderId="0" xfId="12" applyAlignment="1">
      <alignment vertical="center"/>
    </xf>
    <xf numFmtId="0" fontId="13" fillId="0" borderId="0" xfId="15" applyFont="1"/>
    <xf numFmtId="0" fontId="141" fillId="0" borderId="0" xfId="7" applyAlignment="1"/>
    <xf numFmtId="0" fontId="10" fillId="0" borderId="0" xfId="13" applyFont="1" applyAlignment="1">
      <alignment horizontal="left" vertical="top" wrapText="1"/>
    </xf>
    <xf numFmtId="0" fontId="141" fillId="0" borderId="0" xfId="7" applyAlignment="1">
      <alignment vertical="top"/>
    </xf>
    <xf numFmtId="0" fontId="141" fillId="0" borderId="0" xfId="7" applyAlignment="1">
      <alignment horizontal="left" vertical="top" wrapText="1"/>
    </xf>
    <xf numFmtId="0" fontId="16" fillId="0" borderId="0" xfId="9" applyNumberFormat="1" applyAlignment="1">
      <alignment horizontal="left" vertical="center" indent="3"/>
    </xf>
    <xf numFmtId="0" fontId="15" fillId="0" borderId="0" xfId="11" applyFont="1"/>
    <xf numFmtId="0" fontId="15" fillId="0" borderId="0" xfId="11" applyFont="1" applyAlignment="1">
      <alignment vertical="top"/>
    </xf>
    <xf numFmtId="0" fontId="15" fillId="0" borderId="0" xfId="11" applyFont="1" applyAlignment="1">
      <alignment horizontal="left"/>
    </xf>
    <xf numFmtId="9" fontId="15" fillId="0" borderId="0" xfId="1" applyFont="1"/>
    <xf numFmtId="0" fontId="19" fillId="0" borderId="0" xfId="0" applyFont="1"/>
    <xf numFmtId="0" fontId="20" fillId="0" borderId="0" xfId="0" applyFont="1"/>
    <xf numFmtId="0" fontId="21" fillId="0" borderId="0" xfId="0" applyFont="1"/>
    <xf numFmtId="0" fontId="21" fillId="0" borderId="0" xfId="0" applyFont="1" applyAlignment="1">
      <alignment horizontal="right" vertical="top" indent="1"/>
    </xf>
    <xf numFmtId="49" fontId="21" fillId="0" borderId="0" xfId="0" applyNumberFormat="1" applyFont="1" applyAlignment="1">
      <alignment horizontal="left" vertical="top"/>
    </xf>
    <xf numFmtId="3" fontId="19" fillId="0" borderId="0" xfId="0" applyNumberFormat="1" applyFont="1" applyAlignment="1">
      <alignment wrapText="1"/>
    </xf>
    <xf numFmtId="2" fontId="21" fillId="0" borderId="0" xfId="0" applyNumberFormat="1" applyFont="1"/>
    <xf numFmtId="3" fontId="21" fillId="0" borderId="0" xfId="0" applyNumberFormat="1" applyFont="1"/>
    <xf numFmtId="3" fontId="23" fillId="0" borderId="0" xfId="0" applyNumberFormat="1" applyFont="1"/>
    <xf numFmtId="2" fontId="23" fillId="0" borderId="0" xfId="0" applyNumberFormat="1" applyFont="1"/>
    <xf numFmtId="9" fontId="21" fillId="0" borderId="0" xfId="1" applyFont="1" applyProtection="1"/>
    <xf numFmtId="0" fontId="21" fillId="0" borderId="0" xfId="11" applyFont="1"/>
    <xf numFmtId="0" fontId="19" fillId="0" borderId="0" xfId="11" applyFont="1"/>
    <xf numFmtId="0" fontId="19" fillId="0" borderId="0" xfId="11" applyFont="1" applyAlignment="1">
      <alignment horizontal="left" vertical="top"/>
    </xf>
    <xf numFmtId="10" fontId="19" fillId="0" borderId="0" xfId="1" applyNumberFormat="1" applyFont="1" applyFill="1" applyBorder="1" applyAlignment="1" applyProtection="1">
      <alignment vertical="top"/>
    </xf>
    <xf numFmtId="0" fontId="25" fillId="0" borderId="0" xfId="11" applyFont="1" applyAlignment="1">
      <alignment horizontal="left"/>
    </xf>
    <xf numFmtId="0" fontId="19" fillId="0" borderId="0" xfId="11" applyFont="1" applyAlignment="1">
      <alignment horizontal="left"/>
    </xf>
    <xf numFmtId="9" fontId="19" fillId="0" borderId="0" xfId="1" applyFont="1"/>
    <xf numFmtId="0" fontId="19" fillId="0" borderId="0" xfId="0" applyFont="1" applyAlignment="1">
      <alignment vertical="center"/>
    </xf>
    <xf numFmtId="3" fontId="19" fillId="0" borderId="0" xfId="0" applyNumberFormat="1" applyFont="1" applyAlignment="1">
      <alignment vertical="center"/>
    </xf>
    <xf numFmtId="0" fontId="22" fillId="0" borderId="0" xfId="0" applyFont="1" applyAlignment="1">
      <alignment vertical="center"/>
    </xf>
    <xf numFmtId="3" fontId="22" fillId="0" borderId="0" xfId="0" applyNumberFormat="1" applyFont="1" applyAlignment="1">
      <alignment vertical="center"/>
    </xf>
    <xf numFmtId="0" fontId="19" fillId="0" borderId="0" xfId="0" applyFont="1" applyAlignment="1">
      <alignment horizontal="right" vertical="top" indent="1"/>
    </xf>
    <xf numFmtId="0" fontId="21" fillId="0" borderId="0" xfId="0" applyFont="1" applyAlignment="1">
      <alignment horizontal="left" vertical="center"/>
    </xf>
    <xf numFmtId="0" fontId="19" fillId="0" borderId="0" xfId="0" applyFont="1" applyAlignment="1">
      <alignment horizontal="right" vertical="center"/>
    </xf>
    <xf numFmtId="0" fontId="21" fillId="0" borderId="0" xfId="0" applyFont="1" applyAlignment="1">
      <alignment vertical="center"/>
    </xf>
    <xf numFmtId="0" fontId="21" fillId="0" borderId="3" xfId="0" applyFont="1" applyBorder="1" applyAlignment="1">
      <alignment vertical="center" wrapText="1"/>
    </xf>
    <xf numFmtId="0" fontId="21" fillId="0" borderId="0" xfId="0" applyFont="1" applyAlignment="1">
      <alignment vertical="center" wrapText="1"/>
    </xf>
    <xf numFmtId="0" fontId="21" fillId="0" borderId="4" xfId="0" applyFont="1" applyBorder="1" applyAlignment="1">
      <alignment vertical="center" wrapText="1"/>
    </xf>
    <xf numFmtId="0" fontId="21" fillId="0" borderId="4" xfId="0" applyFont="1" applyBorder="1" applyAlignment="1">
      <alignment vertical="center"/>
    </xf>
    <xf numFmtId="0" fontId="24" fillId="0" borderId="4" xfId="0" applyFont="1" applyBorder="1" applyAlignment="1">
      <alignment vertical="center"/>
    </xf>
    <xf numFmtId="0" fontId="21" fillId="0" borderId="4" xfId="0" applyFont="1" applyBorder="1" applyAlignment="1">
      <alignment horizontal="right" vertical="center"/>
    </xf>
    <xf numFmtId="3" fontId="21" fillId="0" borderId="0" xfId="0" applyNumberFormat="1" applyFont="1" applyAlignment="1">
      <alignment vertical="center"/>
    </xf>
    <xf numFmtId="0" fontId="24" fillId="0" borderId="0" xfId="0" applyFont="1" applyAlignment="1">
      <alignment vertical="center"/>
    </xf>
    <xf numFmtId="3" fontId="24" fillId="0" borderId="0" xfId="0" applyNumberFormat="1" applyFont="1" applyAlignment="1">
      <alignment vertical="center"/>
    </xf>
    <xf numFmtId="9" fontId="19" fillId="0" borderId="0" xfId="1" applyFont="1" applyFill="1" applyBorder="1" applyAlignment="1" applyProtection="1">
      <alignment vertical="center"/>
    </xf>
    <xf numFmtId="3" fontId="24" fillId="0" borderId="4" xfId="0" applyNumberFormat="1" applyFont="1" applyBorder="1" applyAlignment="1">
      <alignment vertical="center"/>
    </xf>
    <xf numFmtId="0" fontId="19" fillId="0" borderId="3" xfId="0" applyFont="1" applyBorder="1" applyAlignment="1">
      <alignment vertical="center"/>
    </xf>
    <xf numFmtId="0" fontId="19" fillId="0" borderId="4" xfId="0" applyFont="1" applyBorder="1" applyAlignment="1">
      <alignment vertical="center"/>
    </xf>
    <xf numFmtId="0" fontId="19" fillId="0" borderId="1" xfId="0" applyFont="1" applyBorder="1" applyAlignment="1">
      <alignment vertical="center"/>
    </xf>
    <xf numFmtId="9" fontId="19" fillId="0" borderId="1" xfId="1" applyFont="1" applyFill="1" applyBorder="1" applyAlignment="1" applyProtection="1">
      <alignment vertical="center"/>
    </xf>
    <xf numFmtId="3" fontId="22" fillId="0" borderId="1" xfId="0" applyNumberFormat="1" applyFont="1" applyBorder="1" applyAlignment="1">
      <alignment vertical="center"/>
    </xf>
    <xf numFmtId="0" fontId="21" fillId="0" borderId="2" xfId="0" applyFont="1" applyBorder="1" applyAlignment="1">
      <alignment vertical="center" wrapText="1"/>
    </xf>
    <xf numFmtId="0" fontId="28" fillId="0" borderId="0" xfId="0" applyFont="1" applyAlignment="1">
      <alignment vertical="center"/>
    </xf>
    <xf numFmtId="3" fontId="30" fillId="0" borderId="0" xfId="0" applyNumberFormat="1" applyFont="1" applyAlignment="1">
      <alignment vertical="center" wrapText="1"/>
    </xf>
    <xf numFmtId="14" fontId="21" fillId="0" borderId="4" xfId="0" applyNumberFormat="1" applyFont="1" applyBorder="1" applyAlignment="1">
      <alignment horizontal="left" vertical="center"/>
    </xf>
    <xf numFmtId="0" fontId="32" fillId="0" borderId="0" xfId="0" applyFont="1" applyAlignment="1">
      <alignment vertical="center"/>
    </xf>
    <xf numFmtId="0" fontId="33" fillId="0" borderId="0" xfId="10" applyFont="1" applyFill="1" applyBorder="1"/>
    <xf numFmtId="0" fontId="34" fillId="0" borderId="0" xfId="0" applyFont="1" applyAlignment="1">
      <alignment vertical="center"/>
    </xf>
    <xf numFmtId="0" fontId="21" fillId="0" borderId="7" xfId="0" applyFont="1" applyBorder="1" applyAlignment="1">
      <alignment vertical="center" wrapText="1"/>
    </xf>
    <xf numFmtId="0" fontId="20" fillId="0" borderId="9" xfId="0" applyFont="1" applyBorder="1"/>
    <xf numFmtId="0" fontId="21" fillId="0" borderId="9" xfId="0" applyFont="1" applyBorder="1" applyAlignment="1">
      <alignment vertical="center"/>
    </xf>
    <xf numFmtId="9" fontId="21" fillId="0" borderId="9" xfId="1" applyFont="1" applyFill="1" applyBorder="1" applyAlignment="1" applyProtection="1">
      <alignment vertical="center"/>
    </xf>
    <xf numFmtId="3" fontId="24" fillId="0" borderId="9" xfId="0" applyNumberFormat="1" applyFont="1" applyBorder="1" applyAlignment="1">
      <alignment vertical="center"/>
    </xf>
    <xf numFmtId="0" fontId="21" fillId="0" borderId="1" xfId="0" applyFont="1" applyBorder="1" applyAlignment="1">
      <alignment vertical="center"/>
    </xf>
    <xf numFmtId="9" fontId="21" fillId="0" borderId="1" xfId="1" applyFont="1" applyFill="1" applyBorder="1" applyAlignment="1" applyProtection="1">
      <alignment vertical="center"/>
    </xf>
    <xf numFmtId="3" fontId="21" fillId="0" borderId="1" xfId="0" applyNumberFormat="1" applyFont="1" applyBorder="1" applyAlignment="1">
      <alignment vertical="center"/>
    </xf>
    <xf numFmtId="3" fontId="24" fillId="0" borderId="1" xfId="0" applyNumberFormat="1" applyFont="1" applyBorder="1" applyAlignment="1">
      <alignment vertical="center"/>
    </xf>
    <xf numFmtId="0" fontId="35" fillId="0" borderId="0" xfId="0" applyFont="1" applyAlignment="1">
      <alignment vertical="center"/>
    </xf>
    <xf numFmtId="0" fontId="7" fillId="0" borderId="0" xfId="11"/>
    <xf numFmtId="0" fontId="21" fillId="0" borderId="0" xfId="0" applyFont="1" applyAlignment="1">
      <alignment horizontal="left"/>
    </xf>
    <xf numFmtId="0" fontId="36" fillId="0" borderId="0" xfId="0" applyFont="1"/>
    <xf numFmtId="167" fontId="36" fillId="0" borderId="0" xfId="17" applyBorder="1">
      <alignment vertical="center"/>
    </xf>
    <xf numFmtId="0" fontId="37" fillId="0" borderId="0" xfId="9" applyNumberFormat="1" applyFont="1" applyAlignment="1"/>
    <xf numFmtId="0" fontId="38" fillId="0" borderId="0" xfId="15" applyFont="1"/>
    <xf numFmtId="0" fontId="39" fillId="0" borderId="0" xfId="9" applyNumberFormat="1" applyFont="1" applyAlignment="1"/>
    <xf numFmtId="0" fontId="41" fillId="0" borderId="0" xfId="0" applyFont="1" applyAlignment="1">
      <alignment vertical="center"/>
    </xf>
    <xf numFmtId="167" fontId="42" fillId="0" borderId="0" xfId="17" applyFont="1" applyBorder="1">
      <alignment vertical="center"/>
    </xf>
    <xf numFmtId="167" fontId="36" fillId="0" borderId="4" xfId="17">
      <alignment vertical="center"/>
    </xf>
    <xf numFmtId="167" fontId="19" fillId="0" borderId="4" xfId="17" applyFont="1">
      <alignment vertical="center"/>
    </xf>
    <xf numFmtId="0" fontId="19" fillId="0" borderId="4" xfId="0" applyFont="1" applyBorder="1" applyAlignment="1">
      <alignment horizontal="left" vertical="top" indent="1"/>
    </xf>
    <xf numFmtId="168" fontId="19" fillId="0" borderId="4" xfId="1" applyNumberFormat="1" applyFont="1" applyFill="1" applyBorder="1" applyAlignment="1" applyProtection="1">
      <alignment vertical="top"/>
    </xf>
    <xf numFmtId="3" fontId="19" fillId="0" borderId="4" xfId="0" applyNumberFormat="1" applyFont="1" applyBorder="1"/>
    <xf numFmtId="49" fontId="19" fillId="0" borderId="4" xfId="0" applyNumberFormat="1" applyFont="1" applyBorder="1" applyAlignment="1">
      <alignment horizontal="left" vertical="top" indent="1"/>
    </xf>
    <xf numFmtId="49" fontId="19" fillId="0" borderId="4" xfId="11" applyNumberFormat="1" applyFont="1" applyBorder="1" applyAlignment="1">
      <alignment horizontal="left" vertical="top" indent="1"/>
    </xf>
    <xf numFmtId="3" fontId="19" fillId="0" borderId="6" xfId="11" applyNumberFormat="1" applyFont="1" applyBorder="1" applyAlignment="1">
      <alignment vertical="top"/>
    </xf>
    <xf numFmtId="3" fontId="19" fillId="0" borderId="6" xfId="0" applyNumberFormat="1" applyFont="1" applyBorder="1"/>
    <xf numFmtId="0" fontId="19" fillId="0" borderId="2" xfId="11" applyFont="1" applyBorder="1" applyAlignment="1">
      <alignment horizontal="left" vertical="top"/>
    </xf>
    <xf numFmtId="0" fontId="19" fillId="0" borderId="2" xfId="11" applyFont="1" applyBorder="1" applyAlignment="1">
      <alignment vertical="top"/>
    </xf>
    <xf numFmtId="168" fontId="19" fillId="0" borderId="2" xfId="1" applyNumberFormat="1" applyFont="1" applyFill="1" applyBorder="1" applyAlignment="1" applyProtection="1">
      <alignment vertical="top"/>
    </xf>
    <xf numFmtId="3" fontId="19" fillId="0" borderId="4" xfId="11" applyNumberFormat="1" applyFont="1" applyBorder="1" applyAlignment="1">
      <alignment vertical="top"/>
    </xf>
    <xf numFmtId="0" fontId="19" fillId="0" borderId="4" xfId="0" applyFont="1" applyBorder="1" applyAlignment="1">
      <alignment vertical="top"/>
    </xf>
    <xf numFmtId="0" fontId="19" fillId="0" borderId="4" xfId="0" applyFont="1" applyBorder="1" applyAlignment="1">
      <alignment horizontal="left" vertical="top"/>
    </xf>
    <xf numFmtId="0" fontId="19" fillId="0" borderId="4" xfId="11" applyFont="1" applyBorder="1" applyAlignment="1">
      <alignment horizontal="left" vertical="top"/>
    </xf>
    <xf numFmtId="168" fontId="19" fillId="0" borderId="4" xfId="1" applyNumberFormat="1" applyFont="1" applyFill="1" applyBorder="1" applyAlignment="1" applyProtection="1">
      <alignment horizontal="right" vertical="top"/>
    </xf>
    <xf numFmtId="0" fontId="19" fillId="0" borderId="4" xfId="11" applyFont="1" applyBorder="1" applyAlignment="1">
      <alignment vertical="top"/>
    </xf>
    <xf numFmtId="49" fontId="44" fillId="5" borderId="3" xfId="0" applyNumberFormat="1" applyFont="1" applyFill="1" applyBorder="1" applyAlignment="1">
      <alignment horizontal="left" vertical="top"/>
    </xf>
    <xf numFmtId="0" fontId="44" fillId="0" borderId="3" xfId="0" applyFont="1" applyBorder="1" applyAlignment="1">
      <alignment vertical="top"/>
    </xf>
    <xf numFmtId="168" fontId="42" fillId="0" borderId="3" xfId="1" applyNumberFormat="1" applyFont="1" applyFill="1" applyBorder="1" applyAlignment="1" applyProtection="1">
      <alignment horizontal="right" vertical="top"/>
    </xf>
    <xf numFmtId="3" fontId="42" fillId="0" borderId="3" xfId="0" applyNumberFormat="1" applyFont="1" applyBorder="1"/>
    <xf numFmtId="0" fontId="19" fillId="0" borderId="1" xfId="11" applyFont="1" applyBorder="1" applyAlignment="1">
      <alignment horizontal="left"/>
    </xf>
    <xf numFmtId="0" fontId="19" fillId="0" borderId="1" xfId="11" applyFont="1" applyBorder="1"/>
    <xf numFmtId="9" fontId="19" fillId="0" borderId="1" xfId="1" applyFont="1" applyBorder="1" applyProtection="1"/>
    <xf numFmtId="0" fontId="19" fillId="0" borderId="1" xfId="11" applyFont="1" applyBorder="1" applyAlignment="1">
      <alignment wrapText="1"/>
    </xf>
    <xf numFmtId="49" fontId="44" fillId="3" borderId="3" xfId="0" applyNumberFormat="1" applyFont="1" applyFill="1" applyBorder="1" applyAlignment="1">
      <alignment horizontal="left" vertical="top"/>
    </xf>
    <xf numFmtId="0" fontId="19" fillId="0" borderId="6" xfId="0" applyFont="1" applyBorder="1" applyAlignment="1">
      <alignment horizontal="left" vertical="top" indent="1"/>
    </xf>
    <xf numFmtId="0" fontId="19" fillId="0" borderId="6" xfId="0" applyFont="1" applyBorder="1" applyAlignment="1">
      <alignment horizontal="left" vertical="top"/>
    </xf>
    <xf numFmtId="168" fontId="19" fillId="0" borderId="6" xfId="1" applyNumberFormat="1" applyFont="1" applyFill="1" applyBorder="1" applyAlignment="1" applyProtection="1">
      <alignment vertical="top"/>
    </xf>
    <xf numFmtId="0" fontId="44" fillId="6" borderId="3" xfId="0" applyFont="1" applyFill="1" applyBorder="1" applyAlignment="1">
      <alignment horizontal="left" vertical="top"/>
    </xf>
    <xf numFmtId="49" fontId="19" fillId="0" borderId="6" xfId="0" applyNumberFormat="1" applyFont="1" applyBorder="1" applyAlignment="1">
      <alignment horizontal="left" vertical="top" indent="1"/>
    </xf>
    <xf numFmtId="0" fontId="19" fillId="0" borderId="6" xfId="0" applyFont="1" applyBorder="1" applyAlignment="1">
      <alignment vertical="top"/>
    </xf>
    <xf numFmtId="49" fontId="44" fillId="4" borderId="3" xfId="0" applyNumberFormat="1" applyFont="1" applyFill="1" applyBorder="1" applyAlignment="1">
      <alignment horizontal="left" vertical="top"/>
    </xf>
    <xf numFmtId="49" fontId="19" fillId="0" borderId="6" xfId="11" applyNumberFormat="1" applyFont="1" applyBorder="1" applyAlignment="1">
      <alignment horizontal="left" vertical="top" indent="1"/>
    </xf>
    <xf numFmtId="0" fontId="19" fillId="0" borderId="6" xfId="11" applyFont="1" applyBorder="1" applyAlignment="1">
      <alignment vertical="top"/>
    </xf>
    <xf numFmtId="168" fontId="19" fillId="0" borderId="6" xfId="1" applyNumberFormat="1" applyFont="1" applyFill="1" applyBorder="1" applyAlignment="1" applyProtection="1">
      <alignment horizontal="right" vertical="top"/>
    </xf>
    <xf numFmtId="0" fontId="44" fillId="7" borderId="3" xfId="0" applyFont="1" applyFill="1" applyBorder="1" applyAlignment="1">
      <alignment horizontal="left" vertical="top"/>
    </xf>
    <xf numFmtId="0" fontId="44" fillId="8" borderId="3" xfId="0" applyFont="1" applyFill="1" applyBorder="1" applyAlignment="1">
      <alignment horizontal="left" vertical="top"/>
    </xf>
    <xf numFmtId="0" fontId="44" fillId="9" borderId="3" xfId="0" applyFont="1" applyFill="1" applyBorder="1" applyAlignment="1">
      <alignment horizontal="left" vertical="top"/>
    </xf>
    <xf numFmtId="0" fontId="19" fillId="0" borderId="6" xfId="11" applyFont="1" applyBorder="1" applyAlignment="1">
      <alignment horizontal="left" vertical="top"/>
    </xf>
    <xf numFmtId="0" fontId="19" fillId="0" borderId="0" xfId="11" applyFont="1" applyAlignment="1">
      <alignment vertical="top"/>
    </xf>
    <xf numFmtId="10" fontId="19" fillId="0" borderId="0" xfId="1" applyNumberFormat="1" applyFont="1" applyBorder="1" applyProtection="1"/>
    <xf numFmtId="0" fontId="36" fillId="0" borderId="2" xfId="11" applyFont="1" applyBorder="1" applyAlignment="1">
      <alignment horizontal="left" vertical="top"/>
    </xf>
    <xf numFmtId="0" fontId="36" fillId="0" borderId="2" xfId="11" applyFont="1" applyBorder="1" applyAlignment="1">
      <alignment vertical="top"/>
    </xf>
    <xf numFmtId="168" fontId="36" fillId="0" borderId="2" xfId="1" applyNumberFormat="1" applyFont="1" applyFill="1" applyBorder="1" applyAlignment="1" applyProtection="1">
      <alignment vertical="top"/>
    </xf>
    <xf numFmtId="170" fontId="42" fillId="0" borderId="2" xfId="2" applyNumberFormat="1" applyFont="1" applyFill="1" applyBorder="1" applyAlignment="1" applyProtection="1">
      <alignment horizontal="right" vertical="top"/>
    </xf>
    <xf numFmtId="9" fontId="19" fillId="0" borderId="0" xfId="1" applyFont="1" applyFill="1" applyAlignment="1" applyProtection="1">
      <alignment horizontal="right" vertical="top"/>
    </xf>
    <xf numFmtId="10" fontId="19" fillId="0" borderId="0" xfId="1" applyNumberFormat="1" applyFont="1" applyFill="1" applyAlignment="1">
      <alignment vertical="top"/>
    </xf>
    <xf numFmtId="0" fontId="38" fillId="0" borderId="0" xfId="3" applyFont="1" applyProtection="1">
      <protection locked="0"/>
    </xf>
    <xf numFmtId="165" fontId="46" fillId="0" borderId="0" xfId="3" applyNumberFormat="1" applyFont="1" applyAlignment="1" applyProtection="1">
      <alignment wrapText="1"/>
      <protection locked="0"/>
    </xf>
    <xf numFmtId="0" fontId="38" fillId="0" borderId="0" xfId="3" applyFont="1" applyAlignment="1" applyProtection="1">
      <alignment horizontal="right"/>
      <protection locked="0"/>
    </xf>
    <xf numFmtId="0" fontId="40" fillId="0" borderId="0" xfId="3" applyFont="1" applyProtection="1">
      <protection locked="0"/>
    </xf>
    <xf numFmtId="0" fontId="47" fillId="0" borderId="0" xfId="3" applyFont="1" applyProtection="1">
      <protection locked="0"/>
    </xf>
    <xf numFmtId="0" fontId="48" fillId="0" borderId="0" xfId="3" applyFont="1" applyProtection="1">
      <protection locked="0"/>
    </xf>
    <xf numFmtId="0" fontId="46" fillId="0" borderId="0" xfId="3" applyFont="1" applyProtection="1">
      <protection locked="0"/>
    </xf>
    <xf numFmtId="165" fontId="38" fillId="0" borderId="0" xfId="3" applyNumberFormat="1" applyFont="1" applyProtection="1">
      <protection locked="0"/>
    </xf>
    <xf numFmtId="0" fontId="38" fillId="0" borderId="1" xfId="3" applyFont="1" applyBorder="1" applyProtection="1">
      <protection locked="0"/>
    </xf>
    <xf numFmtId="0" fontId="44" fillId="0" borderId="0" xfId="3" applyFont="1" applyProtection="1">
      <protection locked="0"/>
    </xf>
    <xf numFmtId="0" fontId="19" fillId="0" borderId="0" xfId="3" applyFont="1" applyProtection="1">
      <protection locked="0"/>
    </xf>
    <xf numFmtId="165" fontId="19" fillId="0" borderId="0" xfId="3" applyNumberFormat="1" applyFont="1" applyProtection="1">
      <protection locked="0"/>
    </xf>
    <xf numFmtId="9" fontId="52" fillId="0" borderId="0" xfId="1" applyFont="1" applyBorder="1" applyProtection="1">
      <protection locked="0"/>
    </xf>
    <xf numFmtId="0" fontId="53" fillId="0" borderId="0" xfId="3" applyFont="1" applyProtection="1">
      <protection locked="0"/>
    </xf>
    <xf numFmtId="0" fontId="27" fillId="0" borderId="0" xfId="3" applyFont="1" applyProtection="1">
      <protection locked="0"/>
    </xf>
    <xf numFmtId="0" fontId="19" fillId="0" borderId="6" xfId="3" applyFont="1" applyBorder="1" applyAlignment="1" applyProtection="1">
      <alignment horizontal="right"/>
      <protection locked="0"/>
    </xf>
    <xf numFmtId="165" fontId="19" fillId="0" borderId="1" xfId="3" applyNumberFormat="1" applyFont="1" applyBorder="1" applyProtection="1">
      <protection locked="0"/>
    </xf>
    <xf numFmtId="0" fontId="44" fillId="0" borderId="2" xfId="3" applyFont="1" applyBorder="1" applyProtection="1">
      <protection locked="0"/>
    </xf>
    <xf numFmtId="168" fontId="51" fillId="0" borderId="2" xfId="1" applyNumberFormat="1" applyFont="1" applyBorder="1" applyProtection="1">
      <protection locked="0"/>
    </xf>
    <xf numFmtId="9" fontId="52" fillId="0" borderId="2" xfId="1" applyFont="1" applyBorder="1" applyProtection="1">
      <protection locked="0"/>
    </xf>
    <xf numFmtId="0" fontId="36" fillId="0" borderId="6" xfId="3" applyFont="1" applyBorder="1" applyAlignment="1" applyProtection="1">
      <alignment horizontal="right"/>
      <protection locked="0"/>
    </xf>
    <xf numFmtId="9" fontId="49" fillId="0" borderId="0" xfId="1" applyFont="1" applyBorder="1" applyProtection="1">
      <protection locked="0"/>
    </xf>
    <xf numFmtId="9" fontId="49" fillId="0" borderId="1" xfId="1" applyFont="1" applyBorder="1" applyProtection="1">
      <protection locked="0"/>
    </xf>
    <xf numFmtId="9" fontId="49" fillId="0" borderId="2" xfId="1" applyFont="1" applyBorder="1" applyProtection="1">
      <protection locked="0"/>
    </xf>
    <xf numFmtId="165" fontId="36" fillId="0" borderId="0" xfId="3" applyNumberFormat="1" applyFont="1" applyProtection="1">
      <protection locked="0"/>
    </xf>
    <xf numFmtId="165" fontId="50" fillId="0" borderId="0" xfId="3" applyNumberFormat="1" applyFont="1" applyProtection="1">
      <protection locked="0"/>
    </xf>
    <xf numFmtId="168" fontId="51" fillId="0" borderId="1" xfId="1" applyNumberFormat="1" applyFont="1" applyBorder="1" applyProtection="1">
      <protection locked="0"/>
    </xf>
    <xf numFmtId="0" fontId="38" fillId="0" borderId="2" xfId="3" applyFont="1" applyBorder="1" applyProtection="1">
      <protection locked="0"/>
    </xf>
    <xf numFmtId="0" fontId="38" fillId="0" borderId="14" xfId="3" applyFont="1" applyBorder="1" applyProtection="1">
      <protection locked="0"/>
    </xf>
    <xf numFmtId="9" fontId="52" fillId="0" borderId="14" xfId="1" applyFont="1" applyBorder="1" applyProtection="1">
      <protection locked="0"/>
    </xf>
    <xf numFmtId="9" fontId="49" fillId="0" borderId="14" xfId="1" applyFont="1" applyBorder="1" applyProtection="1">
      <protection locked="0"/>
    </xf>
    <xf numFmtId="0" fontId="38" fillId="0" borderId="15" xfId="3" applyFont="1" applyBorder="1" applyProtection="1">
      <protection locked="0"/>
    </xf>
    <xf numFmtId="168" fontId="51" fillId="0" borderId="15" xfId="1" applyNumberFormat="1" applyFont="1" applyBorder="1" applyProtection="1">
      <protection locked="0"/>
    </xf>
    <xf numFmtId="9" fontId="52" fillId="0" borderId="7" xfId="1" applyFont="1" applyBorder="1" applyProtection="1">
      <protection locked="0"/>
    </xf>
    <xf numFmtId="9" fontId="49" fillId="0" borderId="7" xfId="1" applyFont="1" applyBorder="1" applyProtection="1">
      <protection locked="0"/>
    </xf>
    <xf numFmtId="9" fontId="52" fillId="0" borderId="4" xfId="1" applyFont="1" applyBorder="1" applyProtection="1">
      <protection locked="0"/>
    </xf>
    <xf numFmtId="9" fontId="49" fillId="0" borderId="4" xfId="1" applyFont="1" applyBorder="1" applyProtection="1">
      <protection locked="0"/>
    </xf>
    <xf numFmtId="9" fontId="52" fillId="0" borderId="6" xfId="1" applyFont="1" applyBorder="1" applyProtection="1">
      <protection locked="0"/>
    </xf>
    <xf numFmtId="9" fontId="49" fillId="0" borderId="6" xfId="1" applyFont="1" applyBorder="1" applyProtection="1">
      <protection locked="0"/>
    </xf>
    <xf numFmtId="0" fontId="38" fillId="0" borderId="7" xfId="3" applyFont="1" applyBorder="1" applyProtection="1">
      <protection locked="0"/>
    </xf>
    <xf numFmtId="0" fontId="38" fillId="0" borderId="4" xfId="3" applyFont="1" applyBorder="1" applyProtection="1">
      <protection locked="0"/>
    </xf>
    <xf numFmtId="0" fontId="38" fillId="0" borderId="6" xfId="3" applyFont="1" applyBorder="1" applyProtection="1">
      <protection locked="0"/>
    </xf>
    <xf numFmtId="165" fontId="19" fillId="0" borderId="2" xfId="3" applyNumberFormat="1" applyFont="1" applyBorder="1" applyProtection="1">
      <protection locked="0"/>
    </xf>
    <xf numFmtId="0" fontId="50" fillId="0" borderId="2" xfId="3" applyFont="1" applyBorder="1" applyProtection="1">
      <protection locked="0"/>
    </xf>
    <xf numFmtId="165" fontId="22" fillId="0" borderId="2" xfId="3" applyNumberFormat="1" applyFont="1" applyBorder="1" applyProtection="1">
      <protection locked="0"/>
    </xf>
    <xf numFmtId="0" fontId="22" fillId="0" borderId="2" xfId="3" applyFont="1" applyBorder="1" applyProtection="1">
      <protection locked="0"/>
    </xf>
    <xf numFmtId="0" fontId="19" fillId="0" borderId="7" xfId="3" applyFont="1" applyBorder="1" applyProtection="1">
      <protection locked="0"/>
    </xf>
    <xf numFmtId="0" fontId="19" fillId="0" borderId="4" xfId="3" applyFont="1" applyBorder="1" applyProtection="1">
      <protection locked="0"/>
    </xf>
    <xf numFmtId="0" fontId="38" fillId="0" borderId="3" xfId="3" applyFont="1" applyBorder="1" applyProtection="1">
      <protection locked="0"/>
    </xf>
    <xf numFmtId="0" fontId="38" fillId="0" borderId="8" xfId="3" applyFont="1" applyBorder="1" applyProtection="1">
      <protection locked="0"/>
    </xf>
    <xf numFmtId="0" fontId="38" fillId="0" borderId="8" xfId="3" applyFont="1" applyBorder="1" applyAlignment="1" applyProtection="1">
      <alignment horizontal="center" vertical="top" wrapText="1"/>
      <protection locked="0"/>
    </xf>
    <xf numFmtId="0" fontId="19" fillId="0" borderId="6" xfId="3" applyFont="1" applyBorder="1" applyProtection="1">
      <protection locked="0"/>
    </xf>
    <xf numFmtId="0" fontId="19" fillId="0" borderId="1" xfId="3" applyFont="1" applyBorder="1" applyAlignment="1" applyProtection="1">
      <alignment horizontal="right"/>
      <protection locked="0"/>
    </xf>
    <xf numFmtId="0" fontId="36" fillId="0" borderId="1" xfId="3" applyFont="1" applyBorder="1" applyAlignment="1" applyProtection="1">
      <alignment horizontal="right"/>
      <protection locked="0"/>
    </xf>
    <xf numFmtId="0" fontId="55" fillId="0" borderId="0" xfId="9" applyNumberFormat="1" applyFont="1" applyAlignment="1"/>
    <xf numFmtId="0" fontId="24" fillId="0" borderId="1" xfId="0" applyFont="1" applyBorder="1" applyAlignment="1">
      <alignment vertical="center"/>
    </xf>
    <xf numFmtId="0" fontId="20" fillId="0" borderId="1" xfId="0" applyFont="1" applyBorder="1"/>
    <xf numFmtId="3" fontId="19" fillId="0" borderId="4" xfId="0" applyNumberFormat="1" applyFont="1" applyBorder="1" applyAlignment="1">
      <alignment vertical="center"/>
    </xf>
    <xf numFmtId="0" fontId="40" fillId="0" borderId="7" xfId="15" applyFont="1" applyBorder="1"/>
    <xf numFmtId="0" fontId="39" fillId="0" borderId="7" xfId="9" applyNumberFormat="1" applyFont="1" applyBorder="1" applyAlignment="1">
      <alignment horizontal="left" vertical="center"/>
    </xf>
    <xf numFmtId="0" fontId="39" fillId="0" borderId="7" xfId="9" applyNumberFormat="1" applyFont="1" applyBorder="1" applyAlignment="1"/>
    <xf numFmtId="0" fontId="40" fillId="0" borderId="4" xfId="15" applyFont="1" applyBorder="1"/>
    <xf numFmtId="0" fontId="39" fillId="0" borderId="4" xfId="9" applyNumberFormat="1" applyFont="1" applyBorder="1" applyAlignment="1">
      <alignment horizontal="left" vertical="center"/>
    </xf>
    <xf numFmtId="0" fontId="39" fillId="0" borderId="4" xfId="9" applyNumberFormat="1" applyFont="1" applyBorder="1" applyAlignment="1"/>
    <xf numFmtId="0" fontId="40" fillId="0" borderId="6" xfId="15" applyFont="1" applyBorder="1"/>
    <xf numFmtId="0" fontId="39" fillId="0" borderId="6" xfId="9" applyNumberFormat="1" applyFont="1" applyBorder="1" applyAlignment="1">
      <alignment horizontal="left" vertical="center"/>
    </xf>
    <xf numFmtId="0" fontId="39" fillId="0" borderId="6" xfId="9" applyNumberFormat="1" applyFont="1" applyBorder="1" applyAlignment="1"/>
    <xf numFmtId="167" fontId="36" fillId="0" borderId="3" xfId="17" applyBorder="1">
      <alignment vertical="center"/>
    </xf>
    <xf numFmtId="0" fontId="37" fillId="0" borderId="7" xfId="9" applyNumberFormat="1" applyFont="1" applyBorder="1" applyAlignment="1">
      <alignment horizontal="left" vertical="center"/>
    </xf>
    <xf numFmtId="0" fontId="37" fillId="0" borderId="4" xfId="9" applyNumberFormat="1" applyFont="1" applyBorder="1" applyAlignment="1">
      <alignment horizontal="left" vertical="center"/>
    </xf>
    <xf numFmtId="0" fontId="37" fillId="0" borderId="6" xfId="9" applyNumberFormat="1" applyFont="1" applyBorder="1" applyAlignment="1">
      <alignment horizontal="left" vertical="center"/>
    </xf>
    <xf numFmtId="167" fontId="19" fillId="0" borderId="0" xfId="17" applyFont="1" applyBorder="1">
      <alignment vertical="center"/>
    </xf>
    <xf numFmtId="0" fontId="54" fillId="11" borderId="0" xfId="0" applyFont="1" applyFill="1" applyAlignment="1">
      <alignment vertical="center"/>
    </xf>
    <xf numFmtId="0" fontId="36" fillId="0" borderId="4" xfId="0" applyFont="1" applyBorder="1"/>
    <xf numFmtId="0" fontId="54" fillId="0" borderId="0" xfId="0" applyFont="1" applyAlignment="1">
      <alignment vertical="center"/>
    </xf>
    <xf numFmtId="0" fontId="54" fillId="0" borderId="1" xfId="0" applyFont="1" applyBorder="1" applyAlignment="1">
      <alignment vertical="center"/>
    </xf>
    <xf numFmtId="0" fontId="54" fillId="0" borderId="13" xfId="0" applyFont="1" applyBorder="1" applyAlignment="1">
      <alignment vertical="center"/>
    </xf>
    <xf numFmtId="0" fontId="45" fillId="0" borderId="1" xfId="11" applyFont="1" applyBorder="1" applyAlignment="1">
      <alignment vertical="center"/>
    </xf>
    <xf numFmtId="9" fontId="21" fillId="0" borderId="1" xfId="1" applyFont="1" applyFill="1" applyBorder="1" applyAlignment="1" applyProtection="1">
      <alignment vertical="top"/>
    </xf>
    <xf numFmtId="0" fontId="21" fillId="0" borderId="1" xfId="11" applyFont="1" applyBorder="1" applyAlignment="1">
      <alignment vertical="top"/>
    </xf>
    <xf numFmtId="0" fontId="19" fillId="0" borderId="1" xfId="11" applyFont="1" applyBorder="1" applyAlignment="1">
      <alignment vertical="top"/>
    </xf>
    <xf numFmtId="0" fontId="15" fillId="0" borderId="0" xfId="11" applyFont="1" applyAlignment="1">
      <alignment vertical="center"/>
    </xf>
    <xf numFmtId="0" fontId="36" fillId="0" borderId="0" xfId="11" applyFont="1" applyAlignment="1">
      <alignment vertical="center"/>
    </xf>
    <xf numFmtId="0" fontId="19" fillId="0" borderId="0" xfId="11" applyFont="1" applyAlignment="1">
      <alignment wrapText="1"/>
    </xf>
    <xf numFmtId="0" fontId="31" fillId="0" borderId="13" xfId="11" applyFont="1" applyBorder="1"/>
    <xf numFmtId="9" fontId="21" fillId="0" borderId="13" xfId="1" applyFont="1" applyBorder="1" applyProtection="1"/>
    <xf numFmtId="0" fontId="19" fillId="0" borderId="13" xfId="11" applyFont="1" applyBorder="1"/>
    <xf numFmtId="0" fontId="19" fillId="0" borderId="0" xfId="0" applyFont="1" applyAlignment="1">
      <alignment horizontal="left" vertical="center"/>
    </xf>
    <xf numFmtId="3" fontId="19" fillId="0" borderId="4" xfId="0" applyNumberFormat="1" applyFont="1" applyBorder="1" applyAlignment="1">
      <alignment horizontal="right" vertical="center"/>
    </xf>
    <xf numFmtId="0" fontId="57" fillId="0" borderId="0" xfId="0" applyFont="1" applyAlignment="1">
      <alignment vertical="center"/>
    </xf>
    <xf numFmtId="0" fontId="59" fillId="0" borderId="0" xfId="11" applyFont="1"/>
    <xf numFmtId="0" fontId="19" fillId="0" borderId="0" xfId="0" applyFont="1" applyAlignment="1">
      <alignment vertical="center" wrapText="1"/>
    </xf>
    <xf numFmtId="0" fontId="141" fillId="0" borderId="0" xfId="7" applyAlignment="1">
      <alignment vertical="center"/>
    </xf>
    <xf numFmtId="0" fontId="33" fillId="0" borderId="1" xfId="21"/>
    <xf numFmtId="0" fontId="33" fillId="0" borderId="1" xfId="21" applyAlignment="1">
      <alignment vertical="center"/>
    </xf>
    <xf numFmtId="0" fontId="33" fillId="0" borderId="1" xfId="21" applyAlignment="1">
      <alignment vertical="center" wrapText="1"/>
    </xf>
    <xf numFmtId="0" fontId="63" fillId="0" borderId="3" xfId="22" applyFill="1" applyBorder="1" applyAlignment="1">
      <alignment vertical="center"/>
    </xf>
    <xf numFmtId="0" fontId="63" fillId="0" borderId="7" xfId="22" applyFill="1" applyBorder="1" applyAlignment="1">
      <alignment vertical="center"/>
    </xf>
    <xf numFmtId="0" fontId="141" fillId="0" borderId="0" xfId="7" applyAlignment="1">
      <alignment horizontal="left"/>
    </xf>
    <xf numFmtId="0" fontId="26" fillId="0" borderId="0" xfId="0" applyFont="1"/>
    <xf numFmtId="0" fontId="26" fillId="0" borderId="0" xfId="0" applyFont="1" applyAlignment="1">
      <alignment vertical="center" wrapText="1"/>
    </xf>
    <xf numFmtId="0" fontId="26" fillId="0" borderId="0" xfId="0" applyFont="1" applyAlignment="1">
      <alignment horizontal="center"/>
    </xf>
    <xf numFmtId="9" fontId="7" fillId="0" borderId="0" xfId="11" applyNumberFormat="1"/>
    <xf numFmtId="49" fontId="7" fillId="0" borderId="0" xfId="11" applyNumberFormat="1"/>
    <xf numFmtId="0" fontId="65" fillId="0" borderId="7" xfId="0" applyFont="1" applyBorder="1" applyAlignment="1">
      <alignment horizontal="left" vertical="center" wrapText="1"/>
    </xf>
    <xf numFmtId="0" fontId="65" fillId="0" borderId="4" xfId="0" applyFont="1" applyBorder="1" applyAlignment="1">
      <alignment horizontal="left" vertical="center" wrapText="1"/>
    </xf>
    <xf numFmtId="0" fontId="69" fillId="0" borderId="0" xfId="0" applyFont="1" applyAlignment="1">
      <alignment vertical="center"/>
    </xf>
    <xf numFmtId="0" fontId="68" fillId="0" borderId="0" xfId="0" applyFont="1" applyAlignment="1">
      <alignment vertical="center"/>
    </xf>
    <xf numFmtId="0" fontId="70" fillId="0" borderId="0" xfId="0" applyFont="1" applyAlignment="1">
      <alignment vertical="center"/>
    </xf>
    <xf numFmtId="3" fontId="68" fillId="0" borderId="0" xfId="0" applyNumberFormat="1" applyFont="1" applyAlignment="1">
      <alignment vertical="center"/>
    </xf>
    <xf numFmtId="3" fontId="19" fillId="0" borderId="8" xfId="0" applyNumberFormat="1" applyFont="1" applyBorder="1" applyAlignment="1">
      <alignment vertical="center"/>
    </xf>
    <xf numFmtId="0" fontId="37" fillId="0" borderId="0" xfId="9" applyNumberFormat="1" applyFont="1" applyAlignment="1">
      <alignment horizontal="right"/>
    </xf>
    <xf numFmtId="3" fontId="62" fillId="0" borderId="4" xfId="0" applyNumberFormat="1" applyFont="1" applyBorder="1" applyAlignment="1">
      <alignment horizontal="right" vertical="center"/>
    </xf>
    <xf numFmtId="0" fontId="37" fillId="0" borderId="7" xfId="9" applyNumberFormat="1" applyFont="1" applyBorder="1" applyAlignment="1">
      <alignment horizontal="right"/>
    </xf>
    <xf numFmtId="0" fontId="37" fillId="0" borderId="4" xfId="9" applyNumberFormat="1" applyFont="1" applyBorder="1" applyAlignment="1">
      <alignment horizontal="right"/>
    </xf>
    <xf numFmtId="0" fontId="37" fillId="0" borderId="6" xfId="9" applyNumberFormat="1" applyFont="1" applyBorder="1" applyAlignment="1">
      <alignment horizontal="right"/>
    </xf>
    <xf numFmtId="0" fontId="64" fillId="0" borderId="0" xfId="0" applyFont="1"/>
    <xf numFmtId="0" fontId="0" fillId="0" borderId="0" xfId="0" applyAlignment="1">
      <alignment horizontal="center"/>
    </xf>
    <xf numFmtId="0" fontId="33" fillId="0" borderId="1" xfId="21" applyAlignment="1">
      <alignment horizontal="center"/>
    </xf>
    <xf numFmtId="0" fontId="61" fillId="0" borderId="0" xfId="0" applyFont="1" applyAlignment="1">
      <alignment horizontal="center" vertical="center" wrapText="1"/>
    </xf>
    <xf numFmtId="0" fontId="26" fillId="0" borderId="4" xfId="0" applyFont="1" applyBorder="1" applyAlignment="1">
      <alignment vertical="center" wrapText="1"/>
    </xf>
    <xf numFmtId="0" fontId="26" fillId="0" borderId="4" xfId="0" applyFont="1" applyBorder="1" applyAlignment="1">
      <alignment horizontal="center" vertical="center" wrapText="1"/>
    </xf>
    <xf numFmtId="0" fontId="63" fillId="0" borderId="4" xfId="22" applyBorder="1" applyAlignment="1">
      <alignment vertical="center" wrapText="1"/>
    </xf>
    <xf numFmtId="0" fontId="63" fillId="0" borderId="4" xfId="22" applyBorder="1" applyAlignment="1">
      <alignment horizontal="center" vertical="center" wrapText="1"/>
    </xf>
    <xf numFmtId="0" fontId="63" fillId="0" borderId="3" xfId="22" applyBorder="1" applyAlignment="1">
      <alignment vertical="center" wrapText="1"/>
    </xf>
    <xf numFmtId="0" fontId="63" fillId="0" borderId="3" xfId="22" applyBorder="1" applyAlignment="1">
      <alignment horizontal="center" vertical="center" wrapText="1"/>
    </xf>
    <xf numFmtId="0" fontId="26" fillId="0" borderId="2" xfId="0" applyFont="1" applyBorder="1" applyAlignment="1">
      <alignment vertical="center" wrapText="1"/>
    </xf>
    <xf numFmtId="0" fontId="33" fillId="0" borderId="1" xfId="21" applyAlignment="1"/>
    <xf numFmtId="0" fontId="26" fillId="0" borderId="3" xfId="0" applyFont="1" applyBorder="1" applyAlignment="1">
      <alignment vertical="center" wrapText="1"/>
    </xf>
    <xf numFmtId="0" fontId="63" fillId="0" borderId="4" xfId="22" applyBorder="1" applyAlignment="1">
      <alignment vertical="center"/>
    </xf>
    <xf numFmtId="0" fontId="26" fillId="0" borderId="3" xfId="0" applyFont="1" applyBorder="1" applyAlignment="1">
      <alignment horizontal="center" vertical="center" wrapText="1"/>
    </xf>
    <xf numFmtId="0" fontId="26" fillId="0" borderId="18" xfId="0" applyFont="1" applyBorder="1" applyAlignment="1">
      <alignment vertical="center" wrapText="1"/>
    </xf>
    <xf numFmtId="0" fontId="65" fillId="0" borderId="18" xfId="0" applyFont="1" applyBorder="1" applyAlignment="1">
      <alignment horizontal="center" vertical="center" wrapText="1"/>
    </xf>
    <xf numFmtId="0" fontId="26" fillId="0" borderId="18" xfId="0" applyFont="1" applyBorder="1" applyAlignment="1">
      <alignment horizontal="center" vertical="center" wrapText="1"/>
    </xf>
    <xf numFmtId="0" fontId="65" fillId="0" borderId="18" xfId="0" applyFont="1" applyBorder="1" applyAlignment="1">
      <alignment vertical="center" wrapText="1"/>
    </xf>
    <xf numFmtId="0" fontId="63" fillId="0" borderId="19" xfId="22" applyBorder="1" applyAlignment="1">
      <alignment vertical="center" wrapText="1"/>
    </xf>
    <xf numFmtId="0" fontId="63" fillId="0" borderId="18" xfId="22" applyBorder="1" applyAlignment="1">
      <alignment vertical="center" wrapText="1"/>
    </xf>
    <xf numFmtId="0" fontId="63" fillId="0" borderId="18" xfId="22" applyBorder="1" applyAlignment="1"/>
    <xf numFmtId="0" fontId="18" fillId="0" borderId="4" xfId="0" applyFont="1" applyBorder="1" applyAlignment="1">
      <alignment vertical="center" wrapText="1"/>
    </xf>
    <xf numFmtId="0" fontId="65" fillId="0" borderId="4" xfId="0" applyFont="1" applyBorder="1" applyAlignment="1">
      <alignment horizontal="center" vertical="center" wrapText="1"/>
    </xf>
    <xf numFmtId="0" fontId="63" fillId="0" borderId="4" xfId="22" applyFill="1" applyBorder="1" applyAlignment="1">
      <alignment vertical="center" wrapText="1"/>
    </xf>
    <xf numFmtId="0" fontId="65" fillId="0" borderId="20" xfId="0" applyFont="1" applyBorder="1" applyAlignment="1">
      <alignment horizontal="left" vertical="center" wrapText="1"/>
    </xf>
    <xf numFmtId="0" fontId="65" fillId="0" borderId="18" xfId="0" applyFont="1" applyBorder="1" applyAlignment="1">
      <alignment horizontal="left" vertical="center" wrapText="1"/>
    </xf>
    <xf numFmtId="0" fontId="63" fillId="0" borderId="19" xfId="22" applyBorder="1" applyAlignment="1">
      <alignment horizontal="center" vertical="center" wrapText="1"/>
    </xf>
    <xf numFmtId="0" fontId="63" fillId="0" borderId="18" xfId="22" applyBorder="1" applyAlignment="1">
      <alignment horizontal="center" vertical="center" wrapText="1"/>
    </xf>
    <xf numFmtId="0" fontId="63" fillId="0" borderId="18" xfId="22" applyBorder="1" applyAlignment="1">
      <alignment horizontal="center"/>
    </xf>
    <xf numFmtId="0" fontId="67" fillId="0" borderId="4" xfId="0" applyFont="1" applyBorder="1" applyAlignment="1">
      <alignment horizontal="center" vertical="center" wrapText="1"/>
    </xf>
    <xf numFmtId="0" fontId="67" fillId="0" borderId="4" xfId="0" applyFont="1" applyBorder="1" applyAlignment="1">
      <alignment horizontal="center" vertical="center"/>
    </xf>
    <xf numFmtId="0" fontId="63" fillId="0" borderId="4" xfId="22" applyFill="1" applyBorder="1" applyAlignment="1">
      <alignment horizontal="center" vertical="center" wrapText="1"/>
    </xf>
    <xf numFmtId="0" fontId="65" fillId="0" borderId="7" xfId="0" applyFont="1" applyBorder="1" applyAlignment="1">
      <alignment horizontal="center" vertical="center" wrapText="1"/>
    </xf>
    <xf numFmtId="0" fontId="65" fillId="0" borderId="20" xfId="0" applyFont="1" applyBorder="1" applyAlignment="1">
      <alignment horizontal="center" vertical="center" wrapText="1"/>
    </xf>
    <xf numFmtId="0" fontId="36" fillId="0" borderId="6" xfId="0" applyFont="1" applyBorder="1"/>
    <xf numFmtId="0" fontId="19" fillId="0" borderId="4" xfId="0" applyFont="1" applyBorder="1" applyAlignment="1">
      <alignment horizontal="left" vertical="center"/>
    </xf>
    <xf numFmtId="49" fontId="19" fillId="0" borderId="1" xfId="11" applyNumberFormat="1" applyFont="1" applyBorder="1" applyAlignment="1">
      <alignment horizontal="left" vertical="top" indent="1"/>
    </xf>
    <xf numFmtId="0" fontId="19" fillId="0" borderId="1" xfId="11" applyFont="1" applyBorder="1" applyAlignment="1">
      <alignment horizontal="left" vertical="top"/>
    </xf>
    <xf numFmtId="168" fontId="19" fillId="0" borderId="1" xfId="1" applyNumberFormat="1" applyFont="1" applyFill="1" applyBorder="1" applyAlignment="1" applyProtection="1">
      <alignment vertical="top"/>
    </xf>
    <xf numFmtId="3" fontId="19" fillId="0" borderId="1" xfId="0" applyNumberFormat="1" applyFont="1" applyBorder="1"/>
    <xf numFmtId="3" fontId="61" fillId="0" borderId="13" xfId="0" applyNumberFormat="1" applyFont="1" applyBorder="1"/>
    <xf numFmtId="10" fontId="19" fillId="0" borderId="0" xfId="1" applyNumberFormat="1" applyFont="1" applyProtection="1"/>
    <xf numFmtId="0" fontId="65" fillId="0" borderId="18" xfId="0" applyFont="1" applyBorder="1" applyAlignment="1">
      <alignment horizontal="left" vertical="center" wrapText="1" indent="2"/>
    </xf>
    <xf numFmtId="0" fontId="33" fillId="0" borderId="1" xfId="21" applyAlignment="1">
      <alignment horizontal="center" vertical="center" wrapText="1"/>
    </xf>
    <xf numFmtId="0" fontId="33" fillId="0" borderId="2" xfId="21" applyBorder="1" applyAlignment="1">
      <alignment horizontal="center" vertical="center" wrapText="1"/>
    </xf>
    <xf numFmtId="167" fontId="19" fillId="0" borderId="8" xfId="17" applyFont="1" applyBorder="1">
      <alignment vertical="center"/>
    </xf>
    <xf numFmtId="0" fontId="36" fillId="0" borderId="8" xfId="0" applyFont="1" applyBorder="1"/>
    <xf numFmtId="167" fontId="36" fillId="0" borderId="8" xfId="17" applyBorder="1">
      <alignment vertical="center"/>
    </xf>
    <xf numFmtId="9" fontId="19" fillId="0" borderId="1" xfId="1" applyFont="1" applyBorder="1" applyAlignment="1" applyProtection="1">
      <alignment wrapText="1"/>
    </xf>
    <xf numFmtId="10" fontId="19" fillId="0" borderId="4" xfId="1" applyNumberFormat="1" applyFont="1" applyFill="1" applyBorder="1" applyAlignment="1" applyProtection="1">
      <alignment vertical="top"/>
    </xf>
    <xf numFmtId="3" fontId="15" fillId="0" borderId="0" xfId="11" applyNumberFormat="1" applyFont="1"/>
    <xf numFmtId="10" fontId="42" fillId="0" borderId="3" xfId="1" applyNumberFormat="1" applyFont="1" applyFill="1" applyBorder="1" applyAlignment="1" applyProtection="1">
      <alignment horizontal="right" vertical="top"/>
    </xf>
    <xf numFmtId="10" fontId="19" fillId="0" borderId="8" xfId="1" applyNumberFormat="1" applyFont="1" applyFill="1" applyBorder="1" applyAlignment="1" applyProtection="1">
      <alignment vertical="top"/>
    </xf>
    <xf numFmtId="10" fontId="42" fillId="0" borderId="7" xfId="1" applyNumberFormat="1" applyFont="1" applyFill="1" applyBorder="1" applyAlignment="1" applyProtection="1">
      <alignment horizontal="right" vertical="top"/>
    </xf>
    <xf numFmtId="168" fontId="42" fillId="0" borderId="7" xfId="1" applyNumberFormat="1" applyFont="1" applyFill="1" applyBorder="1" applyAlignment="1" applyProtection="1">
      <alignment horizontal="right" vertical="top"/>
    </xf>
    <xf numFmtId="9" fontId="36" fillId="0" borderId="4" xfId="1" applyFont="1" applyFill="1" applyBorder="1" applyAlignment="1">
      <alignment vertical="center"/>
    </xf>
    <xf numFmtId="9" fontId="36" fillId="0" borderId="8" xfId="1" applyFont="1" applyFill="1" applyBorder="1" applyAlignment="1">
      <alignment vertical="center"/>
    </xf>
    <xf numFmtId="167" fontId="19" fillId="0" borderId="4" xfId="17" applyFont="1" applyAlignment="1">
      <alignment vertical="center" wrapText="1"/>
    </xf>
    <xf numFmtId="0" fontId="31" fillId="0" borderId="0" xfId="11" applyFont="1" applyAlignment="1">
      <alignment vertical="center"/>
    </xf>
    <xf numFmtId="9" fontId="21" fillId="0" borderId="0" xfId="1" applyFont="1" applyFill="1" applyProtection="1"/>
    <xf numFmtId="49" fontId="19" fillId="0" borderId="0" xfId="0" applyNumberFormat="1" applyFont="1" applyAlignment="1">
      <alignment horizontal="left" vertical="center"/>
    </xf>
    <xf numFmtId="0" fontId="19" fillId="0" borderId="0" xfId="0" applyFont="1" applyAlignment="1">
      <alignment horizontal="right"/>
    </xf>
    <xf numFmtId="14" fontId="19" fillId="0" borderId="0" xfId="0" applyNumberFormat="1" applyFont="1" applyAlignment="1">
      <alignment horizontal="right"/>
    </xf>
    <xf numFmtId="0" fontId="33" fillId="0" borderId="2" xfId="21" applyBorder="1" applyAlignment="1">
      <alignment vertical="center"/>
    </xf>
    <xf numFmtId="0" fontId="33" fillId="0" borderId="2" xfId="21" applyBorder="1" applyAlignment="1">
      <alignment vertical="center" wrapText="1"/>
    </xf>
    <xf numFmtId="0" fontId="17" fillId="0" borderId="4" xfId="0" applyFont="1" applyBorder="1" applyAlignment="1">
      <alignment vertical="center" wrapText="1"/>
    </xf>
    <xf numFmtId="0" fontId="17" fillId="0" borderId="3" xfId="0" applyFont="1" applyBorder="1" applyAlignment="1">
      <alignment vertical="center" wrapText="1"/>
    </xf>
    <xf numFmtId="0" fontId="63" fillId="0" borderId="7" xfId="22" applyNumberFormat="1" applyFill="1" applyBorder="1" applyAlignment="1">
      <alignment vertical="center" wrapText="1"/>
    </xf>
    <xf numFmtId="0" fontId="26" fillId="0" borderId="0" xfId="0" applyFont="1" applyAlignment="1">
      <alignment wrapText="1"/>
    </xf>
    <xf numFmtId="0" fontId="77"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justify" vertical="center" wrapText="1"/>
    </xf>
    <xf numFmtId="0" fontId="65" fillId="0" borderId="7" xfId="0" applyFont="1" applyBorder="1" applyAlignment="1">
      <alignment vertical="center" wrapText="1"/>
    </xf>
    <xf numFmtId="0" fontId="26" fillId="0" borderId="7" xfId="0" applyFont="1" applyBorder="1"/>
    <xf numFmtId="0" fontId="65" fillId="0" borderId="4" xfId="0" applyFont="1" applyBorder="1" applyAlignment="1">
      <alignment vertical="center" wrapText="1"/>
    </xf>
    <xf numFmtId="0" fontId="26" fillId="0" borderId="4" xfId="0" applyFont="1" applyBorder="1"/>
    <xf numFmtId="0" fontId="26" fillId="0" borderId="4" xfId="0" applyFont="1" applyBorder="1" applyAlignment="1">
      <alignment vertical="top" wrapText="1"/>
    </xf>
    <xf numFmtId="0" fontId="77" fillId="0" borderId="4" xfId="0" applyFont="1" applyBorder="1" applyAlignment="1">
      <alignment vertical="center" wrapText="1"/>
    </xf>
    <xf numFmtId="0" fontId="65" fillId="0" borderId="4" xfId="0" applyFont="1" applyBorder="1" applyAlignment="1">
      <alignment horizontal="justify" vertical="center" wrapText="1"/>
    </xf>
    <xf numFmtId="0" fontId="26" fillId="0" borderId="4" xfId="0" applyFont="1" applyBorder="1" applyAlignment="1">
      <alignment wrapText="1"/>
    </xf>
    <xf numFmtId="0" fontId="20" fillId="0" borderId="0" xfId="0" applyFont="1" applyAlignment="1">
      <alignment wrapText="1"/>
    </xf>
    <xf numFmtId="0" fontId="141" fillId="0" borderId="0" xfId="7" applyAlignment="1">
      <alignment vertical="center" wrapText="1"/>
    </xf>
    <xf numFmtId="0" fontId="32" fillId="0" borderId="0" xfId="0" applyFont="1" applyAlignment="1">
      <alignment vertical="center" wrapText="1"/>
    </xf>
    <xf numFmtId="0" fontId="20" fillId="0" borderId="9" xfId="0" applyFont="1" applyBorder="1" applyAlignment="1">
      <alignment wrapText="1"/>
    </xf>
    <xf numFmtId="0" fontId="33" fillId="0" borderId="1" xfId="21" applyAlignment="1">
      <alignment wrapText="1"/>
    </xf>
    <xf numFmtId="0" fontId="33" fillId="0" borderId="0" xfId="10" applyFont="1" applyFill="1" applyBorder="1" applyAlignment="1">
      <alignment wrapText="1"/>
    </xf>
    <xf numFmtId="3" fontId="19" fillId="0" borderId="0" xfId="0" applyNumberFormat="1" applyFont="1" applyAlignment="1">
      <alignment vertical="center" wrapText="1"/>
    </xf>
    <xf numFmtId="3" fontId="19" fillId="0" borderId="1" xfId="0" applyNumberFormat="1" applyFont="1" applyBorder="1" applyAlignment="1">
      <alignment vertical="center" wrapText="1"/>
    </xf>
    <xf numFmtId="3" fontId="21" fillId="0" borderId="9" xfId="0" applyNumberFormat="1" applyFont="1" applyBorder="1" applyAlignment="1">
      <alignment vertical="center" wrapText="1"/>
    </xf>
    <xf numFmtId="3" fontId="29" fillId="0" borderId="1" xfId="0" applyNumberFormat="1" applyFont="1" applyBorder="1" applyAlignment="1">
      <alignment vertical="center" wrapText="1"/>
    </xf>
    <xf numFmtId="0" fontId="20" fillId="0" borderId="1" xfId="0" applyFont="1" applyBorder="1" applyAlignment="1">
      <alignment wrapText="1"/>
    </xf>
    <xf numFmtId="3" fontId="27" fillId="0" borderId="4" xfId="0" applyNumberFormat="1" applyFont="1" applyBorder="1" applyAlignment="1">
      <alignment vertical="center" wrapText="1"/>
    </xf>
    <xf numFmtId="3" fontId="21" fillId="0" borderId="1" xfId="0" applyNumberFormat="1" applyFont="1" applyBorder="1" applyAlignment="1">
      <alignment vertical="center" wrapText="1"/>
    </xf>
    <xf numFmtId="3" fontId="27" fillId="0" borderId="1" xfId="0" applyNumberFormat="1" applyFont="1" applyBorder="1" applyAlignment="1">
      <alignment vertical="center" wrapText="1"/>
    </xf>
    <xf numFmtId="0" fontId="21" fillId="0" borderId="0" xfId="11" applyFont="1" applyAlignment="1">
      <alignment wrapText="1"/>
    </xf>
    <xf numFmtId="0" fontId="21" fillId="0" borderId="13" xfId="11" applyFont="1" applyBorder="1" applyAlignment="1">
      <alignment wrapText="1"/>
    </xf>
    <xf numFmtId="0" fontId="26" fillId="0" borderId="6" xfId="0" applyFont="1" applyBorder="1" applyAlignment="1">
      <alignment vertical="center" wrapText="1"/>
    </xf>
    <xf numFmtId="0" fontId="26" fillId="0" borderId="6" xfId="0" applyFont="1" applyBorder="1" applyAlignment="1">
      <alignment horizontal="center" vertical="center" wrapText="1"/>
    </xf>
    <xf numFmtId="0" fontId="0" fillId="0" borderId="1" xfId="0" applyBorder="1"/>
    <xf numFmtId="0" fontId="0" fillId="0" borderId="13" xfId="0" applyBorder="1"/>
    <xf numFmtId="0" fontId="18" fillId="0" borderId="6" xfId="0" applyFont="1" applyBorder="1" applyAlignment="1">
      <alignment vertical="center" wrapText="1"/>
    </xf>
    <xf numFmtId="0" fontId="67" fillId="0" borderId="6" xfId="0" applyFont="1" applyBorder="1" applyAlignment="1">
      <alignment horizontal="center" vertical="center" wrapText="1"/>
    </xf>
    <xf numFmtId="0" fontId="65" fillId="0" borderId="6" xfId="0" applyFont="1" applyBorder="1" applyAlignment="1">
      <alignment horizontal="center" vertical="center" wrapText="1"/>
    </xf>
    <xf numFmtId="0" fontId="18" fillId="0" borderId="8" xfId="0" applyFont="1" applyBorder="1" applyAlignment="1">
      <alignment vertical="center" wrapText="1"/>
    </xf>
    <xf numFmtId="0" fontId="67" fillId="0" borderId="8" xfId="0" applyFont="1" applyBorder="1" applyAlignment="1">
      <alignment horizontal="center" vertical="center" wrapText="1"/>
    </xf>
    <xf numFmtId="0" fontId="65" fillId="0" borderId="8" xfId="0" applyFont="1" applyBorder="1" applyAlignment="1">
      <alignment horizontal="center" vertical="center" wrapText="1"/>
    </xf>
    <xf numFmtId="0" fontId="74" fillId="0" borderId="13" xfId="0" applyFont="1" applyBorder="1"/>
    <xf numFmtId="0" fontId="26" fillId="0" borderId="13" xfId="0" applyFont="1" applyBorder="1" applyAlignment="1">
      <alignment horizontal="center"/>
    </xf>
    <xf numFmtId="0" fontId="26" fillId="0" borderId="1" xfId="0" applyFont="1" applyBorder="1" applyAlignment="1">
      <alignment vertical="center" wrapText="1"/>
    </xf>
    <xf numFmtId="0" fontId="72" fillId="0" borderId="0" xfId="0" applyFont="1"/>
    <xf numFmtId="0" fontId="78" fillId="0" borderId="1" xfId="21" applyFont="1"/>
    <xf numFmtId="0" fontId="79" fillId="0" borderId="0" xfId="0" applyFont="1"/>
    <xf numFmtId="0" fontId="80" fillId="0" borderId="0" xfId="0" applyFont="1" applyAlignment="1">
      <alignment vertical="center"/>
    </xf>
    <xf numFmtId="0" fontId="26" fillId="0" borderId="4" xfId="0" applyFont="1" applyBorder="1" applyAlignment="1">
      <alignment horizontal="center" vertical="center"/>
    </xf>
    <xf numFmtId="0" fontId="77" fillId="0" borderId="4" xfId="0" applyFont="1" applyBorder="1" applyAlignment="1">
      <alignment horizontal="center" vertical="center" wrapText="1"/>
    </xf>
    <xf numFmtId="168" fontId="26" fillId="0" borderId="4" xfId="1" applyNumberFormat="1" applyFont="1" applyBorder="1" applyAlignment="1">
      <alignment vertical="center"/>
    </xf>
    <xf numFmtId="168" fontId="26" fillId="0" borderId="4" xfId="0" applyNumberFormat="1" applyFont="1" applyBorder="1" applyAlignment="1">
      <alignment vertical="center"/>
    </xf>
    <xf numFmtId="10" fontId="26" fillId="0" borderId="4" xfId="1" applyNumberFormat="1" applyFont="1" applyBorder="1" applyAlignment="1">
      <alignment vertical="center"/>
    </xf>
    <xf numFmtId="168" fontId="81" fillId="0" borderId="4" xfId="1" applyNumberFormat="1" applyFont="1" applyBorder="1" applyAlignment="1">
      <alignment vertical="center" wrapText="1"/>
    </xf>
    <xf numFmtId="168" fontId="81" fillId="0" borderId="4" xfId="0" applyNumberFormat="1" applyFont="1" applyBorder="1" applyAlignment="1">
      <alignment vertical="center"/>
    </xf>
    <xf numFmtId="2" fontId="26" fillId="0" borderId="0" xfId="0" applyNumberFormat="1" applyFont="1"/>
    <xf numFmtId="0" fontId="82" fillId="0" borderId="0" xfId="0" applyFont="1"/>
    <xf numFmtId="0" fontId="73" fillId="0" borderId="4" xfId="0" applyFont="1" applyBorder="1" applyAlignment="1">
      <alignment vertical="center"/>
    </xf>
    <xf numFmtId="0" fontId="73" fillId="0" borderId="4" xfId="0" applyFont="1" applyBorder="1" applyAlignment="1">
      <alignment horizontal="left" vertical="center"/>
    </xf>
    <xf numFmtId="0" fontId="26" fillId="0" borderId="0" xfId="11" applyFont="1"/>
    <xf numFmtId="9" fontId="26" fillId="0" borderId="0" xfId="1" applyFont="1"/>
    <xf numFmtId="0" fontId="26" fillId="0" borderId="0" xfId="11" applyFont="1" applyAlignment="1">
      <alignment wrapText="1"/>
    </xf>
    <xf numFmtId="0" fontId="26" fillId="0" borderId="7" xfId="0" applyFont="1" applyBorder="1" applyAlignment="1">
      <alignment horizontal="left" vertical="center"/>
    </xf>
    <xf numFmtId="0" fontId="26" fillId="0" borderId="7" xfId="0" applyFont="1" applyBorder="1" applyAlignment="1">
      <alignment vertical="center"/>
    </xf>
    <xf numFmtId="0" fontId="26" fillId="0" borderId="7" xfId="0" applyFont="1" applyBorder="1" applyAlignment="1">
      <alignment vertical="center" wrapText="1"/>
    </xf>
    <xf numFmtId="0" fontId="26" fillId="0" borderId="3" xfId="0" applyFont="1" applyBorder="1" applyAlignment="1">
      <alignment horizontal="left" vertical="center"/>
    </xf>
    <xf numFmtId="0" fontId="26" fillId="0" borderId="3" xfId="0" applyFont="1" applyBorder="1" applyAlignment="1">
      <alignment vertical="center"/>
    </xf>
    <xf numFmtId="0" fontId="26" fillId="0" borderId="4" xfId="0" applyFont="1" applyBorder="1" applyAlignment="1">
      <alignment vertical="center"/>
    </xf>
    <xf numFmtId="2" fontId="26" fillId="0" borderId="0" xfId="0" applyNumberFormat="1" applyFont="1" applyAlignment="1">
      <alignment wrapText="1"/>
    </xf>
    <xf numFmtId="3" fontId="26" fillId="0" borderId="7" xfId="0" applyNumberFormat="1" applyFont="1" applyBorder="1" applyAlignment="1">
      <alignment vertical="center"/>
    </xf>
    <xf numFmtId="3" fontId="26" fillId="0" borderId="4" xfId="0" applyNumberFormat="1" applyFont="1" applyBorder="1" applyAlignment="1">
      <alignment vertical="center"/>
    </xf>
    <xf numFmtId="0" fontId="52" fillId="0" borderId="3" xfId="0" applyFont="1" applyBorder="1" applyAlignment="1">
      <alignment vertical="center"/>
    </xf>
    <xf numFmtId="3" fontId="26" fillId="0" borderId="2" xfId="0" applyNumberFormat="1" applyFont="1" applyBorder="1"/>
    <xf numFmtId="3" fontId="82" fillId="0" borderId="2" xfId="11" applyNumberFormat="1" applyFont="1" applyBorder="1" applyAlignment="1">
      <alignment vertical="top"/>
    </xf>
    <xf numFmtId="0" fontId="19" fillId="0" borderId="3" xfId="0" applyFont="1" applyBorder="1" applyAlignment="1">
      <alignment horizontal="left" vertical="center" wrapText="1"/>
    </xf>
    <xf numFmtId="0" fontId="73" fillId="0" borderId="3" xfId="0" applyFont="1" applyBorder="1" applyAlignment="1">
      <alignment horizontal="left" vertical="center" wrapText="1"/>
    </xf>
    <xf numFmtId="0" fontId="73" fillId="0" borderId="3" xfId="0" applyFont="1" applyBorder="1" applyAlignment="1">
      <alignment vertical="center"/>
    </xf>
    <xf numFmtId="0" fontId="19" fillId="0" borderId="2" xfId="0" applyFont="1" applyBorder="1" applyAlignment="1">
      <alignment horizontal="left" vertical="center"/>
    </xf>
    <xf numFmtId="0" fontId="19" fillId="0" borderId="2" xfId="0" applyFont="1" applyBorder="1" applyAlignment="1">
      <alignment vertical="center"/>
    </xf>
    <xf numFmtId="0" fontId="43" fillId="0" borderId="2" xfId="11" applyFont="1" applyBorder="1" applyAlignment="1">
      <alignment wrapText="1"/>
    </xf>
    <xf numFmtId="0" fontId="19" fillId="0" borderId="2" xfId="0" applyFont="1" applyBorder="1" applyAlignment="1">
      <alignment horizontal="left" vertical="center" wrapText="1"/>
    </xf>
    <xf numFmtId="0" fontId="84" fillId="0" borderId="0" xfId="0" applyFont="1" applyAlignment="1">
      <alignment horizontal="right"/>
    </xf>
    <xf numFmtId="14" fontId="84" fillId="0" borderId="0" xfId="0" applyNumberFormat="1" applyFont="1" applyAlignment="1">
      <alignment horizontal="right"/>
    </xf>
    <xf numFmtId="0" fontId="85" fillId="0" borderId="0" xfId="0" applyFont="1" applyAlignment="1">
      <alignment horizontal="left"/>
    </xf>
    <xf numFmtId="0" fontId="85" fillId="0" borderId="1" xfId="11" applyFont="1" applyBorder="1" applyAlignment="1">
      <alignment horizontal="left"/>
    </xf>
    <xf numFmtId="0" fontId="85" fillId="0" borderId="1" xfId="11" applyFont="1" applyBorder="1"/>
    <xf numFmtId="0" fontId="85" fillId="0" borderId="1" xfId="11" applyFont="1" applyBorder="1" applyAlignment="1">
      <alignment wrapText="1"/>
    </xf>
    <xf numFmtId="0" fontId="85" fillId="0" borderId="0" xfId="11" applyFont="1" applyAlignment="1">
      <alignment horizontal="left" vertical="top"/>
    </xf>
    <xf numFmtId="0" fontId="85" fillId="0" borderId="0" xfId="11" applyFont="1" applyAlignment="1">
      <alignment vertical="top"/>
    </xf>
    <xf numFmtId="3" fontId="85" fillId="0" borderId="1" xfId="0" applyNumberFormat="1" applyFont="1" applyBorder="1"/>
    <xf numFmtId="0" fontId="85" fillId="0" borderId="2" xfId="11" applyFont="1" applyBorder="1" applyAlignment="1">
      <alignment horizontal="left" vertical="top"/>
    </xf>
    <xf numFmtId="0" fontId="85" fillId="0" borderId="2" xfId="11" applyFont="1" applyBorder="1" applyAlignment="1">
      <alignment vertical="top"/>
    </xf>
    <xf numFmtId="170" fontId="86" fillId="0" borderId="2" xfId="2" applyNumberFormat="1" applyFont="1" applyFill="1" applyBorder="1" applyAlignment="1" applyProtection="1">
      <alignment horizontal="right" vertical="top"/>
    </xf>
    <xf numFmtId="10" fontId="85" fillId="0" borderId="0" xfId="1" applyNumberFormat="1" applyFont="1" applyFill="1" applyAlignment="1">
      <alignment vertical="top"/>
    </xf>
    <xf numFmtId="0" fontId="19" fillId="0" borderId="0" xfId="11" applyFont="1" applyAlignment="1">
      <alignment vertical="top" wrapText="1"/>
    </xf>
    <xf numFmtId="0" fontId="89" fillId="0" borderId="1" xfId="11" applyFont="1" applyBorder="1"/>
    <xf numFmtId="168" fontId="91" fillId="0" borderId="0" xfId="1" applyNumberFormat="1" applyFont="1" applyFill="1" applyBorder="1" applyAlignment="1" applyProtection="1">
      <alignment vertical="top"/>
    </xf>
    <xf numFmtId="3" fontId="85" fillId="0" borderId="1" xfId="11" applyNumberFormat="1" applyFont="1" applyBorder="1" applyAlignment="1">
      <alignment vertical="top"/>
    </xf>
    <xf numFmtId="168" fontId="85" fillId="0" borderId="2" xfId="1" applyNumberFormat="1" applyFont="1" applyFill="1" applyBorder="1" applyAlignment="1" applyProtection="1">
      <alignment vertical="top"/>
    </xf>
    <xf numFmtId="1" fontId="85" fillId="0" borderId="2" xfId="1" applyNumberFormat="1" applyFont="1" applyFill="1" applyBorder="1" applyAlignment="1" applyProtection="1">
      <alignment vertical="top"/>
    </xf>
    <xf numFmtId="169" fontId="85" fillId="0" borderId="2" xfId="1" applyNumberFormat="1" applyFont="1" applyFill="1" applyBorder="1" applyAlignment="1" applyProtection="1">
      <alignment vertical="top"/>
    </xf>
    <xf numFmtId="0" fontId="89" fillId="0" borderId="0" xfId="11" applyFont="1" applyAlignment="1">
      <alignment vertical="top"/>
    </xf>
    <xf numFmtId="9" fontId="85" fillId="0" borderId="0" xfId="1" applyFont="1" applyFill="1" applyAlignment="1" applyProtection="1">
      <alignment horizontal="right" vertical="top"/>
    </xf>
    <xf numFmtId="10" fontId="85" fillId="0" borderId="0" xfId="1" applyNumberFormat="1" applyFont="1" applyFill="1" applyBorder="1" applyAlignment="1" applyProtection="1">
      <alignment vertical="top"/>
    </xf>
    <xf numFmtId="0" fontId="86" fillId="0" borderId="2" xfId="0" applyFont="1" applyBorder="1" applyAlignment="1">
      <alignment vertical="center"/>
    </xf>
    <xf numFmtId="0" fontId="85" fillId="0" borderId="2" xfId="0" applyFont="1" applyBorder="1" applyAlignment="1">
      <alignment vertical="center"/>
    </xf>
    <xf numFmtId="49" fontId="90" fillId="0" borderId="16" xfId="0" applyNumberFormat="1" applyFont="1" applyBorder="1" applyAlignment="1">
      <alignment horizontal="left" vertical="center"/>
    </xf>
    <xf numFmtId="0" fontId="90" fillId="0" borderId="16" xfId="0" applyFont="1" applyBorder="1" applyAlignment="1">
      <alignment vertical="center"/>
    </xf>
    <xf numFmtId="10" fontId="85" fillId="0" borderId="0" xfId="1" applyNumberFormat="1" applyFont="1" applyProtection="1"/>
    <xf numFmtId="49" fontId="90" fillId="0" borderId="16" xfId="11" applyNumberFormat="1" applyFont="1" applyBorder="1" applyAlignment="1">
      <alignment horizontal="left" vertical="center"/>
    </xf>
    <xf numFmtId="0" fontId="90" fillId="0" borderId="16" xfId="11" applyFont="1" applyBorder="1" applyAlignment="1">
      <alignment vertical="center"/>
    </xf>
    <xf numFmtId="49" fontId="90" fillId="0" borderId="12" xfId="11" applyNumberFormat="1" applyFont="1" applyBorder="1" applyAlignment="1">
      <alignment horizontal="left" vertical="center"/>
    </xf>
    <xf numFmtId="0" fontId="90" fillId="0" borderId="12" xfId="11" applyFont="1" applyBorder="1" applyAlignment="1">
      <alignment vertical="center"/>
    </xf>
    <xf numFmtId="3" fontId="90" fillId="0" borderId="16" xfId="11" applyNumberFormat="1" applyFont="1" applyBorder="1" applyAlignment="1">
      <alignment vertical="center"/>
    </xf>
    <xf numFmtId="49" fontId="90" fillId="0" borderId="17" xfId="11" applyNumberFormat="1" applyFont="1" applyBorder="1" applyAlignment="1">
      <alignment horizontal="left" vertical="center"/>
    </xf>
    <xf numFmtId="0" fontId="85" fillId="0" borderId="0" xfId="0" applyFont="1"/>
    <xf numFmtId="10" fontId="85" fillId="0" borderId="0" xfId="1" applyNumberFormat="1" applyFont="1" applyAlignment="1" applyProtection="1">
      <alignment horizontal="right" vertical="center"/>
    </xf>
    <xf numFmtId="10" fontId="85" fillId="0" borderId="0" xfId="0" applyNumberFormat="1" applyFont="1" applyAlignment="1">
      <alignment horizontal="right" vertical="center"/>
    </xf>
    <xf numFmtId="0" fontId="85" fillId="0" borderId="0" xfId="0" applyFont="1" applyAlignment="1">
      <alignment horizontal="right" vertical="center"/>
    </xf>
    <xf numFmtId="3" fontId="94" fillId="0" borderId="1" xfId="11" applyNumberFormat="1" applyFont="1" applyBorder="1" applyAlignment="1">
      <alignment vertical="top"/>
    </xf>
    <xf numFmtId="171" fontId="92" fillId="0" borderId="2" xfId="1" applyNumberFormat="1" applyFont="1" applyFill="1" applyBorder="1" applyAlignment="1" applyProtection="1">
      <alignment vertical="top"/>
    </xf>
    <xf numFmtId="0" fontId="26" fillId="0" borderId="18" xfId="0" applyFont="1" applyBorder="1" applyAlignment="1">
      <alignment horizontal="right" vertical="center" wrapText="1"/>
    </xf>
    <xf numFmtId="0" fontId="26" fillId="0" borderId="8" xfId="0" applyFont="1" applyBorder="1" applyAlignment="1">
      <alignment horizontal="center" vertical="center" wrapText="1"/>
    </xf>
    <xf numFmtId="167" fontId="62" fillId="0" borderId="3" xfId="17" applyFont="1" applyBorder="1">
      <alignment vertical="center"/>
    </xf>
    <xf numFmtId="49" fontId="87" fillId="0" borderId="0" xfId="11" applyNumberFormat="1" applyFont="1" applyAlignment="1">
      <alignment horizontal="left" vertical="center"/>
    </xf>
    <xf numFmtId="2" fontId="87" fillId="0" borderId="3" xfId="11" applyNumberFormat="1" applyFont="1" applyBorder="1" applyAlignment="1">
      <alignment horizontal="left" vertical="center"/>
    </xf>
    <xf numFmtId="0" fontId="87" fillId="0" borderId="3" xfId="11" applyFont="1" applyBorder="1" applyAlignment="1">
      <alignment horizontal="left" vertical="center"/>
    </xf>
    <xf numFmtId="168" fontId="87" fillId="0" borderId="3" xfId="1" applyNumberFormat="1" applyFont="1" applyFill="1" applyBorder="1" applyAlignment="1" applyProtection="1">
      <alignment vertical="center"/>
    </xf>
    <xf numFmtId="3" fontId="87" fillId="0" borderId="3" xfId="0" applyNumberFormat="1" applyFont="1" applyBorder="1" applyAlignment="1">
      <alignment vertical="center"/>
    </xf>
    <xf numFmtId="3" fontId="87" fillId="0" borderId="3" xfId="11" applyNumberFormat="1" applyFont="1" applyBorder="1" applyAlignment="1">
      <alignment vertical="center"/>
    </xf>
    <xf numFmtId="0" fontId="26" fillId="0" borderId="0" xfId="11" applyFont="1" applyAlignment="1">
      <alignment vertical="center"/>
    </xf>
    <xf numFmtId="0" fontId="87" fillId="0" borderId="4" xfId="11" applyFont="1" applyBorder="1" applyAlignment="1">
      <alignment horizontal="left" vertical="center"/>
    </xf>
    <xf numFmtId="168" fontId="87" fillId="0" borderId="4" xfId="1" applyNumberFormat="1" applyFont="1" applyFill="1" applyBorder="1" applyAlignment="1" applyProtection="1">
      <alignment vertical="center"/>
    </xf>
    <xf numFmtId="3" fontId="87" fillId="0" borderId="4" xfId="0" applyNumberFormat="1" applyFont="1" applyBorder="1" applyAlignment="1">
      <alignment vertical="center"/>
    </xf>
    <xf numFmtId="3" fontId="87" fillId="0" borderId="4" xfId="11" applyNumberFormat="1" applyFont="1" applyBorder="1" applyAlignment="1">
      <alignment vertical="center"/>
    </xf>
    <xf numFmtId="0" fontId="87" fillId="0" borderId="1" xfId="11" applyFont="1" applyBorder="1" applyAlignment="1">
      <alignment wrapText="1"/>
    </xf>
    <xf numFmtId="0" fontId="97" fillId="0" borderId="1" xfId="11" applyFont="1" applyBorder="1"/>
    <xf numFmtId="0" fontId="26" fillId="0" borderId="0" xfId="0" applyFont="1" applyAlignment="1">
      <alignment horizontal="right" vertical="center"/>
    </xf>
    <xf numFmtId="49" fontId="98" fillId="0" borderId="0" xfId="11" applyNumberFormat="1" applyFont="1" applyAlignment="1">
      <alignment horizontal="left" vertical="center"/>
    </xf>
    <xf numFmtId="0" fontId="98" fillId="0" borderId="4" xfId="11" applyFont="1" applyBorder="1" applyAlignment="1">
      <alignment horizontal="left" vertical="center"/>
    </xf>
    <xf numFmtId="168" fontId="98" fillId="0" borderId="4" xfId="1" applyNumberFormat="1" applyFont="1" applyFill="1" applyBorder="1" applyAlignment="1" applyProtection="1">
      <alignment vertical="center"/>
    </xf>
    <xf numFmtId="3" fontId="98" fillId="0" borderId="4" xfId="0" applyNumberFormat="1" applyFont="1" applyBorder="1" applyAlignment="1">
      <alignment vertical="center"/>
    </xf>
    <xf numFmtId="0" fontId="99" fillId="0" borderId="0" xfId="11" applyFont="1" applyAlignment="1">
      <alignment vertical="center"/>
    </xf>
    <xf numFmtId="49" fontId="87" fillId="0" borderId="21" xfId="11" applyNumberFormat="1" applyFont="1" applyBorder="1" applyAlignment="1">
      <alignment horizontal="left" vertical="center"/>
    </xf>
    <xf numFmtId="49" fontId="87" fillId="0" borderId="3" xfId="11" applyNumberFormat="1" applyFont="1" applyBorder="1" applyAlignment="1">
      <alignment horizontal="left" vertical="center"/>
    </xf>
    <xf numFmtId="0" fontId="98" fillId="0" borderId="11" xfId="11" applyFont="1" applyBorder="1" applyAlignment="1">
      <alignment horizontal="left" vertical="center"/>
    </xf>
    <xf numFmtId="168" fontId="98" fillId="0" borderId="11" xfId="1" applyNumberFormat="1" applyFont="1" applyFill="1" applyBorder="1" applyAlignment="1" applyProtection="1">
      <alignment vertical="center"/>
    </xf>
    <xf numFmtId="3" fontId="98" fillId="0" borderId="11" xfId="0" applyNumberFormat="1" applyFont="1" applyBorder="1" applyAlignment="1">
      <alignment vertical="center"/>
    </xf>
    <xf numFmtId="0" fontId="87" fillId="0" borderId="1" xfId="11" applyFont="1" applyBorder="1" applyAlignment="1">
      <alignment horizontal="left"/>
    </xf>
    <xf numFmtId="0" fontId="87" fillId="0" borderId="1" xfId="11" applyFont="1" applyBorder="1"/>
    <xf numFmtId="2" fontId="87" fillId="0" borderId="1" xfId="11" applyNumberFormat="1" applyFont="1" applyBorder="1" applyAlignment="1">
      <alignment horizontal="right" textRotation="90" wrapText="1"/>
    </xf>
    <xf numFmtId="3" fontId="87" fillId="0" borderId="1" xfId="11" applyNumberFormat="1" applyFont="1" applyBorder="1" applyAlignment="1">
      <alignment horizontal="right" textRotation="90" wrapText="1"/>
    </xf>
    <xf numFmtId="0" fontId="87" fillId="0" borderId="0" xfId="11" applyFont="1"/>
    <xf numFmtId="0" fontId="72" fillId="0" borderId="0" xfId="11" applyFont="1" applyAlignment="1">
      <alignment vertical="center"/>
    </xf>
    <xf numFmtId="3" fontId="100" fillId="0" borderId="12" xfId="11" applyNumberFormat="1" applyFont="1" applyBorder="1" applyAlignment="1">
      <alignment vertical="center"/>
    </xf>
    <xf numFmtId="49" fontId="100" fillId="0" borderId="12" xfId="0" applyNumberFormat="1" applyFont="1" applyBorder="1" applyAlignment="1">
      <alignment horizontal="left" vertical="center"/>
    </xf>
    <xf numFmtId="49" fontId="100" fillId="0" borderId="12" xfId="11" applyNumberFormat="1" applyFont="1" applyBorder="1" applyAlignment="1">
      <alignment horizontal="left" vertical="center"/>
    </xf>
    <xf numFmtId="0" fontId="19" fillId="0" borderId="0" xfId="0" applyFont="1" applyAlignment="1">
      <alignment horizontal="right" vertical="center" wrapText="1"/>
    </xf>
    <xf numFmtId="0" fontId="62" fillId="0" borderId="0" xfId="0" applyFont="1"/>
    <xf numFmtId="10" fontId="19" fillId="0" borderId="6" xfId="1" applyNumberFormat="1" applyFont="1" applyFill="1" applyBorder="1" applyAlignment="1" applyProtection="1">
      <alignment vertical="top"/>
    </xf>
    <xf numFmtId="10" fontId="19" fillId="0" borderId="4" xfId="1" applyNumberFormat="1" applyFont="1" applyFill="1" applyBorder="1" applyAlignment="1" applyProtection="1">
      <alignment horizontal="right" vertical="top"/>
    </xf>
    <xf numFmtId="10" fontId="19" fillId="0" borderId="6" xfId="1" applyNumberFormat="1" applyFont="1" applyFill="1" applyBorder="1" applyAlignment="1" applyProtection="1">
      <alignment horizontal="right" vertical="top"/>
    </xf>
    <xf numFmtId="2" fontId="36" fillId="0" borderId="4" xfId="1" applyNumberFormat="1" applyFont="1" applyFill="1" applyBorder="1" applyAlignment="1">
      <alignment vertical="center"/>
    </xf>
    <xf numFmtId="0" fontId="21" fillId="13" borderId="4" xfId="0" applyFont="1" applyFill="1" applyBorder="1" applyAlignment="1" applyProtection="1">
      <alignment wrapText="1"/>
      <protection locked="0"/>
    </xf>
    <xf numFmtId="49" fontId="21" fillId="13" borderId="4" xfId="0" applyNumberFormat="1" applyFont="1" applyFill="1" applyBorder="1" applyAlignment="1" applyProtection="1">
      <alignment wrapText="1"/>
      <protection locked="0"/>
    </xf>
    <xf numFmtId="0" fontId="75" fillId="13" borderId="4" xfId="0" applyFont="1" applyFill="1" applyBorder="1" applyAlignment="1" applyProtection="1">
      <alignment wrapText="1"/>
      <protection locked="0"/>
    </xf>
    <xf numFmtId="0" fontId="21" fillId="13" borderId="4" xfId="0" applyFont="1" applyFill="1" applyBorder="1" applyProtection="1">
      <protection locked="0"/>
    </xf>
    <xf numFmtId="49" fontId="21" fillId="13" borderId="4" xfId="0" applyNumberFormat="1" applyFont="1" applyFill="1" applyBorder="1" applyProtection="1">
      <protection locked="0"/>
    </xf>
    <xf numFmtId="14" fontId="21" fillId="13" borderId="4" xfId="0" applyNumberFormat="1" applyFont="1" applyFill="1" applyBorder="1" applyAlignment="1" applyProtection="1">
      <alignment horizontal="left"/>
      <protection locked="0"/>
    </xf>
    <xf numFmtId="3" fontId="60" fillId="13" borderId="4" xfId="0" applyNumberFormat="1" applyFont="1" applyFill="1" applyBorder="1" applyAlignment="1" applyProtection="1">
      <alignment vertical="center" wrapText="1"/>
      <protection locked="0"/>
    </xf>
    <xf numFmtId="0" fontId="102" fillId="0" borderId="4" xfId="9" applyNumberFormat="1" applyFont="1" applyBorder="1" applyAlignment="1">
      <alignment horizontal="left" vertical="center"/>
    </xf>
    <xf numFmtId="3" fontId="103" fillId="0" borderId="4" xfId="0" applyNumberFormat="1" applyFont="1" applyBorder="1" applyAlignment="1">
      <alignment horizontal="right" wrapText="1"/>
    </xf>
    <xf numFmtId="175" fontId="103" fillId="0" borderId="4" xfId="0" applyNumberFormat="1" applyFont="1" applyBorder="1" applyAlignment="1">
      <alignment horizontal="right" wrapText="1"/>
    </xf>
    <xf numFmtId="0" fontId="103" fillId="0" borderId="0" xfId="0" applyFont="1"/>
    <xf numFmtId="0" fontId="84" fillId="0" borderId="4" xfId="0" applyFont="1" applyBorder="1" applyAlignment="1">
      <alignment vertical="center"/>
    </xf>
    <xf numFmtId="0" fontId="84" fillId="0" borderId="3" xfId="0" applyFont="1" applyBorder="1" applyAlignment="1">
      <alignment vertical="center"/>
    </xf>
    <xf numFmtId="3" fontId="36" fillId="0" borderId="0" xfId="0" applyNumberFormat="1" applyFont="1"/>
    <xf numFmtId="0" fontId="84" fillId="0" borderId="0" xfId="0" applyFont="1" applyAlignment="1">
      <alignment vertical="center"/>
    </xf>
    <xf numFmtId="0" fontId="54" fillId="0" borderId="4" xfId="0" applyFont="1" applyBorder="1" applyAlignment="1">
      <alignment vertical="center"/>
    </xf>
    <xf numFmtId="0" fontId="103" fillId="0" borderId="4" xfId="0" applyFont="1" applyBorder="1"/>
    <xf numFmtId="172" fontId="97" fillId="0" borderId="3" xfId="11" applyNumberFormat="1" applyFont="1" applyBorder="1" applyAlignment="1">
      <alignment vertical="center"/>
    </xf>
    <xf numFmtId="172" fontId="97" fillId="0" borderId="4" xfId="11" applyNumberFormat="1" applyFont="1" applyBorder="1" applyAlignment="1">
      <alignment vertical="center"/>
    </xf>
    <xf numFmtId="0" fontId="100" fillId="0" borderId="12" xfId="0" applyFont="1" applyBorder="1" applyAlignment="1">
      <alignment vertical="center"/>
    </xf>
    <xf numFmtId="168" fontId="100" fillId="0" borderId="12" xfId="1" applyNumberFormat="1" applyFont="1" applyFill="1" applyBorder="1" applyAlignment="1" applyProtection="1">
      <alignment horizontal="right" vertical="center"/>
    </xf>
    <xf numFmtId="0" fontId="100" fillId="0" borderId="12" xfId="11" applyFont="1" applyBorder="1" applyAlignment="1">
      <alignment vertical="center"/>
    </xf>
    <xf numFmtId="172" fontId="105" fillId="0" borderId="12" xfId="1" applyNumberFormat="1" applyFont="1" applyFill="1" applyBorder="1" applyAlignment="1" applyProtection="1">
      <alignment horizontal="right" vertical="center"/>
    </xf>
    <xf numFmtId="168" fontId="100" fillId="0" borderId="12" xfId="1" applyNumberFormat="1" applyFont="1" applyFill="1" applyBorder="1" applyAlignment="1" applyProtection="1">
      <alignment vertical="center"/>
    </xf>
    <xf numFmtId="3" fontId="100" fillId="0" borderId="12" xfId="0" applyNumberFormat="1" applyFont="1" applyBorder="1" applyAlignment="1">
      <alignment vertical="center"/>
    </xf>
    <xf numFmtId="172" fontId="105" fillId="0" borderId="12" xfId="11" applyNumberFormat="1" applyFont="1" applyBorder="1" applyAlignment="1">
      <alignment vertical="center"/>
    </xf>
    <xf numFmtId="3" fontId="100" fillId="0" borderId="1" xfId="11" applyNumberFormat="1" applyFont="1" applyBorder="1" applyAlignment="1">
      <alignment vertical="center"/>
    </xf>
    <xf numFmtId="168" fontId="100" fillId="0" borderId="1" xfId="1" applyNumberFormat="1" applyFont="1" applyFill="1" applyBorder="1" applyAlignment="1" applyProtection="1">
      <alignment vertical="center"/>
    </xf>
    <xf numFmtId="3" fontId="100" fillId="0" borderId="1" xfId="0" applyNumberFormat="1" applyFont="1" applyBorder="1" applyAlignment="1">
      <alignment vertical="center"/>
    </xf>
    <xf numFmtId="172" fontId="105" fillId="0" borderId="1" xfId="11" applyNumberFormat="1" applyFont="1" applyBorder="1" applyAlignment="1">
      <alignment vertical="center"/>
    </xf>
    <xf numFmtId="0" fontId="100" fillId="0" borderId="12" xfId="11" applyFont="1" applyBorder="1" applyAlignment="1">
      <alignment horizontal="left" vertical="center"/>
    </xf>
    <xf numFmtId="174" fontId="62" fillId="0" borderId="4" xfId="17" applyNumberFormat="1" applyFont="1">
      <alignment vertical="center"/>
    </xf>
    <xf numFmtId="49" fontId="141" fillId="0" borderId="0" xfId="7" applyNumberFormat="1" applyAlignment="1"/>
    <xf numFmtId="174" fontId="26" fillId="0" borderId="4" xfId="17" applyNumberFormat="1" applyFont="1" applyAlignment="1">
      <alignment horizontal="right" vertical="center"/>
    </xf>
    <xf numFmtId="3" fontId="84" fillId="0" borderId="0" xfId="0" applyNumberFormat="1" applyFont="1" applyAlignment="1">
      <alignment vertical="center" wrapText="1"/>
    </xf>
    <xf numFmtId="3" fontId="84" fillId="0" borderId="0" xfId="0" applyNumberFormat="1" applyFont="1" applyAlignment="1">
      <alignment vertical="center"/>
    </xf>
    <xf numFmtId="10" fontId="84" fillId="0" borderId="0" xfId="1" applyNumberFormat="1" applyFont="1" applyFill="1" applyBorder="1" applyAlignment="1" applyProtection="1">
      <alignment vertical="center"/>
    </xf>
    <xf numFmtId="0" fontId="84" fillId="0" borderId="0" xfId="0" applyFont="1" applyAlignment="1">
      <alignment horizontal="left" vertical="center" indent="2"/>
    </xf>
    <xf numFmtId="0" fontId="81" fillId="0" borderId="3" xfId="0" applyFont="1" applyBorder="1" applyAlignment="1">
      <alignment vertical="center"/>
    </xf>
    <xf numFmtId="2" fontId="107" fillId="0" borderId="3" xfId="0" applyNumberFormat="1" applyFont="1" applyBorder="1"/>
    <xf numFmtId="2" fontId="107" fillId="0" borderId="4" xfId="0" applyNumberFormat="1" applyFont="1" applyBorder="1"/>
    <xf numFmtId="3" fontId="107" fillId="0" borderId="4" xfId="0" applyNumberFormat="1" applyFont="1" applyBorder="1" applyAlignment="1">
      <alignment wrapText="1"/>
    </xf>
    <xf numFmtId="2" fontId="107" fillId="0" borderId="0" xfId="0" applyNumberFormat="1" applyFont="1"/>
    <xf numFmtId="2" fontId="107" fillId="0" borderId="8" xfId="0" applyNumberFormat="1" applyFont="1" applyBorder="1"/>
    <xf numFmtId="0" fontId="84" fillId="0" borderId="0" xfId="0" applyFont="1" applyAlignment="1">
      <alignment vertical="center" wrapText="1"/>
    </xf>
    <xf numFmtId="173" fontId="84" fillId="0" borderId="0" xfId="0" applyNumberFormat="1" applyFont="1" applyAlignment="1">
      <alignment vertical="center"/>
    </xf>
    <xf numFmtId="0" fontId="106" fillId="0" borderId="0" xfId="0" applyFont="1" applyAlignment="1">
      <alignment vertical="center"/>
    </xf>
    <xf numFmtId="3" fontId="106" fillId="0" borderId="0" xfId="0" applyNumberFormat="1" applyFont="1" applyAlignment="1">
      <alignment vertical="center"/>
    </xf>
    <xf numFmtId="0" fontId="102" fillId="0" borderId="8" xfId="9" applyNumberFormat="1" applyFont="1" applyBorder="1" applyAlignment="1">
      <alignment horizontal="left" vertical="center" indent="2"/>
    </xf>
    <xf numFmtId="175" fontId="103" fillId="0" borderId="8" xfId="0" applyNumberFormat="1" applyFont="1" applyBorder="1" applyAlignment="1">
      <alignment horizontal="right" wrapText="1"/>
    </xf>
    <xf numFmtId="0" fontId="84" fillId="0" borderId="8" xfId="0" applyFont="1" applyBorder="1" applyAlignment="1">
      <alignment vertical="center"/>
    </xf>
    <xf numFmtId="0" fontId="102" fillId="0" borderId="0" xfId="9" applyNumberFormat="1" applyFont="1" applyBorder="1" applyAlignment="1">
      <alignment horizontal="left" vertical="center" indent="2"/>
    </xf>
    <xf numFmtId="175" fontId="103" fillId="0" borderId="0" xfId="0" applyNumberFormat="1" applyFont="1" applyAlignment="1">
      <alignment horizontal="right" wrapText="1"/>
    </xf>
    <xf numFmtId="0" fontId="102" fillId="0" borderId="3" xfId="9" applyNumberFormat="1" applyFont="1" applyBorder="1" applyAlignment="1">
      <alignment horizontal="left" vertical="center" indent="2"/>
    </xf>
    <xf numFmtId="175" fontId="103" fillId="0" borderId="3" xfId="0" applyNumberFormat="1" applyFont="1" applyBorder="1" applyAlignment="1">
      <alignment horizontal="right" wrapText="1"/>
    </xf>
    <xf numFmtId="173" fontId="62" fillId="0" borderId="0" xfId="0" applyNumberFormat="1" applyFont="1"/>
    <xf numFmtId="0" fontId="108" fillId="0" borderId="4" xfId="9" applyNumberFormat="1" applyFont="1" applyBorder="1" applyAlignment="1">
      <alignment horizontal="left" vertical="center"/>
    </xf>
    <xf numFmtId="167" fontId="26" fillId="0" borderId="4" xfId="17" applyFont="1" applyAlignment="1">
      <alignment horizontal="right" vertical="center"/>
    </xf>
    <xf numFmtId="3" fontId="36" fillId="0" borderId="4" xfId="0" applyNumberFormat="1" applyFont="1" applyBorder="1" applyAlignment="1">
      <alignment horizontal="right" wrapText="1"/>
    </xf>
    <xf numFmtId="0" fontId="17" fillId="0" borderId="3" xfId="9" applyNumberFormat="1" applyFont="1" applyBorder="1" applyAlignment="1">
      <alignment horizontal="left" vertical="center"/>
    </xf>
    <xf numFmtId="0" fontId="109" fillId="0" borderId="3" xfId="0" applyFont="1" applyBorder="1" applyAlignment="1">
      <alignment vertical="center"/>
    </xf>
    <xf numFmtId="0" fontId="107" fillId="0" borderId="3" xfId="0" applyFont="1" applyBorder="1" applyAlignment="1">
      <alignment vertical="center"/>
    </xf>
    <xf numFmtId="0" fontId="107" fillId="0" borderId="4" xfId="0" applyFont="1" applyBorder="1" applyAlignment="1">
      <alignment vertical="center" wrapText="1"/>
    </xf>
    <xf numFmtId="3" fontId="107" fillId="0" borderId="4" xfId="0" applyNumberFormat="1" applyFont="1" applyBorder="1" applyAlignment="1">
      <alignment horizontal="right" vertical="center" wrapText="1"/>
    </xf>
    <xf numFmtId="0" fontId="107" fillId="0" borderId="4" xfId="0" applyFont="1" applyBorder="1" applyAlignment="1">
      <alignment vertical="center"/>
    </xf>
    <xf numFmtId="0" fontId="112" fillId="0" borderId="4" xfId="0" applyFont="1" applyBorder="1" applyAlignment="1">
      <alignment vertical="center"/>
    </xf>
    <xf numFmtId="3" fontId="113" fillId="0" borderId="4" xfId="0" applyNumberFormat="1" applyFont="1" applyBorder="1" applyAlignment="1">
      <alignment vertical="center" wrapText="1"/>
    </xf>
    <xf numFmtId="3" fontId="107" fillId="0" borderId="4" xfId="0" applyNumberFormat="1" applyFont="1" applyBorder="1" applyAlignment="1">
      <alignment vertical="center"/>
    </xf>
    <xf numFmtId="0" fontId="107" fillId="0" borderId="0" xfId="0" applyFont="1" applyAlignment="1">
      <alignment horizontal="left" vertical="center" indent="2"/>
    </xf>
    <xf numFmtId="10" fontId="107" fillId="0" borderId="0" xfId="1" applyNumberFormat="1" applyFont="1" applyFill="1" applyBorder="1" applyAlignment="1" applyProtection="1">
      <alignment vertical="center"/>
    </xf>
    <xf numFmtId="3" fontId="107" fillId="0" borderId="0" xfId="0" applyNumberFormat="1" applyFont="1" applyAlignment="1">
      <alignment vertical="center" wrapText="1"/>
    </xf>
    <xf numFmtId="3" fontId="107" fillId="0" borderId="0" xfId="0" applyNumberFormat="1" applyFont="1" applyAlignment="1">
      <alignment vertical="center"/>
    </xf>
    <xf numFmtId="0" fontId="107" fillId="0" borderId="3" xfId="0" applyFont="1" applyBorder="1" applyAlignment="1">
      <alignment horizontal="left" vertical="center" indent="2"/>
    </xf>
    <xf numFmtId="10" fontId="107" fillId="0" borderId="3" xfId="1" applyNumberFormat="1" applyFont="1" applyFill="1" applyBorder="1" applyAlignment="1" applyProtection="1">
      <alignment vertical="center"/>
    </xf>
    <xf numFmtId="3" fontId="107" fillId="0" borderId="3" xfId="0" applyNumberFormat="1" applyFont="1" applyBorder="1" applyAlignment="1">
      <alignment vertical="center" wrapText="1"/>
    </xf>
    <xf numFmtId="3" fontId="107" fillId="0" borderId="3" xfId="0" applyNumberFormat="1" applyFont="1" applyBorder="1" applyAlignment="1">
      <alignment vertical="center"/>
    </xf>
    <xf numFmtId="0" fontId="62" fillId="0" borderId="4" xfId="0" applyFont="1" applyBorder="1" applyAlignment="1">
      <alignment vertical="center"/>
    </xf>
    <xf numFmtId="0" fontId="114" fillId="0" borderId="4" xfId="0" applyFont="1" applyBorder="1" applyAlignment="1">
      <alignment horizontal="right" vertical="center"/>
    </xf>
    <xf numFmtId="3" fontId="62" fillId="0" borderId="7" xfId="0" applyNumberFormat="1" applyFont="1" applyBorder="1" applyAlignment="1">
      <alignment vertical="center" wrapText="1"/>
    </xf>
    <xf numFmtId="0" fontId="116" fillId="0" borderId="4" xfId="0" applyFont="1" applyBorder="1" applyAlignment="1">
      <alignment vertical="center"/>
    </xf>
    <xf numFmtId="0" fontId="116" fillId="0" borderId="0" xfId="0" applyFont="1" applyAlignment="1">
      <alignment horizontal="left" vertical="center" indent="2"/>
    </xf>
    <xf numFmtId="10" fontId="116" fillId="0" borderId="0" xfId="1" applyNumberFormat="1" applyFont="1" applyFill="1" applyBorder="1" applyAlignment="1" applyProtection="1">
      <alignment vertical="center"/>
    </xf>
    <xf numFmtId="3" fontId="116" fillId="0" borderId="0" xfId="0" applyNumberFormat="1" applyFont="1" applyAlignment="1">
      <alignment vertical="center" wrapText="1"/>
    </xf>
    <xf numFmtId="3" fontId="116" fillId="0" borderId="0" xfId="0" applyNumberFormat="1" applyFont="1" applyAlignment="1">
      <alignment vertical="center"/>
    </xf>
    <xf numFmtId="0" fontId="116" fillId="0" borderId="3" xfId="0" applyFont="1" applyBorder="1" applyAlignment="1">
      <alignment horizontal="left" vertical="center" indent="2"/>
    </xf>
    <xf numFmtId="3" fontId="116" fillId="0" borderId="3" xfId="0" applyNumberFormat="1" applyFont="1" applyBorder="1" applyAlignment="1">
      <alignment vertical="center"/>
    </xf>
    <xf numFmtId="3" fontId="62" fillId="0" borderId="3" xfId="2" applyNumberFormat="1" applyFont="1" applyBorder="1" applyAlignment="1">
      <alignment vertical="center" wrapText="1"/>
    </xf>
    <xf numFmtId="167" fontId="117" fillId="0" borderId="4" xfId="17" applyFont="1">
      <alignment vertical="center"/>
    </xf>
    <xf numFmtId="3" fontId="116" fillId="0" borderId="4" xfId="0" applyNumberFormat="1" applyFont="1" applyBorder="1" applyAlignment="1">
      <alignment vertical="center" wrapText="1"/>
    </xf>
    <xf numFmtId="3" fontId="116" fillId="0" borderId="4" xfId="0" applyNumberFormat="1" applyFont="1" applyBorder="1" applyAlignment="1">
      <alignment vertical="center"/>
    </xf>
    <xf numFmtId="175" fontId="116" fillId="0" borderId="4" xfId="0" applyNumberFormat="1" applyFont="1" applyBorder="1" applyAlignment="1">
      <alignment vertical="center" wrapText="1"/>
    </xf>
    <xf numFmtId="2" fontId="26" fillId="0" borderId="3" xfId="0" applyNumberFormat="1" applyFont="1" applyBorder="1" applyAlignment="1">
      <alignment vertical="center"/>
    </xf>
    <xf numFmtId="3" fontId="26" fillId="0" borderId="7" xfId="11" applyNumberFormat="1" applyFont="1" applyBorder="1" applyAlignment="1">
      <alignment vertical="center"/>
    </xf>
    <xf numFmtId="2" fontId="26" fillId="0" borderId="4" xfId="0" applyNumberFormat="1" applyFont="1" applyBorder="1" applyAlignment="1">
      <alignment vertical="center"/>
    </xf>
    <xf numFmtId="3" fontId="26" fillId="0" borderId="4" xfId="11" applyNumberFormat="1" applyFont="1" applyBorder="1" applyAlignment="1">
      <alignment vertical="center"/>
    </xf>
    <xf numFmtId="0" fontId="119" fillId="0" borderId="0" xfId="0" applyFont="1" applyAlignment="1">
      <alignment vertical="center"/>
    </xf>
    <xf numFmtId="3" fontId="26" fillId="0" borderId="2" xfId="0" applyNumberFormat="1" applyFont="1" applyBorder="1" applyAlignment="1">
      <alignment horizontal="right"/>
    </xf>
    <xf numFmtId="175" fontId="36" fillId="0" borderId="8" xfId="0" applyNumberFormat="1" applyFont="1" applyBorder="1" applyAlignment="1">
      <alignment horizontal="right" wrapText="1"/>
    </xf>
    <xf numFmtId="0" fontId="120" fillId="0" borderId="4" xfId="9" applyNumberFormat="1" applyFont="1" applyBorder="1" applyAlignment="1">
      <alignment horizontal="left" vertical="center"/>
    </xf>
    <xf numFmtId="3" fontId="111" fillId="13" borderId="8" xfId="0" applyNumberFormat="1" applyFont="1" applyFill="1" applyBorder="1" applyAlignment="1" applyProtection="1">
      <alignment horizontal="right" vertical="center" wrapText="1"/>
      <protection locked="0"/>
    </xf>
    <xf numFmtId="3" fontId="36" fillId="13" borderId="3" xfId="0" applyNumberFormat="1" applyFont="1" applyFill="1" applyBorder="1" applyAlignment="1" applyProtection="1">
      <alignment vertical="center" wrapText="1"/>
      <protection locked="0"/>
    </xf>
    <xf numFmtId="0" fontId="116" fillId="0" borderId="0" xfId="0" applyFont="1" applyAlignment="1">
      <alignment vertical="center"/>
    </xf>
    <xf numFmtId="3" fontId="121" fillId="0" borderId="0" xfId="0" applyNumberFormat="1" applyFont="1" applyAlignment="1">
      <alignment vertical="center"/>
    </xf>
    <xf numFmtId="0" fontId="121" fillId="0" borderId="0" xfId="0" applyFont="1" applyAlignment="1">
      <alignment vertical="center"/>
    </xf>
    <xf numFmtId="0" fontId="107" fillId="0" borderId="3" xfId="0" applyFont="1" applyBorder="1" applyAlignment="1">
      <alignment vertical="center" wrapText="1"/>
    </xf>
    <xf numFmtId="0" fontId="107" fillId="0" borderId="0" xfId="0" applyFont="1" applyAlignment="1">
      <alignment vertical="center"/>
    </xf>
    <xf numFmtId="0" fontId="107" fillId="0" borderId="0" xfId="0" applyFont="1" applyAlignment="1">
      <alignment vertical="center" wrapText="1"/>
    </xf>
    <xf numFmtId="3" fontId="111" fillId="13" borderId="4" xfId="0" applyNumberFormat="1" applyFont="1" applyFill="1" applyBorder="1" applyAlignment="1" applyProtection="1">
      <alignment vertical="center" wrapText="1"/>
      <protection locked="0"/>
    </xf>
    <xf numFmtId="0" fontId="112" fillId="0" borderId="0" xfId="0" applyFont="1" applyAlignment="1">
      <alignment vertical="center"/>
    </xf>
    <xf numFmtId="3" fontId="112" fillId="0" borderId="0" xfId="0" applyNumberFormat="1" applyFont="1" applyAlignment="1">
      <alignment vertical="center"/>
    </xf>
    <xf numFmtId="3" fontId="122" fillId="0" borderId="4" xfId="0" applyNumberFormat="1" applyFont="1" applyBorder="1" applyAlignment="1">
      <alignment vertical="center" wrapText="1"/>
    </xf>
    <xf numFmtId="3" fontId="111" fillId="0" borderId="4" xfId="0" applyNumberFormat="1" applyFont="1" applyBorder="1" applyAlignment="1">
      <alignment vertical="center" wrapText="1"/>
    </xf>
    <xf numFmtId="0" fontId="111" fillId="0" borderId="0" xfId="0" applyFont="1"/>
    <xf numFmtId="0" fontId="116" fillId="0" borderId="3" xfId="0" applyFont="1" applyBorder="1" applyAlignment="1">
      <alignment vertical="center"/>
    </xf>
    <xf numFmtId="3" fontId="116" fillId="0" borderId="3" xfId="0" applyNumberFormat="1" applyFont="1" applyBorder="1" applyAlignment="1">
      <alignment vertical="center" wrapText="1"/>
    </xf>
    <xf numFmtId="3" fontId="116" fillId="0" borderId="8" xfId="0" applyNumberFormat="1" applyFont="1" applyBorder="1" applyAlignment="1">
      <alignment vertical="center" wrapText="1"/>
    </xf>
    <xf numFmtId="3" fontId="19" fillId="13" borderId="0" xfId="0" applyNumberFormat="1" applyFont="1" applyFill="1" applyAlignment="1">
      <alignment vertical="center" wrapText="1"/>
    </xf>
    <xf numFmtId="3" fontId="81" fillId="0" borderId="1" xfId="0" applyNumberFormat="1" applyFont="1" applyBorder="1" applyAlignment="1">
      <alignment wrapText="1"/>
    </xf>
    <xf numFmtId="2" fontId="81" fillId="0" borderId="2" xfId="0" applyNumberFormat="1" applyFont="1" applyBorder="1"/>
    <xf numFmtId="177" fontId="21" fillId="13" borderId="4" xfId="0" applyNumberFormat="1" applyFont="1" applyFill="1" applyBorder="1" applyAlignment="1" applyProtection="1">
      <alignment horizontal="left" wrapText="1"/>
      <protection locked="0"/>
    </xf>
    <xf numFmtId="0" fontId="33" fillId="0" borderId="0" xfId="21" applyFill="1" applyBorder="1" applyAlignment="1">
      <alignment horizontal="center" vertical="center" wrapText="1"/>
    </xf>
    <xf numFmtId="49" fontId="19" fillId="0" borderId="0" xfId="0" applyNumberFormat="1" applyFont="1"/>
    <xf numFmtId="49" fontId="19" fillId="0" borderId="4" xfId="0" applyNumberFormat="1" applyFont="1" applyBorder="1"/>
    <xf numFmtId="0" fontId="62" fillId="0" borderId="0" xfId="11" applyFont="1"/>
    <xf numFmtId="170" fontId="42" fillId="0" borderId="2" xfId="6" applyNumberFormat="1" applyFont="1" applyFill="1" applyBorder="1" applyAlignment="1" applyProtection="1">
      <alignment horizontal="right" vertical="top"/>
    </xf>
    <xf numFmtId="177" fontId="19" fillId="0" borderId="4" xfId="0" applyNumberFormat="1" applyFont="1" applyBorder="1" applyAlignment="1">
      <alignment horizontal="left"/>
    </xf>
    <xf numFmtId="0" fontId="119" fillId="0" borderId="1" xfId="11" applyFont="1" applyBorder="1"/>
    <xf numFmtId="3" fontId="54" fillId="0" borderId="3" xfId="11" applyNumberFormat="1" applyFont="1" applyBorder="1" applyAlignment="1">
      <alignment horizontal="right" vertical="top"/>
    </xf>
    <xf numFmtId="3" fontId="119" fillId="0" borderId="4" xfId="11" applyNumberFormat="1" applyFont="1" applyBorder="1" applyAlignment="1">
      <alignment vertical="top"/>
    </xf>
    <xf numFmtId="3" fontId="119" fillId="0" borderId="6" xfId="11" applyNumberFormat="1" applyFont="1" applyBorder="1" applyAlignment="1">
      <alignment vertical="top"/>
    </xf>
    <xf numFmtId="3" fontId="119" fillId="0" borderId="2" xfId="11" applyNumberFormat="1" applyFont="1" applyBorder="1" applyAlignment="1">
      <alignment vertical="top"/>
    </xf>
    <xf numFmtId="171" fontId="54" fillId="0" borderId="2" xfId="1" applyNumberFormat="1" applyFont="1" applyFill="1" applyBorder="1" applyAlignment="1" applyProtection="1">
      <alignment vertical="top"/>
    </xf>
    <xf numFmtId="3" fontId="119" fillId="0" borderId="1" xfId="11" applyNumberFormat="1" applyFont="1" applyBorder="1" applyAlignment="1">
      <alignment vertical="top"/>
    </xf>
    <xf numFmtId="172" fontId="54" fillId="0" borderId="3" xfId="11" applyNumberFormat="1" applyFont="1" applyBorder="1" applyAlignment="1">
      <alignment horizontal="right" vertical="top"/>
    </xf>
    <xf numFmtId="172" fontId="119" fillId="0" borderId="4" xfId="11" applyNumberFormat="1" applyFont="1" applyBorder="1" applyAlignment="1">
      <alignment vertical="top"/>
    </xf>
    <xf numFmtId="172" fontId="119" fillId="0" borderId="6" xfId="11" applyNumberFormat="1" applyFont="1" applyBorder="1" applyAlignment="1">
      <alignment vertical="top"/>
    </xf>
    <xf numFmtId="172" fontId="54" fillId="0" borderId="3" xfId="11" applyNumberFormat="1" applyFont="1" applyBorder="1" applyAlignment="1">
      <alignment vertical="top"/>
    </xf>
    <xf numFmtId="9" fontId="36" fillId="0" borderId="0" xfId="1" applyFont="1" applyFill="1" applyBorder="1" applyAlignment="1">
      <alignment vertical="center"/>
    </xf>
    <xf numFmtId="1" fontId="62" fillId="0" borderId="4" xfId="0" applyNumberFormat="1" applyFont="1" applyBorder="1"/>
    <xf numFmtId="0" fontId="26" fillId="0" borderId="0" xfId="11" applyFont="1" applyAlignment="1">
      <alignment horizontal="left" vertical="top" wrapText="1"/>
    </xf>
    <xf numFmtId="0" fontId="37" fillId="0" borderId="3" xfId="9" applyNumberFormat="1" applyFont="1" applyBorder="1" applyAlignment="1">
      <alignment horizontal="left" vertical="center"/>
    </xf>
    <xf numFmtId="0" fontId="36" fillId="0" borderId="3" xfId="0" applyFont="1" applyBorder="1"/>
    <xf numFmtId="2" fontId="26" fillId="0" borderId="4" xfId="1" applyNumberFormat="1" applyFont="1" applyBorder="1" applyAlignment="1">
      <alignment vertical="center"/>
    </xf>
    <xf numFmtId="2" fontId="81" fillId="0" borderId="4" xfId="1" applyNumberFormat="1" applyFont="1" applyBorder="1" applyAlignment="1">
      <alignment vertical="center" wrapText="1"/>
    </xf>
    <xf numFmtId="175" fontId="123" fillId="0" borderId="8" xfId="0" applyNumberFormat="1" applyFont="1" applyBorder="1" applyAlignment="1">
      <alignment horizontal="right" wrapText="1"/>
    </xf>
    <xf numFmtId="0" fontId="123" fillId="0" borderId="8" xfId="0" applyFont="1" applyBorder="1" applyAlignment="1">
      <alignment vertical="center"/>
    </xf>
    <xf numFmtId="175" fontId="123" fillId="0" borderId="0" xfId="0" applyNumberFormat="1" applyFont="1" applyAlignment="1">
      <alignment horizontal="right" wrapText="1"/>
    </xf>
    <xf numFmtId="0" fontId="123" fillId="0" borderId="0" xfId="0" applyFont="1" applyAlignment="1">
      <alignment vertical="center"/>
    </xf>
    <xf numFmtId="175" fontId="123" fillId="0" borderId="3" xfId="0" applyNumberFormat="1" applyFont="1" applyBorder="1" applyAlignment="1">
      <alignment horizontal="right" wrapText="1"/>
    </xf>
    <xf numFmtId="0" fontId="123" fillId="0" borderId="3" xfId="0" applyFont="1" applyBorder="1" applyAlignment="1">
      <alignment vertical="center"/>
    </xf>
    <xf numFmtId="178" fontId="36" fillId="0" borderId="0" xfId="2" applyNumberFormat="1" applyFont="1"/>
    <xf numFmtId="10" fontId="123" fillId="0" borderId="3" xfId="1" applyNumberFormat="1" applyFont="1" applyBorder="1" applyAlignment="1">
      <alignment horizontal="right" wrapText="1"/>
    </xf>
    <xf numFmtId="10" fontId="36" fillId="0" borderId="0" xfId="0" applyNumberFormat="1" applyFont="1"/>
    <xf numFmtId="178" fontId="102" fillId="0" borderId="0" xfId="2" applyNumberFormat="1" applyFont="1" applyBorder="1" applyAlignment="1">
      <alignment horizontal="left" vertical="center" indent="2"/>
    </xf>
    <xf numFmtId="3" fontId="123" fillId="0" borderId="0" xfId="0" applyNumberFormat="1" applyFont="1" applyAlignment="1">
      <alignment horizontal="right" wrapText="1"/>
    </xf>
    <xf numFmtId="10" fontId="19" fillId="0" borderId="4" xfId="1" applyNumberFormat="1" applyFont="1" applyBorder="1" applyAlignment="1">
      <alignment vertical="center"/>
    </xf>
    <xf numFmtId="9" fontId="54" fillId="0" borderId="4" xfId="1" applyFont="1" applyBorder="1" applyAlignment="1">
      <alignment vertical="center"/>
    </xf>
    <xf numFmtId="1" fontId="83" fillId="0" borderId="4" xfId="0" applyNumberFormat="1" applyFont="1" applyBorder="1"/>
    <xf numFmtId="172" fontId="103" fillId="0" borderId="4" xfId="0" applyNumberFormat="1" applyFont="1" applyBorder="1" applyAlignment="1">
      <alignment horizontal="right" wrapText="1"/>
    </xf>
    <xf numFmtId="176" fontId="62" fillId="0" borderId="0" xfId="0" applyNumberFormat="1" applyFont="1"/>
    <xf numFmtId="0" fontId="61" fillId="0" borderId="0" xfId="0" applyFont="1"/>
    <xf numFmtId="10" fontId="36" fillId="0" borderId="4" xfId="1" applyNumberFormat="1" applyFont="1" applyFill="1" applyBorder="1" applyAlignment="1">
      <alignment vertical="center"/>
    </xf>
    <xf numFmtId="10" fontId="0" fillId="0" borderId="0" xfId="0" applyNumberFormat="1"/>
    <xf numFmtId="0" fontId="26" fillId="0" borderId="4" xfId="0" applyFont="1" applyBorder="1" applyAlignment="1">
      <alignment horizontal="left" vertical="center"/>
    </xf>
    <xf numFmtId="2" fontId="0" fillId="0" borderId="0" xfId="0" applyNumberFormat="1"/>
    <xf numFmtId="49" fontId="100" fillId="0" borderId="0" xfId="0" applyNumberFormat="1" applyFont="1" applyAlignment="1">
      <alignment horizontal="left" vertical="center"/>
    </xf>
    <xf numFmtId="0" fontId="125" fillId="0" borderId="0" xfId="11" applyFont="1" applyAlignment="1">
      <alignment horizontal="left"/>
    </xf>
    <xf numFmtId="0" fontId="125" fillId="0" borderId="0" xfId="11" applyFont="1"/>
    <xf numFmtId="9" fontId="125" fillId="0" borderId="0" xfId="1" applyFont="1"/>
    <xf numFmtId="49" fontId="100" fillId="0" borderId="0" xfId="11" applyNumberFormat="1" applyFont="1" applyAlignment="1">
      <alignment horizontal="left" vertical="center"/>
    </xf>
    <xf numFmtId="0" fontId="126" fillId="0" borderId="4" xfId="11" applyFont="1" applyBorder="1" applyAlignment="1">
      <alignment horizontal="left" vertical="center"/>
    </xf>
    <xf numFmtId="3" fontId="26" fillId="0" borderId="3" xfId="0" applyNumberFormat="1" applyFont="1" applyBorder="1" applyAlignment="1">
      <alignment vertical="center"/>
    </xf>
    <xf numFmtId="3" fontId="81" fillId="0" borderId="2" xfId="0" applyNumberFormat="1" applyFont="1" applyBorder="1" applyAlignment="1">
      <alignment wrapText="1"/>
    </xf>
    <xf numFmtId="2" fontId="26" fillId="0" borderId="2" xfId="0" applyNumberFormat="1" applyFont="1" applyBorder="1" applyAlignment="1">
      <alignment wrapText="1"/>
    </xf>
    <xf numFmtId="0" fontId="26" fillId="0" borderId="2" xfId="11" applyFont="1" applyBorder="1" applyAlignment="1">
      <alignment wrapText="1"/>
    </xf>
    <xf numFmtId="0" fontId="26" fillId="0" borderId="2" xfId="11" applyFont="1" applyBorder="1" applyAlignment="1">
      <alignment horizontal="left" vertical="top" wrapText="1"/>
    </xf>
    <xf numFmtId="2" fontId="73" fillId="0" borderId="2" xfId="0" applyNumberFormat="1" applyFont="1" applyBorder="1"/>
    <xf numFmtId="2" fontId="128" fillId="0" borderId="3" xfId="0" applyNumberFormat="1" applyFont="1" applyBorder="1"/>
    <xf numFmtId="3" fontId="128" fillId="0" borderId="3" xfId="0" applyNumberFormat="1" applyFont="1" applyBorder="1" applyAlignment="1">
      <alignment horizontal="right"/>
    </xf>
    <xf numFmtId="3" fontId="128" fillId="0" borderId="7" xfId="11" applyNumberFormat="1" applyFont="1" applyBorder="1" applyAlignment="1">
      <alignment vertical="top"/>
    </xf>
    <xf numFmtId="3" fontId="128" fillId="0" borderId="7" xfId="0" applyNumberFormat="1" applyFont="1" applyBorder="1"/>
    <xf numFmtId="3" fontId="128" fillId="0" borderId="3" xfId="0" applyNumberFormat="1" applyFont="1" applyBorder="1"/>
    <xf numFmtId="2" fontId="128" fillId="0" borderId="4" xfId="0" applyNumberFormat="1" applyFont="1" applyBorder="1"/>
    <xf numFmtId="3" fontId="128" fillId="0" borderId="4" xfId="0" applyNumberFormat="1" applyFont="1" applyBorder="1" applyAlignment="1">
      <alignment horizontal="right"/>
    </xf>
    <xf numFmtId="3" fontId="128" fillId="0" borderId="4" xfId="11" applyNumberFormat="1" applyFont="1" applyBorder="1" applyAlignment="1">
      <alignment vertical="top"/>
    </xf>
    <xf numFmtId="3" fontId="128" fillId="0" borderId="4" xfId="0" applyNumberFormat="1" applyFont="1" applyBorder="1"/>
    <xf numFmtId="2" fontId="128" fillId="0" borderId="0" xfId="0" applyNumberFormat="1" applyFont="1"/>
    <xf numFmtId="3" fontId="128" fillId="0" borderId="0" xfId="0" applyNumberFormat="1" applyFont="1" applyAlignment="1">
      <alignment horizontal="right"/>
    </xf>
    <xf numFmtId="2" fontId="128" fillId="0" borderId="8" xfId="0" applyNumberFormat="1" applyFont="1" applyBorder="1"/>
    <xf numFmtId="3" fontId="128" fillId="0" borderId="8" xfId="0" applyNumberFormat="1" applyFont="1" applyBorder="1" applyAlignment="1">
      <alignment horizontal="right"/>
    </xf>
    <xf numFmtId="2" fontId="128" fillId="0" borderId="6" xfId="0" applyNumberFormat="1" applyFont="1" applyBorder="1"/>
    <xf numFmtId="3" fontId="128" fillId="0" borderId="6" xfId="0" applyNumberFormat="1" applyFont="1" applyBorder="1" applyAlignment="1">
      <alignment horizontal="right"/>
    </xf>
    <xf numFmtId="3" fontId="128" fillId="0" borderId="6" xfId="11" applyNumberFormat="1" applyFont="1" applyBorder="1" applyAlignment="1">
      <alignment vertical="top"/>
    </xf>
    <xf numFmtId="3" fontId="128" fillId="0" borderId="6" xfId="0" applyNumberFormat="1" applyFont="1" applyBorder="1"/>
    <xf numFmtId="3" fontId="131" fillId="0" borderId="3" xfId="11" applyNumberFormat="1" applyFont="1" applyBorder="1" applyAlignment="1">
      <alignment vertical="center"/>
    </xf>
    <xf numFmtId="3" fontId="131" fillId="0" borderId="4" xfId="11" applyNumberFormat="1" applyFont="1" applyBorder="1" applyAlignment="1">
      <alignment vertical="center"/>
    </xf>
    <xf numFmtId="0" fontId="133" fillId="8" borderId="17" xfId="0" applyFont="1" applyFill="1" applyBorder="1" applyAlignment="1">
      <alignment horizontal="left" vertical="center"/>
    </xf>
    <xf numFmtId="0" fontId="137" fillId="0" borderId="0" xfId="11" applyFont="1" applyAlignment="1">
      <alignment vertical="center"/>
    </xf>
    <xf numFmtId="0" fontId="133" fillId="7" borderId="10" xfId="0" applyFont="1" applyFill="1" applyBorder="1" applyAlignment="1">
      <alignment horizontal="left" vertical="center"/>
    </xf>
    <xf numFmtId="0" fontId="133" fillId="0" borderId="10" xfId="0" applyFont="1" applyBorder="1" applyAlignment="1">
      <alignment vertical="center"/>
    </xf>
    <xf numFmtId="168" fontId="134" fillId="0" borderId="10" xfId="1" applyNumberFormat="1" applyFont="1" applyFill="1" applyBorder="1" applyAlignment="1" applyProtection="1">
      <alignment horizontal="right" vertical="center"/>
    </xf>
    <xf numFmtId="3" fontId="134" fillId="0" borderId="10" xfId="0" applyNumberFormat="1" applyFont="1" applyBorder="1" applyAlignment="1">
      <alignment vertical="center"/>
    </xf>
    <xf numFmtId="172" fontId="136" fillId="0" borderId="10" xfId="11" applyNumberFormat="1" applyFont="1" applyBorder="1" applyAlignment="1">
      <alignment horizontal="right" vertical="center"/>
    </xf>
    <xf numFmtId="3" fontId="134" fillId="0" borderId="10" xfId="11" applyNumberFormat="1" applyFont="1" applyBorder="1" applyAlignment="1">
      <alignment horizontal="right" vertical="center"/>
    </xf>
    <xf numFmtId="49" fontId="133" fillId="4" borderId="10" xfId="0" applyNumberFormat="1" applyFont="1" applyFill="1" applyBorder="1" applyAlignment="1">
      <alignment horizontal="left" vertical="center"/>
    </xf>
    <xf numFmtId="0" fontId="133" fillId="6" borderId="10" xfId="0" applyFont="1" applyFill="1" applyBorder="1" applyAlignment="1">
      <alignment horizontal="left" vertical="center"/>
    </xf>
    <xf numFmtId="172" fontId="136" fillId="0" borderId="10" xfId="11" applyNumberFormat="1" applyFont="1" applyBorder="1" applyAlignment="1">
      <alignment vertical="center"/>
    </xf>
    <xf numFmtId="3" fontId="134" fillId="0" borderId="10" xfId="11" applyNumberFormat="1" applyFont="1" applyBorder="1" applyAlignment="1">
      <alignment vertical="center"/>
    </xf>
    <xf numFmtId="49" fontId="133" fillId="3" borderId="10" xfId="0" applyNumberFormat="1" applyFont="1" applyFill="1" applyBorder="1" applyAlignment="1">
      <alignment horizontal="left" vertical="center"/>
    </xf>
    <xf numFmtId="0" fontId="100" fillId="0" borderId="1" xfId="0" applyFont="1" applyBorder="1" applyAlignment="1">
      <alignment vertical="center"/>
    </xf>
    <xf numFmtId="49" fontId="100" fillId="0" borderId="1" xfId="0" applyNumberFormat="1" applyFont="1" applyBorder="1" applyAlignment="1">
      <alignment horizontal="left" vertical="center"/>
    </xf>
    <xf numFmtId="172" fontId="105" fillId="0" borderId="17" xfId="1" applyNumberFormat="1" applyFont="1" applyFill="1" applyBorder="1" applyAlignment="1" applyProtection="1">
      <alignment horizontal="right" vertical="center"/>
    </xf>
    <xf numFmtId="49" fontId="100" fillId="0" borderId="17" xfId="11" applyNumberFormat="1" applyFont="1" applyBorder="1" applyAlignment="1">
      <alignment horizontal="left" vertical="center"/>
    </xf>
    <xf numFmtId="172" fontId="93" fillId="0" borderId="12" xfId="11" applyNumberFormat="1" applyFont="1" applyBorder="1" applyAlignment="1">
      <alignment vertical="center"/>
    </xf>
    <xf numFmtId="172" fontId="95" fillId="0" borderId="12" xfId="11" applyNumberFormat="1" applyFont="1" applyBorder="1" applyAlignment="1">
      <alignment vertical="center"/>
    </xf>
    <xf numFmtId="172" fontId="93" fillId="12" borderId="12" xfId="11" applyNumberFormat="1" applyFont="1" applyFill="1" applyBorder="1" applyAlignment="1">
      <alignment vertical="center"/>
    </xf>
    <xf numFmtId="172" fontId="95" fillId="0" borderId="17" xfId="11" applyNumberFormat="1" applyFont="1" applyBorder="1" applyAlignment="1">
      <alignment vertical="center"/>
    </xf>
    <xf numFmtId="172" fontId="96" fillId="0" borderId="17" xfId="11" applyNumberFormat="1" applyFont="1" applyBorder="1" applyAlignment="1">
      <alignment vertical="center"/>
    </xf>
    <xf numFmtId="49" fontId="90" fillId="0" borderId="21" xfId="11" applyNumberFormat="1" applyFont="1" applyBorder="1" applyAlignment="1">
      <alignment horizontal="left" vertical="center"/>
    </xf>
    <xf numFmtId="0" fontId="90" fillId="0" borderId="21" xfId="11" applyFont="1" applyBorder="1" applyAlignment="1">
      <alignment vertical="center"/>
    </xf>
    <xf numFmtId="172" fontId="97" fillId="0" borderId="11" xfId="11" applyNumberFormat="1" applyFont="1" applyBorder="1" applyAlignment="1">
      <alignment vertical="center"/>
    </xf>
    <xf numFmtId="3" fontId="87" fillId="0" borderId="12" xfId="11" applyNumberFormat="1" applyFont="1" applyBorder="1" applyAlignment="1">
      <alignment vertical="center"/>
    </xf>
    <xf numFmtId="2" fontId="138" fillId="0" borderId="21" xfId="11" applyNumberFormat="1" applyFont="1" applyBorder="1" applyAlignment="1">
      <alignment horizontal="right" wrapText="1"/>
    </xf>
    <xf numFmtId="2" fontId="138" fillId="0" borderId="0" xfId="11" applyNumberFormat="1" applyFont="1" applyAlignment="1">
      <alignment horizontal="right" textRotation="90" wrapText="1"/>
    </xf>
    <xf numFmtId="2" fontId="138" fillId="0" borderId="0" xfId="11" applyNumberFormat="1" applyFont="1" applyAlignment="1">
      <alignment horizontal="right" wrapText="1"/>
    </xf>
    <xf numFmtId="3" fontId="29" fillId="0" borderId="7" xfId="0" applyNumberFormat="1" applyFont="1" applyBorder="1" applyAlignment="1">
      <alignment vertical="center" wrapText="1"/>
    </xf>
    <xf numFmtId="9" fontId="140" fillId="0" borderId="2" xfId="1" applyFont="1" applyFill="1" applyBorder="1" applyAlignment="1"/>
    <xf numFmtId="10" fontId="144" fillId="0" borderId="25" xfId="0" applyNumberFormat="1" applyFont="1" applyBorder="1" applyAlignment="1">
      <alignment horizontal="right" vertical="center" wrapText="1"/>
    </xf>
    <xf numFmtId="10" fontId="144" fillId="0" borderId="26" xfId="0" applyNumberFormat="1" applyFont="1" applyBorder="1" applyAlignment="1">
      <alignment horizontal="right" vertical="center" wrapText="1"/>
    </xf>
    <xf numFmtId="9" fontId="144" fillId="0" borderId="26" xfId="0" applyNumberFormat="1" applyFont="1" applyBorder="1" applyAlignment="1">
      <alignment horizontal="right" vertical="center" wrapText="1"/>
    </xf>
    <xf numFmtId="9" fontId="128" fillId="0" borderId="26" xfId="0" applyNumberFormat="1" applyFont="1" applyBorder="1" applyAlignment="1">
      <alignment horizontal="right" vertical="center" wrapText="1"/>
    </xf>
    <xf numFmtId="10" fontId="128" fillId="0" borderId="26" xfId="0" applyNumberFormat="1" applyFont="1" applyBorder="1" applyAlignment="1">
      <alignment horizontal="right" vertical="center" wrapText="1"/>
    </xf>
    <xf numFmtId="10" fontId="7" fillId="0" borderId="0" xfId="11" applyNumberFormat="1"/>
    <xf numFmtId="9" fontId="144" fillId="0" borderId="25" xfId="0" applyNumberFormat="1" applyFont="1" applyBorder="1" applyAlignment="1">
      <alignment horizontal="right" vertical="center" wrapText="1"/>
    </xf>
    <xf numFmtId="168" fontId="144" fillId="0" borderId="26" xfId="0" applyNumberFormat="1" applyFont="1" applyBorder="1" applyAlignment="1">
      <alignment horizontal="right" vertical="center" wrapText="1"/>
    </xf>
    <xf numFmtId="168" fontId="128" fillId="0" borderId="26" xfId="0" applyNumberFormat="1" applyFont="1" applyBorder="1" applyAlignment="1">
      <alignment horizontal="right" vertical="center" wrapText="1"/>
    </xf>
    <xf numFmtId="3" fontId="73" fillId="0" borderId="4" xfId="0" applyNumberFormat="1" applyFont="1" applyBorder="1"/>
    <xf numFmtId="0" fontId="198" fillId="0" borderId="0" xfId="25" applyAlignment="1">
      <alignment vertical="top"/>
    </xf>
    <xf numFmtId="0" fontId="198" fillId="0" borderId="0" xfId="25" applyBorder="1" applyAlignment="1">
      <alignment horizontal="left" vertical="top" wrapText="1"/>
    </xf>
    <xf numFmtId="0" fontId="198" fillId="0" borderId="0" xfId="25" applyBorder="1" applyAlignment="1"/>
    <xf numFmtId="0" fontId="37" fillId="0" borderId="0" xfId="9" applyNumberFormat="1" applyFont="1" applyAlignment="1">
      <alignment horizontal="left" vertical="center" indent="3"/>
    </xf>
    <xf numFmtId="0" fontId="37" fillId="0" borderId="0" xfId="9" quotePrefix="1" applyNumberFormat="1" applyFont="1" applyAlignment="1">
      <alignment horizontal="left" vertical="center" indent="3"/>
    </xf>
    <xf numFmtId="1" fontId="62" fillId="0" borderId="3" xfId="0" applyNumberFormat="1" applyFont="1" applyBorder="1"/>
    <xf numFmtId="0" fontId="54" fillId="0" borderId="3" xfId="0" applyFont="1" applyBorder="1" applyAlignment="1">
      <alignment vertical="center"/>
    </xf>
    <xf numFmtId="0" fontId="108" fillId="0" borderId="0" xfId="9" applyNumberFormat="1" applyFont="1" applyBorder="1" applyAlignment="1">
      <alignment horizontal="left" vertical="center"/>
    </xf>
    <xf numFmtId="0" fontId="17" fillId="0" borderId="1" xfId="9" applyNumberFormat="1" applyFont="1" applyBorder="1" applyAlignment="1">
      <alignment horizontal="left" vertical="center"/>
    </xf>
    <xf numFmtId="0" fontId="36" fillId="0" borderId="6" xfId="0" applyFont="1" applyBorder="1" applyAlignment="1">
      <alignment wrapText="1"/>
    </xf>
    <xf numFmtId="0" fontId="117" fillId="0" borderId="4" xfId="0" applyFont="1" applyBorder="1" applyAlignment="1">
      <alignment vertical="center"/>
    </xf>
    <xf numFmtId="0" fontId="147" fillId="0" borderId="4" xfId="0" applyFont="1" applyBorder="1" applyAlignment="1">
      <alignment vertical="center"/>
    </xf>
    <xf numFmtId="3" fontId="117" fillId="0" borderId="4" xfId="0" applyNumberFormat="1" applyFont="1" applyBorder="1" applyAlignment="1">
      <alignment vertical="center" wrapText="1"/>
    </xf>
    <xf numFmtId="3" fontId="117" fillId="0" borderId="4" xfId="0" applyNumberFormat="1" applyFont="1" applyBorder="1" applyAlignment="1">
      <alignment vertical="center"/>
    </xf>
    <xf numFmtId="0" fontId="119" fillId="0" borderId="1" xfId="11" applyFont="1" applyBorder="1" applyAlignment="1">
      <alignment wrapText="1"/>
    </xf>
    <xf numFmtId="0" fontId="149" fillId="0" borderId="4" xfId="0" applyFont="1" applyBorder="1" applyAlignment="1">
      <alignment vertical="center"/>
    </xf>
    <xf numFmtId="3" fontId="149" fillId="13" borderId="4" xfId="0" applyNumberFormat="1" applyFont="1" applyFill="1" applyBorder="1" applyAlignment="1" applyProtection="1">
      <alignment vertical="center" wrapText="1"/>
      <protection locked="0"/>
    </xf>
    <xf numFmtId="3" fontId="149" fillId="0" borderId="4" xfId="0" applyNumberFormat="1" applyFont="1" applyBorder="1" applyAlignment="1">
      <alignment vertical="center" wrapText="1"/>
    </xf>
    <xf numFmtId="3" fontId="149" fillId="0" borderId="4" xfId="0" applyNumberFormat="1" applyFont="1" applyBorder="1" applyAlignment="1">
      <alignment vertical="center"/>
    </xf>
    <xf numFmtId="2" fontId="149" fillId="0" borderId="0" xfId="0" applyNumberFormat="1" applyFont="1" applyAlignment="1">
      <alignment wrapText="1"/>
    </xf>
    <xf numFmtId="0" fontId="149" fillId="0" borderId="0" xfId="11" applyFont="1" applyAlignment="1">
      <alignment wrapText="1"/>
    </xf>
    <xf numFmtId="0" fontId="33" fillId="0" borderId="1" xfId="10" applyFont="1" applyFill="1" applyBorder="1"/>
    <xf numFmtId="0" fontId="33" fillId="0" borderId="1" xfId="10" applyFont="1" applyFill="1" applyBorder="1" applyAlignment="1">
      <alignment wrapText="1"/>
    </xf>
    <xf numFmtId="0" fontId="33" fillId="0" borderId="7" xfId="21" applyBorder="1"/>
    <xf numFmtId="0" fontId="33" fillId="0" borderId="7" xfId="21" applyBorder="1" applyAlignment="1">
      <alignment wrapText="1"/>
    </xf>
    <xf numFmtId="0" fontId="33" fillId="0" borderId="0" xfId="21" applyBorder="1"/>
    <xf numFmtId="0" fontId="20" fillId="0" borderId="14" xfId="0" applyFont="1" applyBorder="1"/>
    <xf numFmtId="0" fontId="20" fillId="0" borderId="14" xfId="0" applyFont="1" applyBorder="1" applyAlignment="1">
      <alignment wrapText="1"/>
    </xf>
    <xf numFmtId="0" fontId="19" fillId="0" borderId="28" xfId="0" applyFont="1" applyBorder="1" applyAlignment="1">
      <alignment vertical="center"/>
    </xf>
    <xf numFmtId="0" fontId="24" fillId="0" borderId="28" xfId="0" applyFont="1" applyBorder="1" applyAlignment="1">
      <alignment vertical="center"/>
    </xf>
    <xf numFmtId="3" fontId="27" fillId="0" borderId="28" xfId="0" applyNumberFormat="1" applyFont="1" applyBorder="1" applyAlignment="1">
      <alignment vertical="center" wrapText="1"/>
    </xf>
    <xf numFmtId="3" fontId="21" fillId="0" borderId="28" xfId="0" applyNumberFormat="1" applyFont="1" applyBorder="1" applyAlignment="1">
      <alignment vertical="center"/>
    </xf>
    <xf numFmtId="0" fontId="62" fillId="0" borderId="8" xfId="0" applyFont="1" applyBorder="1" applyAlignment="1">
      <alignment horizontal="left" vertical="center"/>
    </xf>
    <xf numFmtId="49" fontId="19" fillId="0" borderId="0" xfId="0" applyNumberFormat="1" applyFont="1" applyAlignment="1">
      <alignment vertical="center" wrapText="1"/>
    </xf>
    <xf numFmtId="49" fontId="19" fillId="0" borderId="1" xfId="0" applyNumberFormat="1" applyFont="1" applyBorder="1" applyAlignment="1">
      <alignment vertical="center" wrapText="1"/>
    </xf>
    <xf numFmtId="49" fontId="152" fillId="0" borderId="0" xfId="26" applyNumberFormat="1" applyFont="1" applyBorder="1" applyAlignment="1">
      <alignment vertical="center" wrapText="1"/>
    </xf>
    <xf numFmtId="0" fontId="19" fillId="0" borderId="8" xfId="3" applyFont="1" applyBorder="1" applyProtection="1">
      <protection locked="0"/>
    </xf>
    <xf numFmtId="9" fontId="36" fillId="0" borderId="7" xfId="1" applyFont="1" applyBorder="1" applyProtection="1">
      <protection locked="0"/>
    </xf>
    <xf numFmtId="10" fontId="163" fillId="0" borderId="4" xfId="1" applyNumberFormat="1" applyFont="1" applyFill="1" applyBorder="1" applyAlignment="1" applyProtection="1">
      <alignment horizontal="right" vertical="top"/>
    </xf>
    <xf numFmtId="49" fontId="163" fillId="0" borderId="4" xfId="11" applyNumberFormat="1" applyFont="1" applyBorder="1" applyAlignment="1">
      <alignment horizontal="left" vertical="top" indent="1"/>
    </xf>
    <xf numFmtId="0" fontId="163" fillId="0" borderId="4" xfId="11" applyFont="1" applyBorder="1" applyAlignment="1">
      <alignment vertical="top"/>
    </xf>
    <xf numFmtId="10" fontId="163" fillId="0" borderId="4" xfId="1" applyNumberFormat="1" applyFont="1" applyFill="1" applyBorder="1" applyAlignment="1" applyProtection="1">
      <alignment vertical="top"/>
    </xf>
    <xf numFmtId="172" fontId="163" fillId="0" borderId="4" xfId="11" applyNumberFormat="1" applyFont="1" applyBorder="1" applyAlignment="1">
      <alignment vertical="top"/>
    </xf>
    <xf numFmtId="3" fontId="163" fillId="0" borderId="4" xfId="0" applyNumberFormat="1" applyFont="1" applyBorder="1"/>
    <xf numFmtId="0" fontId="164" fillId="0" borderId="0" xfId="11" applyFont="1" applyAlignment="1">
      <alignment vertical="top"/>
    </xf>
    <xf numFmtId="10" fontId="165" fillId="0" borderId="4" xfId="1" applyNumberFormat="1" applyFont="1" applyFill="1" applyBorder="1" applyAlignment="1" applyProtection="1">
      <alignment vertical="top"/>
    </xf>
    <xf numFmtId="172" fontId="165" fillId="0" borderId="4" xfId="11" applyNumberFormat="1" applyFont="1" applyBorder="1" applyAlignment="1">
      <alignment vertical="top"/>
    </xf>
    <xf numFmtId="3" fontId="165" fillId="0" borderId="4" xfId="0" applyNumberFormat="1" applyFont="1" applyBorder="1"/>
    <xf numFmtId="49" fontId="163" fillId="0" borderId="3" xfId="11" applyNumberFormat="1" applyFont="1" applyBorder="1" applyAlignment="1">
      <alignment horizontal="left" vertical="top" indent="1"/>
    </xf>
    <xf numFmtId="0" fontId="163" fillId="0" borderId="3" xfId="11" applyFont="1" applyBorder="1" applyAlignment="1">
      <alignment vertical="top"/>
    </xf>
    <xf numFmtId="10" fontId="163" fillId="0" borderId="3" xfId="1" applyNumberFormat="1" applyFont="1" applyFill="1" applyBorder="1" applyAlignment="1" applyProtection="1">
      <alignment horizontal="right" vertical="top"/>
    </xf>
    <xf numFmtId="10" fontId="165" fillId="0" borderId="3" xfId="1" applyNumberFormat="1" applyFont="1" applyFill="1" applyBorder="1" applyAlignment="1" applyProtection="1">
      <alignment vertical="top"/>
    </xf>
    <xf numFmtId="10" fontId="163" fillId="0" borderId="3" xfId="1" applyNumberFormat="1" applyFont="1" applyFill="1" applyBorder="1" applyAlignment="1" applyProtection="1">
      <alignment vertical="top"/>
    </xf>
    <xf numFmtId="172" fontId="163" fillId="0" borderId="3" xfId="11" applyNumberFormat="1" applyFont="1" applyBorder="1" applyAlignment="1">
      <alignment vertical="top"/>
    </xf>
    <xf numFmtId="3" fontId="163" fillId="0" borderId="3" xfId="0" applyNumberFormat="1" applyFont="1" applyBorder="1"/>
    <xf numFmtId="49" fontId="163" fillId="0" borderId="6" xfId="11" applyNumberFormat="1" applyFont="1" applyBorder="1" applyAlignment="1">
      <alignment horizontal="left" vertical="top" indent="1"/>
    </xf>
    <xf numFmtId="0" fontId="163" fillId="0" borderId="6" xfId="11" applyFont="1" applyBorder="1" applyAlignment="1">
      <alignment vertical="top"/>
    </xf>
    <xf numFmtId="10" fontId="163" fillId="0" borderId="6" xfId="1" applyNumberFormat="1" applyFont="1" applyFill="1" applyBorder="1" applyAlignment="1" applyProtection="1">
      <alignment horizontal="right" vertical="top"/>
    </xf>
    <xf numFmtId="10" fontId="163" fillId="0" borderId="6" xfId="1" applyNumberFormat="1" applyFont="1" applyFill="1" applyBorder="1" applyAlignment="1" applyProtection="1">
      <alignment vertical="top"/>
    </xf>
    <xf numFmtId="172" fontId="163" fillId="0" borderId="6" xfId="11" applyNumberFormat="1" applyFont="1" applyBorder="1" applyAlignment="1">
      <alignment vertical="top"/>
    </xf>
    <xf numFmtId="3" fontId="163" fillId="0" borderId="6" xfId="0" applyNumberFormat="1" applyFont="1" applyBorder="1"/>
    <xf numFmtId="10" fontId="165" fillId="0" borderId="6" xfId="1" applyNumberFormat="1" applyFont="1" applyFill="1" applyBorder="1" applyAlignment="1" applyProtection="1">
      <alignment vertical="top"/>
    </xf>
    <xf numFmtId="10" fontId="15" fillId="0" borderId="0" xfId="11" applyNumberFormat="1" applyFont="1" applyAlignment="1">
      <alignment vertical="top"/>
    </xf>
    <xf numFmtId="0" fontId="87" fillId="0" borderId="0" xfId="11" applyFont="1" applyAlignment="1">
      <alignment horizontal="left" vertical="center"/>
    </xf>
    <xf numFmtId="168" fontId="87" fillId="0" borderId="0" xfId="1" applyNumberFormat="1" applyFont="1" applyFill="1" applyBorder="1" applyAlignment="1" applyProtection="1">
      <alignment vertical="center"/>
    </xf>
    <xf numFmtId="3" fontId="87" fillId="0" borderId="0" xfId="0" applyNumberFormat="1" applyFont="1" applyAlignment="1">
      <alignment vertical="center"/>
    </xf>
    <xf numFmtId="49" fontId="167" fillId="0" borderId="0" xfId="0" applyNumberFormat="1" applyFont="1" applyAlignment="1">
      <alignment horizontal="left" vertical="center"/>
    </xf>
    <xf numFmtId="0" fontId="168" fillId="0" borderId="0" xfId="11" applyFont="1" applyAlignment="1">
      <alignment vertical="center"/>
    </xf>
    <xf numFmtId="49" fontId="167" fillId="0" borderId="0" xfId="11" applyNumberFormat="1" applyFont="1" applyAlignment="1">
      <alignment horizontal="left" vertical="center"/>
    </xf>
    <xf numFmtId="49" fontId="169" fillId="0" borderId="0" xfId="11" applyNumberFormat="1" applyFont="1" applyAlignment="1">
      <alignment horizontal="left" vertical="center"/>
    </xf>
    <xf numFmtId="0" fontId="170" fillId="0" borderId="0" xfId="11" applyFont="1" applyAlignment="1">
      <alignment vertical="center"/>
    </xf>
    <xf numFmtId="49" fontId="169" fillId="0" borderId="17" xfId="11" applyNumberFormat="1" applyFont="1" applyBorder="1" applyAlignment="1">
      <alignment horizontal="left" vertical="center"/>
    </xf>
    <xf numFmtId="172" fontId="119" fillId="0" borderId="3" xfId="11" applyNumberFormat="1" applyFont="1" applyBorder="1" applyAlignment="1">
      <alignment vertical="top"/>
    </xf>
    <xf numFmtId="0" fontId="36" fillId="0" borderId="29" xfId="0" applyFont="1" applyBorder="1"/>
    <xf numFmtId="0" fontId="54" fillId="0" borderId="29" xfId="0" applyFont="1" applyBorder="1" applyAlignment="1">
      <alignment vertical="center"/>
    </xf>
    <xf numFmtId="0" fontId="34" fillId="0" borderId="29" xfId="12" applyBorder="1" applyAlignment="1">
      <alignment vertical="center"/>
    </xf>
    <xf numFmtId="0" fontId="34" fillId="0" borderId="29" xfId="12" applyBorder="1" applyAlignment="1"/>
    <xf numFmtId="0" fontId="26" fillId="0" borderId="3" xfId="11" applyFont="1" applyBorder="1" applyAlignment="1">
      <alignment vertical="center" wrapText="1"/>
    </xf>
    <xf numFmtId="0" fontId="26" fillId="0" borderId="4" xfId="11" applyFont="1" applyBorder="1" applyAlignment="1">
      <alignment wrapText="1"/>
    </xf>
    <xf numFmtId="0" fontId="62" fillId="0" borderId="4" xfId="0" applyFont="1" applyBorder="1" applyAlignment="1">
      <alignment horizontal="left" vertical="center"/>
    </xf>
    <xf numFmtId="3" fontId="139" fillId="0" borderId="3" xfId="11" applyNumberFormat="1" applyFont="1" applyBorder="1" applyAlignment="1">
      <alignment vertical="center"/>
    </xf>
    <xf numFmtId="0" fontId="138" fillId="0" borderId="4" xfId="11" applyFont="1" applyBorder="1" applyAlignment="1">
      <alignment horizontal="left" vertical="center"/>
    </xf>
    <xf numFmtId="0" fontId="87" fillId="0" borderId="16" xfId="11" applyFont="1" applyBorder="1" applyAlignment="1">
      <alignment horizontal="left" vertical="center"/>
    </xf>
    <xf numFmtId="168" fontId="87" fillId="0" borderId="16" xfId="1" applyNumberFormat="1" applyFont="1" applyFill="1" applyBorder="1" applyAlignment="1" applyProtection="1">
      <alignment vertical="center"/>
    </xf>
    <xf numFmtId="3" fontId="87" fillId="0" borderId="16" xfId="0" applyNumberFormat="1" applyFont="1" applyBorder="1" applyAlignment="1">
      <alignment vertical="center"/>
    </xf>
    <xf numFmtId="172" fontId="166" fillId="0" borderId="16" xfId="11" applyNumberFormat="1" applyFont="1" applyBorder="1" applyAlignment="1">
      <alignment vertical="center"/>
    </xf>
    <xf numFmtId="3" fontId="139" fillId="0" borderId="16" xfId="11" applyNumberFormat="1" applyFont="1" applyBorder="1" applyAlignment="1">
      <alignment vertical="center"/>
    </xf>
    <xf numFmtId="49" fontId="87" fillId="0" borderId="17" xfId="11" applyNumberFormat="1" applyFont="1" applyBorder="1" applyAlignment="1">
      <alignment horizontal="left" vertical="center"/>
    </xf>
    <xf numFmtId="3" fontId="165" fillId="0" borderId="6" xfId="0" applyNumberFormat="1" applyFont="1" applyBorder="1"/>
    <xf numFmtId="172" fontId="146" fillId="0" borderId="4" xfId="11" applyNumberFormat="1" applyFont="1" applyBorder="1" applyAlignment="1">
      <alignment vertical="top"/>
    </xf>
    <xf numFmtId="172" fontId="171" fillId="0" borderId="4" xfId="11" applyNumberFormat="1" applyFont="1" applyBorder="1" applyAlignment="1">
      <alignment vertical="top"/>
    </xf>
    <xf numFmtId="172" fontId="171" fillId="0" borderId="6" xfId="11" applyNumberFormat="1" applyFont="1" applyBorder="1" applyAlignment="1">
      <alignment vertical="top"/>
    </xf>
    <xf numFmtId="172" fontId="172" fillId="0" borderId="4" xfId="11" applyNumberFormat="1" applyFont="1" applyBorder="1" applyAlignment="1">
      <alignment vertical="top"/>
    </xf>
    <xf numFmtId="172" fontId="172" fillId="0" borderId="3" xfId="11" applyNumberFormat="1" applyFont="1" applyBorder="1" applyAlignment="1">
      <alignment vertical="top"/>
    </xf>
    <xf numFmtId="172" fontId="172" fillId="0" borderId="6" xfId="11" applyNumberFormat="1" applyFont="1" applyBorder="1" applyAlignment="1">
      <alignment vertical="top"/>
    </xf>
    <xf numFmtId="0" fontId="15" fillId="0" borderId="1" xfId="11" applyFont="1" applyBorder="1" applyAlignment="1">
      <alignment vertical="top"/>
    </xf>
    <xf numFmtId="49" fontId="163" fillId="0" borderId="1" xfId="11" applyNumberFormat="1" applyFont="1" applyBorder="1" applyAlignment="1">
      <alignment horizontal="left" vertical="top" indent="1"/>
    </xf>
    <xf numFmtId="0" fontId="163" fillId="0" borderId="1" xfId="11" applyFont="1" applyBorder="1" applyAlignment="1">
      <alignment vertical="top"/>
    </xf>
    <xf numFmtId="10" fontId="163" fillId="0" borderId="1" xfId="1" applyNumberFormat="1" applyFont="1" applyFill="1" applyBorder="1" applyAlignment="1" applyProtection="1">
      <alignment horizontal="right" vertical="top"/>
    </xf>
    <xf numFmtId="10" fontId="19" fillId="0" borderId="1" xfId="1" applyNumberFormat="1" applyFont="1" applyFill="1" applyBorder="1" applyAlignment="1" applyProtection="1">
      <alignment vertical="top"/>
    </xf>
    <xf numFmtId="172" fontId="119" fillId="0" borderId="1" xfId="11" applyNumberFormat="1" applyFont="1" applyBorder="1" applyAlignment="1">
      <alignment vertical="top"/>
    </xf>
    <xf numFmtId="3" fontId="165" fillId="0" borderId="1" xfId="0" applyNumberFormat="1" applyFont="1" applyBorder="1"/>
    <xf numFmtId="3" fontId="165" fillId="0" borderId="3" xfId="0" applyNumberFormat="1" applyFont="1" applyBorder="1"/>
    <xf numFmtId="0" fontId="15" fillId="0" borderId="7" xfId="11" applyFont="1" applyBorder="1" applyAlignment="1">
      <alignment vertical="top"/>
    </xf>
    <xf numFmtId="0" fontId="15" fillId="0" borderId="4" xfId="11" applyFont="1" applyBorder="1" applyAlignment="1">
      <alignment vertical="top"/>
    </xf>
    <xf numFmtId="3" fontId="173" fillId="0" borderId="0" xfId="11" applyNumberFormat="1" applyFont="1"/>
    <xf numFmtId="0" fontId="173" fillId="0" borderId="0" xfId="11" applyFont="1"/>
    <xf numFmtId="0" fontId="173" fillId="0" borderId="0" xfId="11" applyFont="1" applyAlignment="1">
      <alignment vertical="top"/>
    </xf>
    <xf numFmtId="0" fontId="173" fillId="0" borderId="7" xfId="11" applyFont="1" applyBorder="1" applyAlignment="1">
      <alignment vertical="top"/>
    </xf>
    <xf numFmtId="0" fontId="173" fillId="0" borderId="4" xfId="11" applyFont="1" applyBorder="1" applyAlignment="1">
      <alignment vertical="top"/>
    </xf>
    <xf numFmtId="0" fontId="173" fillId="0" borderId="1" xfId="11" applyFont="1" applyBorder="1" applyAlignment="1">
      <alignment vertical="top"/>
    </xf>
    <xf numFmtId="0" fontId="174" fillId="0" borderId="0" xfId="11" applyFont="1" applyAlignment="1">
      <alignment vertical="top"/>
    </xf>
    <xf numFmtId="0" fontId="175" fillId="0" borderId="0" xfId="11" applyFont="1" applyAlignment="1">
      <alignment vertical="top"/>
    </xf>
    <xf numFmtId="172" fontId="171" fillId="0" borderId="3" xfId="11" applyNumberFormat="1" applyFont="1" applyBorder="1" applyAlignment="1">
      <alignment vertical="top"/>
    </xf>
    <xf numFmtId="0" fontId="73" fillId="0" borderId="3" xfId="0" applyFont="1" applyBorder="1" applyAlignment="1">
      <alignment horizontal="left" vertical="center"/>
    </xf>
    <xf numFmtId="10" fontId="36" fillId="0" borderId="0" xfId="1" applyNumberFormat="1" applyFont="1" applyFill="1" applyBorder="1" applyAlignment="1">
      <alignment vertical="center"/>
    </xf>
    <xf numFmtId="10" fontId="36" fillId="0" borderId="0" xfId="1" applyNumberFormat="1" applyFont="1" applyBorder="1"/>
    <xf numFmtId="10" fontId="165" fillId="0" borderId="1" xfId="1" applyNumberFormat="1" applyFont="1" applyFill="1" applyBorder="1" applyAlignment="1" applyProtection="1">
      <alignment vertical="top"/>
    </xf>
    <xf numFmtId="172" fontId="171" fillId="0" borderId="1" xfId="11" applyNumberFormat="1" applyFont="1" applyBorder="1" applyAlignment="1">
      <alignment vertical="top"/>
    </xf>
    <xf numFmtId="0" fontId="7" fillId="0" borderId="4" xfId="11" applyBorder="1"/>
    <xf numFmtId="3" fontId="123" fillId="0" borderId="4" xfId="0" applyNumberFormat="1" applyFont="1" applyBorder="1" applyAlignment="1">
      <alignment horizontal="right" wrapText="1"/>
    </xf>
    <xf numFmtId="0" fontId="108" fillId="0" borderId="3" xfId="9" applyNumberFormat="1" applyFont="1" applyBorder="1" applyAlignment="1">
      <alignment horizontal="left" vertical="center"/>
    </xf>
    <xf numFmtId="3" fontId="62" fillId="0" borderId="3" xfId="0" applyNumberFormat="1" applyFont="1" applyBorder="1"/>
    <xf numFmtId="0" fontId="34" fillId="0" borderId="0" xfId="12" applyBorder="1" applyAlignment="1">
      <alignment vertical="center"/>
    </xf>
    <xf numFmtId="9" fontId="15" fillId="0" borderId="0" xfId="11" applyNumberFormat="1" applyFont="1" applyAlignment="1">
      <alignment vertical="top"/>
    </xf>
    <xf numFmtId="0" fontId="117" fillId="0" borderId="0" xfId="11" applyFont="1" applyAlignment="1">
      <alignment horizontal="left"/>
    </xf>
    <xf numFmtId="0" fontId="117" fillId="0" borderId="0" xfId="11" applyFont="1"/>
    <xf numFmtId="9" fontId="117" fillId="0" borderId="0" xfId="1" applyFont="1"/>
    <xf numFmtId="0" fontId="139" fillId="0" borderId="0" xfId="11" applyFont="1" applyAlignment="1">
      <alignment horizontal="left"/>
    </xf>
    <xf numFmtId="0" fontId="139" fillId="0" borderId="0" xfId="11" applyFont="1"/>
    <xf numFmtId="9" fontId="139" fillId="0" borderId="0" xfId="1" applyFont="1"/>
    <xf numFmtId="0" fontId="96" fillId="0" borderId="0" xfId="11" applyFont="1" applyAlignment="1">
      <alignment horizontal="left"/>
    </xf>
    <xf numFmtId="49" fontId="98" fillId="0" borderId="17" xfId="11" applyNumberFormat="1" applyFont="1" applyBorder="1" applyAlignment="1">
      <alignment horizontal="left" vertical="center"/>
    </xf>
    <xf numFmtId="0" fontId="138" fillId="0" borderId="3" xfId="11" applyFont="1" applyBorder="1" applyAlignment="1">
      <alignment horizontal="left" vertical="center"/>
    </xf>
    <xf numFmtId="172" fontId="166" fillId="0" borderId="3" xfId="11" applyNumberFormat="1" applyFont="1" applyBorder="1" applyAlignment="1">
      <alignment vertical="center"/>
    </xf>
    <xf numFmtId="3" fontId="176" fillId="0" borderId="17" xfId="11" applyNumberFormat="1" applyFont="1" applyBorder="1" applyAlignment="1">
      <alignment vertical="center"/>
    </xf>
    <xf numFmtId="3" fontId="86" fillId="0" borderId="17" xfId="11" applyNumberFormat="1" applyFont="1" applyBorder="1" applyAlignment="1">
      <alignment vertical="center"/>
    </xf>
    <xf numFmtId="0" fontId="88" fillId="0" borderId="17" xfId="11" applyFont="1" applyBorder="1" applyAlignment="1">
      <alignment horizontal="right" vertical="center"/>
    </xf>
    <xf numFmtId="0" fontId="96" fillId="0" borderId="17" xfId="11" applyFont="1" applyBorder="1" applyAlignment="1">
      <alignment horizontal="right" vertical="center"/>
    </xf>
    <xf numFmtId="3" fontId="97" fillId="0" borderId="1" xfId="11" applyNumberFormat="1" applyFont="1" applyBorder="1" applyAlignment="1">
      <alignment horizontal="right" textRotation="90" wrapText="1"/>
    </xf>
    <xf numFmtId="10" fontId="85" fillId="0" borderId="0" xfId="1" applyNumberFormat="1" applyFont="1" applyBorder="1" applyAlignment="1" applyProtection="1">
      <alignment horizontal="right" vertical="center"/>
    </xf>
    <xf numFmtId="2" fontId="177" fillId="0" borderId="3" xfId="11" applyNumberFormat="1" applyFont="1" applyBorder="1" applyAlignment="1">
      <alignment horizontal="left" vertical="center"/>
    </xf>
    <xf numFmtId="0" fontId="177" fillId="0" borderId="4" xfId="11" applyFont="1" applyBorder="1" applyAlignment="1">
      <alignment horizontal="left" vertical="center"/>
    </xf>
    <xf numFmtId="168" fontId="177" fillId="0" borderId="4" xfId="1" applyNumberFormat="1" applyFont="1" applyFill="1" applyBorder="1" applyAlignment="1" applyProtection="1">
      <alignment vertical="center"/>
    </xf>
    <xf numFmtId="3" fontId="177" fillId="0" borderId="4" xfId="0" applyNumberFormat="1" applyFont="1" applyBorder="1" applyAlignment="1">
      <alignment vertical="center"/>
    </xf>
    <xf numFmtId="3" fontId="178" fillId="0" borderId="4" xfId="11" applyNumberFormat="1" applyFont="1" applyBorder="1" applyAlignment="1">
      <alignment vertical="center"/>
    </xf>
    <xf numFmtId="172" fontId="179" fillId="0" borderId="4" xfId="11" applyNumberFormat="1" applyFont="1" applyBorder="1" applyAlignment="1">
      <alignment vertical="center"/>
    </xf>
    <xf numFmtId="3" fontId="177" fillId="0" borderId="4" xfId="11" applyNumberFormat="1" applyFont="1" applyBorder="1" applyAlignment="1">
      <alignment vertical="center"/>
    </xf>
    <xf numFmtId="3" fontId="177" fillId="0" borderId="4" xfId="11" applyNumberFormat="1" applyFont="1" applyBorder="1" applyAlignment="1">
      <alignment horizontal="left" vertical="center"/>
    </xf>
    <xf numFmtId="3" fontId="177" fillId="0" borderId="17" xfId="11" applyNumberFormat="1" applyFont="1" applyBorder="1" applyAlignment="1">
      <alignment horizontal="left" vertical="center"/>
    </xf>
    <xf numFmtId="168" fontId="177" fillId="0" borderId="17" xfId="1" applyNumberFormat="1" applyFont="1" applyFill="1" applyBorder="1" applyAlignment="1" applyProtection="1">
      <alignment vertical="center"/>
    </xf>
    <xf numFmtId="3" fontId="177" fillId="0" borderId="17" xfId="0" applyNumberFormat="1" applyFont="1" applyBorder="1" applyAlignment="1">
      <alignment vertical="center"/>
    </xf>
    <xf numFmtId="172" fontId="179" fillId="0" borderId="17" xfId="11" applyNumberFormat="1" applyFont="1" applyBorder="1" applyAlignment="1">
      <alignment vertical="center"/>
    </xf>
    <xf numFmtId="3" fontId="177" fillId="0" borderId="11" xfId="11" applyNumberFormat="1" applyFont="1" applyBorder="1" applyAlignment="1">
      <alignment vertical="center"/>
    </xf>
    <xf numFmtId="0" fontId="139" fillId="0" borderId="0" xfId="11" applyFont="1" applyAlignment="1">
      <alignment horizontal="left" vertical="center"/>
    </xf>
    <xf numFmtId="168" fontId="139" fillId="0" borderId="0" xfId="1" applyNumberFormat="1" applyFont="1" applyFill="1" applyBorder="1" applyAlignment="1" applyProtection="1">
      <alignment vertical="center"/>
    </xf>
    <xf numFmtId="3" fontId="139" fillId="0" borderId="0" xfId="0" applyNumberFormat="1" applyFont="1" applyAlignment="1">
      <alignment vertical="center"/>
    </xf>
    <xf numFmtId="0" fontId="181" fillId="0" borderId="0" xfId="11" applyFont="1" applyAlignment="1">
      <alignment horizontal="left" vertical="center"/>
    </xf>
    <xf numFmtId="168" fontId="181" fillId="0" borderId="0" xfId="1" applyNumberFormat="1" applyFont="1" applyFill="1" applyBorder="1" applyAlignment="1" applyProtection="1">
      <alignment vertical="center"/>
    </xf>
    <xf numFmtId="3" fontId="181" fillId="0" borderId="0" xfId="0" applyNumberFormat="1" applyFont="1" applyAlignment="1">
      <alignment vertical="center"/>
    </xf>
    <xf numFmtId="3" fontId="181" fillId="0" borderId="4" xfId="11" applyNumberFormat="1" applyFont="1" applyBorder="1" applyAlignment="1">
      <alignment vertical="center"/>
    </xf>
    <xf numFmtId="172" fontId="182" fillId="0" borderId="11" xfId="11" applyNumberFormat="1" applyFont="1" applyBorder="1" applyAlignment="1">
      <alignment vertical="center"/>
    </xf>
    <xf numFmtId="2" fontId="177" fillId="0" borderId="17" xfId="11" applyNumberFormat="1" applyFont="1" applyBorder="1" applyAlignment="1">
      <alignment horizontal="left" vertical="center"/>
    </xf>
    <xf numFmtId="0" fontId="177" fillId="0" borderId="11" xfId="11" applyFont="1" applyBorder="1" applyAlignment="1">
      <alignment horizontal="left" vertical="center"/>
    </xf>
    <xf numFmtId="168" fontId="177" fillId="0" borderId="11" xfId="1" applyNumberFormat="1" applyFont="1" applyFill="1" applyBorder="1" applyAlignment="1" applyProtection="1">
      <alignment vertical="center"/>
    </xf>
    <xf numFmtId="3" fontId="177" fillId="0" borderId="11" xfId="0" applyNumberFormat="1" applyFont="1" applyBorder="1" applyAlignment="1">
      <alignment vertical="center"/>
    </xf>
    <xf numFmtId="172" fontId="179" fillId="0" borderId="11" xfId="11" applyNumberFormat="1" applyFont="1" applyBorder="1" applyAlignment="1">
      <alignment vertical="center"/>
    </xf>
    <xf numFmtId="0" fontId="183" fillId="0" borderId="3" xfId="11" applyFont="1" applyBorder="1" applyAlignment="1">
      <alignment horizontal="left" vertical="center"/>
    </xf>
    <xf numFmtId="2" fontId="184" fillId="0" borderId="3" xfId="11" applyNumberFormat="1" applyFont="1" applyBorder="1" applyAlignment="1">
      <alignment horizontal="left" vertical="center"/>
    </xf>
    <xf numFmtId="2" fontId="185" fillId="0" borderId="3" xfId="11" applyNumberFormat="1" applyFont="1" applyBorder="1" applyAlignment="1">
      <alignment horizontal="left" vertical="center"/>
    </xf>
    <xf numFmtId="2" fontId="185" fillId="0" borderId="17" xfId="11" applyNumberFormat="1" applyFont="1" applyBorder="1" applyAlignment="1">
      <alignment horizontal="left" vertical="center"/>
    </xf>
    <xf numFmtId="3" fontId="186" fillId="0" borderId="3" xfId="11" applyNumberFormat="1" applyFont="1" applyBorder="1" applyAlignment="1">
      <alignment vertical="center"/>
    </xf>
    <xf numFmtId="3" fontId="186" fillId="0" borderId="4" xfId="11" applyNumberFormat="1" applyFont="1" applyBorder="1" applyAlignment="1">
      <alignment vertical="center"/>
    </xf>
    <xf numFmtId="3" fontId="185" fillId="0" borderId="4" xfId="11" applyNumberFormat="1" applyFont="1" applyBorder="1" applyAlignment="1">
      <alignment vertical="center"/>
    </xf>
    <xf numFmtId="3" fontId="185" fillId="0" borderId="11" xfId="11" applyNumberFormat="1" applyFont="1" applyBorder="1" applyAlignment="1">
      <alignment vertical="center"/>
    </xf>
    <xf numFmtId="3" fontId="183" fillId="0" borderId="3" xfId="11" applyNumberFormat="1" applyFont="1" applyBorder="1" applyAlignment="1">
      <alignment vertical="center"/>
    </xf>
    <xf numFmtId="0" fontId="187" fillId="0" borderId="0" xfId="11" applyFont="1" applyAlignment="1">
      <alignment horizontal="left" vertical="center"/>
    </xf>
    <xf numFmtId="172" fontId="188" fillId="0" borderId="3" xfId="11" applyNumberFormat="1" applyFont="1" applyBorder="1" applyAlignment="1">
      <alignment vertical="center"/>
    </xf>
    <xf numFmtId="172" fontId="188" fillId="0" borderId="4" xfId="11" applyNumberFormat="1" applyFont="1" applyBorder="1" applyAlignment="1">
      <alignment vertical="center"/>
    </xf>
    <xf numFmtId="172" fontId="189" fillId="0" borderId="4" xfId="11" applyNumberFormat="1" applyFont="1" applyBorder="1" applyAlignment="1">
      <alignment vertical="center"/>
    </xf>
    <xf numFmtId="172" fontId="189" fillId="0" borderId="11" xfId="11" applyNumberFormat="1" applyFont="1" applyBorder="1" applyAlignment="1">
      <alignment vertical="center"/>
    </xf>
    <xf numFmtId="172" fontId="190" fillId="0" borderId="17" xfId="11" applyNumberFormat="1" applyFont="1" applyBorder="1" applyAlignment="1">
      <alignment vertical="center"/>
    </xf>
    <xf numFmtId="2" fontId="177" fillId="0" borderId="4" xfId="11" applyNumberFormat="1" applyFont="1" applyBorder="1" applyAlignment="1">
      <alignment horizontal="left" vertical="center"/>
    </xf>
    <xf numFmtId="3" fontId="187" fillId="0" borderId="3" xfId="11" applyNumberFormat="1" applyFont="1" applyBorder="1" applyAlignment="1">
      <alignment vertical="center"/>
    </xf>
    <xf numFmtId="172" fontId="182" fillId="0" borderId="17" xfId="11" applyNumberFormat="1" applyFont="1" applyBorder="1" applyAlignment="1">
      <alignment vertical="center"/>
    </xf>
    <xf numFmtId="2" fontId="177" fillId="0" borderId="11" xfId="11" applyNumberFormat="1" applyFont="1" applyBorder="1" applyAlignment="1">
      <alignment horizontal="left" vertical="center"/>
    </xf>
    <xf numFmtId="0" fontId="139" fillId="0" borderId="16" xfId="11" applyFont="1" applyBorder="1" applyAlignment="1">
      <alignment horizontal="left" vertical="center"/>
    </xf>
    <xf numFmtId="168" fontId="139" fillId="0" borderId="16" xfId="1" applyNumberFormat="1" applyFont="1" applyFill="1" applyBorder="1" applyAlignment="1" applyProtection="1">
      <alignment vertical="center"/>
    </xf>
    <xf numFmtId="3" fontId="139" fillId="0" borderId="16" xfId="0" applyNumberFormat="1" applyFont="1" applyBorder="1" applyAlignment="1">
      <alignment vertical="center"/>
    </xf>
    <xf numFmtId="168" fontId="138" fillId="0" borderId="3" xfId="1" applyNumberFormat="1" applyFont="1" applyFill="1" applyBorder="1" applyAlignment="1" applyProtection="1">
      <alignment vertical="center"/>
    </xf>
    <xf numFmtId="3" fontId="138" fillId="0" borderId="3" xfId="0" applyNumberFormat="1" applyFont="1" applyBorder="1" applyAlignment="1">
      <alignment vertical="center"/>
    </xf>
    <xf numFmtId="168" fontId="138" fillId="0" borderId="4" xfId="1" applyNumberFormat="1" applyFont="1" applyFill="1" applyBorder="1" applyAlignment="1" applyProtection="1">
      <alignment vertical="center"/>
    </xf>
    <xf numFmtId="3" fontId="138" fillId="0" borderId="4" xfId="0" applyNumberFormat="1" applyFont="1" applyBorder="1" applyAlignment="1">
      <alignment vertical="center"/>
    </xf>
    <xf numFmtId="168" fontId="126" fillId="0" borderId="4" xfId="1" applyNumberFormat="1" applyFont="1" applyFill="1" applyBorder="1" applyAlignment="1" applyProtection="1">
      <alignment vertical="center"/>
    </xf>
    <xf numFmtId="3" fontId="126" fillId="0" borderId="4" xfId="0" applyNumberFormat="1" applyFont="1" applyBorder="1" applyAlignment="1">
      <alignment vertical="center"/>
    </xf>
    <xf numFmtId="0" fontId="126" fillId="0" borderId="11" xfId="11" applyFont="1" applyBorder="1" applyAlignment="1">
      <alignment horizontal="left" vertical="center"/>
    </xf>
    <xf numFmtId="168" fontId="126" fillId="0" borderId="11" xfId="1" applyNumberFormat="1" applyFont="1" applyFill="1" applyBorder="1" applyAlignment="1" applyProtection="1">
      <alignment vertical="center"/>
    </xf>
    <xf numFmtId="3" fontId="126" fillId="0" borderId="11" xfId="0" applyNumberFormat="1" applyFont="1" applyBorder="1" applyAlignment="1">
      <alignment vertical="center"/>
    </xf>
    <xf numFmtId="0" fontId="183" fillId="0" borderId="16" xfId="11" applyFont="1" applyBorder="1" applyAlignment="1">
      <alignment horizontal="left" vertical="center"/>
    </xf>
    <xf numFmtId="3" fontId="184" fillId="0" borderId="3" xfId="11" applyNumberFormat="1" applyFont="1" applyBorder="1" applyAlignment="1">
      <alignment vertical="center"/>
    </xf>
    <xf numFmtId="3" fontId="184" fillId="0" borderId="4" xfId="11" applyNumberFormat="1" applyFont="1" applyBorder="1" applyAlignment="1">
      <alignment vertical="center"/>
    </xf>
    <xf numFmtId="172" fontId="194" fillId="0" borderId="3" xfId="11" applyNumberFormat="1" applyFont="1" applyBorder="1" applyAlignment="1">
      <alignment vertical="center"/>
    </xf>
    <xf numFmtId="172" fontId="194" fillId="0" borderId="4" xfId="11" applyNumberFormat="1" applyFont="1" applyBorder="1" applyAlignment="1">
      <alignment vertical="center"/>
    </xf>
    <xf numFmtId="172" fontId="195" fillId="0" borderId="4" xfId="11" applyNumberFormat="1" applyFont="1" applyBorder="1" applyAlignment="1">
      <alignment vertical="center"/>
    </xf>
    <xf numFmtId="0" fontId="177" fillId="0" borderId="3" xfId="11" applyFont="1" applyBorder="1" applyAlignment="1">
      <alignment horizontal="left" vertical="center"/>
    </xf>
    <xf numFmtId="168" fontId="177" fillId="0" borderId="3" xfId="1" applyNumberFormat="1" applyFont="1" applyFill="1" applyBorder="1" applyAlignment="1" applyProtection="1">
      <alignment vertical="center"/>
    </xf>
    <xf numFmtId="3" fontId="177" fillId="0" borderId="3" xfId="0" applyNumberFormat="1" applyFont="1" applyBorder="1" applyAlignment="1">
      <alignment vertical="center"/>
    </xf>
    <xf numFmtId="3" fontId="177" fillId="0" borderId="3" xfId="11" applyNumberFormat="1" applyFont="1" applyBorder="1" applyAlignment="1">
      <alignment vertical="center"/>
    </xf>
    <xf numFmtId="2" fontId="177" fillId="0" borderId="1" xfId="11" applyNumberFormat="1" applyFont="1" applyBorder="1" applyAlignment="1">
      <alignment horizontal="right" textRotation="90" wrapText="1"/>
    </xf>
    <xf numFmtId="0" fontId="177" fillId="0" borderId="1" xfId="11" applyFont="1" applyBorder="1" applyAlignment="1">
      <alignment horizontal="right" textRotation="90" wrapText="1"/>
    </xf>
    <xf numFmtId="3" fontId="177" fillId="0" borderId="1" xfId="11" applyNumberFormat="1" applyFont="1" applyBorder="1" applyAlignment="1">
      <alignment horizontal="right" textRotation="90" wrapText="1"/>
    </xf>
    <xf numFmtId="3" fontId="177" fillId="0" borderId="12" xfId="11" applyNumberFormat="1" applyFont="1" applyBorder="1" applyAlignment="1">
      <alignment vertical="center"/>
    </xf>
    <xf numFmtId="3" fontId="177" fillId="12" borderId="12" xfId="11" applyNumberFormat="1" applyFont="1" applyFill="1" applyBorder="1" applyAlignment="1">
      <alignment vertical="center"/>
    </xf>
    <xf numFmtId="10" fontId="177" fillId="0" borderId="0" xfId="1" applyNumberFormat="1" applyFont="1" applyBorder="1" applyAlignment="1" applyProtection="1">
      <alignment horizontal="right" vertical="center"/>
    </xf>
    <xf numFmtId="3" fontId="87" fillId="12" borderId="12" xfId="11" applyNumberFormat="1" applyFont="1" applyFill="1" applyBorder="1" applyAlignment="1">
      <alignment vertical="center"/>
    </xf>
    <xf numFmtId="3" fontId="98" fillId="0" borderId="17" xfId="11" applyNumberFormat="1" applyFont="1" applyBorder="1" applyAlignment="1">
      <alignment vertical="center"/>
    </xf>
    <xf numFmtId="172" fontId="196" fillId="0" borderId="17" xfId="11" applyNumberFormat="1" applyFont="1" applyBorder="1" applyAlignment="1">
      <alignment vertical="center"/>
    </xf>
    <xf numFmtId="172" fontId="179" fillId="0" borderId="12" xfId="11" applyNumberFormat="1" applyFont="1" applyBorder="1" applyAlignment="1">
      <alignment vertical="center"/>
    </xf>
    <xf numFmtId="172" fontId="179" fillId="12" borderId="12" xfId="11" applyNumberFormat="1" applyFont="1" applyFill="1" applyBorder="1" applyAlignment="1">
      <alignment vertical="center"/>
    </xf>
    <xf numFmtId="3" fontId="107" fillId="13" borderId="4" xfId="0" applyNumberFormat="1" applyFont="1" applyFill="1" applyBorder="1" applyAlignment="1" applyProtection="1">
      <alignment wrapText="1"/>
      <protection locked="0"/>
    </xf>
    <xf numFmtId="0" fontId="43" fillId="13" borderId="3" xfId="0" applyFont="1" applyFill="1" applyBorder="1" applyAlignment="1" applyProtection="1">
      <alignment vertical="center"/>
      <protection locked="0"/>
    </xf>
    <xf numFmtId="0" fontId="19" fillId="13" borderId="4" xfId="0" applyFont="1" applyFill="1" applyBorder="1" applyAlignment="1" applyProtection="1">
      <alignment vertical="center"/>
      <protection locked="0"/>
    </xf>
    <xf numFmtId="0" fontId="27" fillId="13" borderId="3" xfId="0" applyFont="1" applyFill="1" applyBorder="1" applyAlignment="1" applyProtection="1">
      <alignment vertical="center" wrapText="1"/>
      <protection locked="0"/>
    </xf>
    <xf numFmtId="0" fontId="43" fillId="13" borderId="4" xfId="0" applyFont="1" applyFill="1" applyBorder="1" applyAlignment="1" applyProtection="1">
      <alignment vertical="center"/>
      <protection locked="0"/>
    </xf>
    <xf numFmtId="168" fontId="116" fillId="13" borderId="0" xfId="1" applyNumberFormat="1" applyFont="1" applyFill="1" applyBorder="1" applyAlignment="1" applyProtection="1">
      <alignment vertical="center"/>
      <protection locked="0"/>
    </xf>
    <xf numFmtId="168" fontId="116" fillId="13" borderId="3" xfId="1" applyNumberFormat="1" applyFont="1" applyFill="1" applyBorder="1" applyAlignment="1" applyProtection="1">
      <alignment vertical="center"/>
      <protection locked="0"/>
    </xf>
    <xf numFmtId="168" fontId="107" fillId="13" borderId="0" xfId="1" applyNumberFormat="1" applyFont="1" applyFill="1" applyBorder="1" applyAlignment="1" applyProtection="1">
      <alignment vertical="center"/>
      <protection locked="0"/>
    </xf>
    <xf numFmtId="168" fontId="107" fillId="13" borderId="3" xfId="1" applyNumberFormat="1" applyFont="1" applyFill="1" applyBorder="1" applyAlignment="1" applyProtection="1">
      <alignment vertical="center"/>
      <protection locked="0"/>
    </xf>
    <xf numFmtId="3" fontId="127" fillId="13" borderId="2" xfId="11" applyNumberFormat="1" applyFont="1" applyFill="1" applyBorder="1" applyAlignment="1" applyProtection="1">
      <alignment vertical="center"/>
      <protection locked="0"/>
    </xf>
    <xf numFmtId="3" fontId="127" fillId="13" borderId="7" xfId="11" applyNumberFormat="1" applyFont="1" applyFill="1" applyBorder="1" applyAlignment="1" applyProtection="1">
      <alignment vertical="center"/>
      <protection locked="0"/>
    </xf>
    <xf numFmtId="3" fontId="127" fillId="13" borderId="4" xfId="11" applyNumberFormat="1" applyFont="1" applyFill="1" applyBorder="1" applyAlignment="1" applyProtection="1">
      <alignment vertical="center"/>
      <protection locked="0"/>
    </xf>
    <xf numFmtId="3" fontId="127" fillId="13" borderId="6" xfId="11" applyNumberFormat="1" applyFont="1" applyFill="1" applyBorder="1" applyAlignment="1" applyProtection="1">
      <alignment vertical="center"/>
      <protection locked="0"/>
    </xf>
    <xf numFmtId="3" fontId="127" fillId="13" borderId="22" xfId="11" applyNumberFormat="1" applyFont="1" applyFill="1" applyBorder="1" applyAlignment="1" applyProtection="1">
      <alignment vertical="center"/>
      <protection locked="0"/>
    </xf>
    <xf numFmtId="3" fontId="127" fillId="13" borderId="23" xfId="11" applyNumberFormat="1" applyFont="1" applyFill="1" applyBorder="1" applyAlignment="1" applyProtection="1">
      <alignment vertical="center"/>
      <protection locked="0"/>
    </xf>
    <xf numFmtId="3" fontId="129" fillId="13" borderId="22" xfId="11" applyNumberFormat="1" applyFont="1" applyFill="1" applyBorder="1" applyAlignment="1" applyProtection="1">
      <alignment vertical="top"/>
      <protection locked="0"/>
    </xf>
    <xf numFmtId="3" fontId="129" fillId="13" borderId="23" xfId="11" applyNumberFormat="1" applyFont="1" applyFill="1" applyBorder="1" applyAlignment="1" applyProtection="1">
      <alignment vertical="top"/>
      <protection locked="0"/>
    </xf>
    <xf numFmtId="3" fontId="129" fillId="13" borderId="24" xfId="11" applyNumberFormat="1" applyFont="1" applyFill="1" applyBorder="1" applyAlignment="1" applyProtection="1">
      <alignment vertical="top"/>
      <protection locked="0"/>
    </xf>
    <xf numFmtId="3" fontId="26" fillId="13" borderId="7" xfId="11" applyNumberFormat="1" applyFont="1" applyFill="1" applyBorder="1" applyAlignment="1" applyProtection="1">
      <alignment vertical="center"/>
      <protection locked="0"/>
    </xf>
    <xf numFmtId="3" fontId="26" fillId="13" borderId="4" xfId="11" applyNumberFormat="1" applyFont="1" applyFill="1" applyBorder="1" applyAlignment="1" applyProtection="1">
      <alignment vertical="center"/>
      <protection locked="0"/>
    </xf>
    <xf numFmtId="3" fontId="128" fillId="13" borderId="7" xfId="11" applyNumberFormat="1" applyFont="1" applyFill="1" applyBorder="1" applyAlignment="1" applyProtection="1">
      <alignment vertical="top"/>
      <protection locked="0"/>
    </xf>
    <xf numFmtId="3" fontId="128" fillId="13" borderId="4" xfId="11" applyNumberFormat="1" applyFont="1" applyFill="1" applyBorder="1" applyAlignment="1" applyProtection="1">
      <alignment vertical="top"/>
      <protection locked="0"/>
    </xf>
    <xf numFmtId="3" fontId="128" fillId="13" borderId="6" xfId="11" applyNumberFormat="1" applyFont="1" applyFill="1" applyBorder="1" applyAlignment="1" applyProtection="1">
      <alignment vertical="top"/>
      <protection locked="0"/>
    </xf>
    <xf numFmtId="9" fontId="18" fillId="13" borderId="7" xfId="1" applyFont="1" applyFill="1" applyBorder="1" applyAlignment="1" applyProtection="1">
      <protection locked="0"/>
    </xf>
    <xf numFmtId="9" fontId="18" fillId="13" borderId="4" xfId="1" applyFont="1" applyFill="1" applyBorder="1" applyAlignment="1" applyProtection="1">
      <protection locked="0"/>
    </xf>
    <xf numFmtId="9" fontId="18" fillId="13" borderId="3" xfId="1" applyFont="1" applyFill="1" applyBorder="1" applyAlignment="1" applyProtection="1">
      <alignment vertical="center"/>
      <protection locked="0"/>
    </xf>
    <xf numFmtId="0" fontId="39" fillId="13" borderId="7" xfId="9" applyNumberFormat="1" applyFont="1" applyFill="1" applyBorder="1" applyAlignment="1" applyProtection="1">
      <protection locked="0"/>
    </xf>
    <xf numFmtId="0" fontId="39" fillId="13" borderId="4" xfId="9" applyNumberFormat="1" applyFont="1" applyFill="1" applyBorder="1" applyAlignment="1" applyProtection="1">
      <protection locked="0"/>
    </xf>
    <xf numFmtId="0" fontId="39" fillId="13" borderId="6" xfId="9" applyNumberFormat="1" applyFont="1" applyFill="1" applyBorder="1" applyAlignment="1" applyProtection="1">
      <protection locked="0"/>
    </xf>
    <xf numFmtId="3" fontId="135" fillId="0" borderId="10" xfId="11" applyNumberFormat="1" applyFont="1" applyBorder="1" applyAlignment="1" applyProtection="1">
      <alignment horizontal="right" vertical="center"/>
      <protection locked="0"/>
    </xf>
    <xf numFmtId="3" fontId="142" fillId="13" borderId="12" xfId="11" applyNumberFormat="1" applyFont="1" applyFill="1" applyBorder="1" applyAlignment="1" applyProtection="1">
      <alignment vertical="center"/>
      <protection locked="0"/>
    </xf>
    <xf numFmtId="3" fontId="131" fillId="0" borderId="3" xfId="11" applyNumberFormat="1" applyFont="1" applyBorder="1" applyAlignment="1" applyProtection="1">
      <alignment vertical="center"/>
      <protection locked="0"/>
    </xf>
    <xf numFmtId="3" fontId="131" fillId="0" borderId="4" xfId="11" applyNumberFormat="1" applyFont="1" applyBorder="1" applyAlignment="1" applyProtection="1">
      <alignment vertical="center"/>
      <protection locked="0"/>
    </xf>
    <xf numFmtId="3" fontId="178" fillId="0" borderId="4" xfId="11" applyNumberFormat="1" applyFont="1" applyBorder="1" applyAlignment="1" applyProtection="1">
      <alignment vertical="center"/>
      <protection locked="0"/>
    </xf>
    <xf numFmtId="3" fontId="178" fillId="0" borderId="11" xfId="11" applyNumberFormat="1" applyFont="1" applyBorder="1" applyAlignment="1" applyProtection="1">
      <alignment vertical="center"/>
      <protection locked="0"/>
    </xf>
    <xf numFmtId="3" fontId="142" fillId="13" borderId="1" xfId="11" applyNumberFormat="1" applyFont="1" applyFill="1" applyBorder="1" applyAlignment="1" applyProtection="1">
      <alignment vertical="center"/>
      <protection locked="0"/>
    </xf>
    <xf numFmtId="1" fontId="135" fillId="0" borderId="10" xfId="11" applyNumberFormat="1" applyFont="1" applyBorder="1" applyAlignment="1" applyProtection="1">
      <alignment vertical="center"/>
      <protection locked="0"/>
    </xf>
    <xf numFmtId="3" fontId="143" fillId="13" borderId="12" xfId="11" applyNumberFormat="1" applyFont="1" applyFill="1" applyBorder="1" applyAlignment="1" applyProtection="1">
      <alignment vertical="center"/>
      <protection locked="0"/>
    </xf>
    <xf numFmtId="3" fontId="178" fillId="0" borderId="17" xfId="11" applyNumberFormat="1" applyFont="1" applyBorder="1" applyAlignment="1" applyProtection="1">
      <alignment vertical="center"/>
      <protection locked="0"/>
    </xf>
    <xf numFmtId="1" fontId="130" fillId="0" borderId="12" xfId="1" applyNumberFormat="1" applyFont="1" applyFill="1" applyBorder="1" applyAlignment="1" applyProtection="1">
      <alignment horizontal="right" vertical="center"/>
      <protection locked="0"/>
    </xf>
    <xf numFmtId="3" fontId="143" fillId="13" borderId="3" xfId="11" applyNumberFormat="1" applyFont="1" applyFill="1" applyBorder="1" applyAlignment="1" applyProtection="1">
      <alignment vertical="center"/>
      <protection locked="0"/>
    </xf>
    <xf numFmtId="3" fontId="143" fillId="13" borderId="11" xfId="11" applyNumberFormat="1" applyFont="1" applyFill="1" applyBorder="1" applyAlignment="1" applyProtection="1">
      <alignment vertical="center"/>
      <protection locked="0"/>
    </xf>
    <xf numFmtId="3" fontId="180" fillId="13" borderId="11" xfId="11" applyNumberFormat="1" applyFont="1" applyFill="1" applyBorder="1" applyAlignment="1" applyProtection="1">
      <alignment vertical="center"/>
      <protection locked="0"/>
    </xf>
    <xf numFmtId="1" fontId="142" fillId="13" borderId="12" xfId="1" applyNumberFormat="1" applyFont="1" applyFill="1" applyBorder="1" applyAlignment="1" applyProtection="1">
      <alignment horizontal="right" vertical="center"/>
      <protection locked="0"/>
    </xf>
    <xf numFmtId="3" fontId="132" fillId="0" borderId="4" xfId="11" applyNumberFormat="1" applyFont="1" applyBorder="1" applyAlignment="1" applyProtection="1">
      <alignment vertical="center"/>
      <protection locked="0"/>
    </xf>
    <xf numFmtId="3" fontId="132" fillId="0" borderId="11" xfId="11" applyNumberFormat="1" applyFont="1" applyBorder="1" applyAlignment="1" applyProtection="1">
      <alignment vertical="center"/>
      <protection locked="0"/>
    </xf>
    <xf numFmtId="3" fontId="143" fillId="13" borderId="17" xfId="11" applyNumberFormat="1" applyFont="1" applyFill="1" applyBorder="1" applyAlignment="1" applyProtection="1">
      <alignment vertical="center"/>
      <protection locked="0"/>
    </xf>
    <xf numFmtId="3" fontId="191" fillId="0" borderId="3" xfId="11" applyNumberFormat="1" applyFont="1" applyBorder="1" applyAlignment="1" applyProtection="1">
      <alignment vertical="center"/>
      <protection locked="0"/>
    </xf>
    <xf numFmtId="3" fontId="191" fillId="0" borderId="4" xfId="11" applyNumberFormat="1" applyFont="1" applyBorder="1" applyAlignment="1" applyProtection="1">
      <alignment vertical="center"/>
      <protection locked="0"/>
    </xf>
    <xf numFmtId="3" fontId="180" fillId="13" borderId="17" xfId="11" applyNumberFormat="1" applyFont="1" applyFill="1" applyBorder="1" applyAlignment="1" applyProtection="1">
      <alignment vertical="center"/>
      <protection locked="0"/>
    </xf>
    <xf numFmtId="3" fontId="143" fillId="13" borderId="0" xfId="11" applyNumberFormat="1" applyFont="1" applyFill="1" applyAlignment="1" applyProtection="1">
      <alignment vertical="center"/>
      <protection locked="0"/>
    </xf>
    <xf numFmtId="3" fontId="131" fillId="0" borderId="16" xfId="11" applyNumberFormat="1" applyFont="1" applyBorder="1" applyAlignment="1" applyProtection="1">
      <alignment vertical="center"/>
      <protection locked="0"/>
    </xf>
    <xf numFmtId="3" fontId="180" fillId="13" borderId="16" xfId="11" applyNumberFormat="1" applyFont="1" applyFill="1" applyBorder="1" applyAlignment="1" applyProtection="1">
      <alignment vertical="center"/>
      <protection locked="0"/>
    </xf>
    <xf numFmtId="3" fontId="192" fillId="0" borderId="3" xfId="11" applyNumberFormat="1" applyFont="1" applyBorder="1" applyAlignment="1" applyProtection="1">
      <alignment vertical="center"/>
      <protection locked="0"/>
    </xf>
    <xf numFmtId="3" fontId="192" fillId="0" borderId="4" xfId="11" applyNumberFormat="1" applyFont="1" applyBorder="1" applyAlignment="1" applyProtection="1">
      <alignment vertical="center"/>
      <protection locked="0"/>
    </xf>
    <xf numFmtId="3" fontId="193" fillId="0" borderId="4" xfId="11" applyNumberFormat="1" applyFont="1" applyBorder="1" applyAlignment="1" applyProtection="1">
      <alignment vertical="center"/>
      <protection locked="0"/>
    </xf>
    <xf numFmtId="3" fontId="143" fillId="13" borderId="16" xfId="11" applyNumberFormat="1" applyFont="1" applyFill="1" applyBorder="1" applyAlignment="1" applyProtection="1">
      <alignment vertical="center"/>
      <protection locked="0"/>
    </xf>
    <xf numFmtId="3" fontId="178" fillId="0" borderId="3" xfId="11" applyNumberFormat="1" applyFont="1" applyBorder="1" applyAlignment="1" applyProtection="1">
      <alignment vertical="center"/>
      <protection locked="0"/>
    </xf>
    <xf numFmtId="0" fontId="19" fillId="0" borderId="0" xfId="24" applyFont="1" applyProtection="1">
      <protection locked="0"/>
    </xf>
    <xf numFmtId="0" fontId="19" fillId="0" borderId="0" xfId="24" applyFont="1" applyAlignment="1" applyProtection="1">
      <alignment wrapText="1"/>
      <protection locked="0"/>
    </xf>
    <xf numFmtId="0" fontId="84" fillId="0" borderId="0" xfId="0" applyFont="1" applyAlignment="1" applyProtection="1">
      <alignment horizontal="right"/>
      <protection locked="0"/>
    </xf>
    <xf numFmtId="0" fontId="84" fillId="0" borderId="4" xfId="0" applyFont="1" applyBorder="1" applyProtection="1">
      <protection locked="0"/>
    </xf>
    <xf numFmtId="0" fontId="21" fillId="0" borderId="4" xfId="0" applyFont="1" applyBorder="1" applyProtection="1">
      <protection locked="0"/>
    </xf>
    <xf numFmtId="0" fontId="20" fillId="0" borderId="0" xfId="24" applyFont="1" applyProtection="1">
      <protection locked="0"/>
    </xf>
    <xf numFmtId="0" fontId="20" fillId="0" borderId="0" xfId="24" applyFont="1" applyAlignment="1" applyProtection="1">
      <alignment wrapText="1"/>
      <protection locked="0"/>
    </xf>
    <xf numFmtId="49" fontId="84" fillId="0" borderId="4" xfId="0" applyNumberFormat="1" applyFont="1" applyBorder="1" applyProtection="1">
      <protection locked="0"/>
    </xf>
    <xf numFmtId="49" fontId="21" fillId="0" borderId="4" xfId="0" applyNumberFormat="1" applyFont="1" applyBorder="1" applyProtection="1">
      <protection locked="0"/>
    </xf>
    <xf numFmtId="0" fontId="198" fillId="0" borderId="0" xfId="25" applyAlignment="1" applyProtection="1">
      <alignment horizontal="left" wrapText="1"/>
      <protection locked="0"/>
    </xf>
    <xf numFmtId="0" fontId="21" fillId="0" borderId="0" xfId="24" applyFont="1" applyProtection="1">
      <protection locked="0"/>
    </xf>
    <xf numFmtId="0" fontId="21" fillId="0" borderId="0" xfId="24" applyFont="1" applyAlignment="1" applyProtection="1">
      <alignment wrapText="1"/>
      <protection locked="0"/>
    </xf>
    <xf numFmtId="0" fontId="19" fillId="0" borderId="0" xfId="24" applyFont="1" applyAlignment="1" applyProtection="1">
      <alignment horizontal="right" vertical="top" indent="1"/>
      <protection locked="0"/>
    </xf>
    <xf numFmtId="49" fontId="19" fillId="0" borderId="0" xfId="24" applyNumberFormat="1" applyFont="1" applyAlignment="1" applyProtection="1">
      <alignment wrapText="1"/>
      <protection locked="0"/>
    </xf>
    <xf numFmtId="14" fontId="84" fillId="0" borderId="0" xfId="0" applyNumberFormat="1" applyFont="1" applyAlignment="1" applyProtection="1">
      <alignment horizontal="right"/>
      <protection locked="0"/>
    </xf>
    <xf numFmtId="14" fontId="84" fillId="0" borderId="4" xfId="0" applyNumberFormat="1" applyFont="1" applyBorder="1" applyAlignment="1" applyProtection="1">
      <alignment horizontal="left"/>
      <protection locked="0"/>
    </xf>
    <xf numFmtId="14" fontId="21" fillId="0" borderId="4" xfId="0" applyNumberFormat="1" applyFont="1" applyBorder="1" applyAlignment="1" applyProtection="1">
      <alignment horizontal="left"/>
      <protection locked="0"/>
    </xf>
    <xf numFmtId="0" fontId="21" fillId="0" borderId="0" xfId="24" applyFont="1" applyAlignment="1" applyProtection="1">
      <alignment horizontal="right" vertical="top" indent="1"/>
      <protection locked="0"/>
    </xf>
    <xf numFmtId="49" fontId="21" fillId="0" borderId="0" xfId="24" applyNumberFormat="1" applyFont="1" applyAlignment="1" applyProtection="1">
      <alignment horizontal="left" vertical="top" wrapText="1"/>
      <protection locked="0"/>
    </xf>
    <xf numFmtId="0" fontId="198" fillId="0" borderId="0" xfId="25" applyAlignment="1" applyProtection="1">
      <alignment vertical="center" wrapText="1"/>
      <protection locked="0"/>
    </xf>
    <xf numFmtId="0" fontId="34" fillId="0" borderId="0" xfId="24" applyFont="1" applyAlignment="1" applyProtection="1">
      <alignment vertical="center"/>
      <protection locked="0"/>
    </xf>
    <xf numFmtId="0" fontId="34" fillId="0" borderId="0" xfId="24" applyFont="1" applyAlignment="1" applyProtection="1">
      <alignment vertical="center" wrapText="1"/>
      <protection locked="0"/>
    </xf>
    <xf numFmtId="0" fontId="21" fillId="0" borderId="0" xfId="24" applyFont="1" applyAlignment="1" applyProtection="1">
      <alignment horizontal="left"/>
      <protection locked="0"/>
    </xf>
    <xf numFmtId="2" fontId="21" fillId="0" borderId="0" xfId="24" applyNumberFormat="1" applyFont="1" applyAlignment="1" applyProtection="1">
      <alignment wrapText="1"/>
      <protection locked="0"/>
    </xf>
    <xf numFmtId="2" fontId="23" fillId="0" borderId="0" xfId="24" applyNumberFormat="1" applyFont="1" applyProtection="1">
      <protection locked="0"/>
    </xf>
    <xf numFmtId="2" fontId="23" fillId="0" borderId="0" xfId="24" applyNumberFormat="1" applyFont="1" applyAlignment="1" applyProtection="1">
      <alignment wrapText="1"/>
      <protection locked="0"/>
    </xf>
    <xf numFmtId="0" fontId="84" fillId="0" borderId="1" xfId="11" applyFont="1" applyBorder="1" applyAlignment="1" applyProtection="1">
      <alignment horizontal="left"/>
      <protection locked="0"/>
    </xf>
    <xf numFmtId="0" fontId="84" fillId="0" borderId="1" xfId="11" applyFont="1" applyBorder="1" applyAlignment="1" applyProtection="1">
      <alignment wrapText="1"/>
      <protection locked="0"/>
    </xf>
    <xf numFmtId="0" fontId="103" fillId="0" borderId="1" xfId="11" applyFont="1" applyBorder="1" applyAlignment="1" applyProtection="1">
      <alignment wrapText="1"/>
      <protection locked="0"/>
    </xf>
    <xf numFmtId="0" fontId="103" fillId="0" borderId="0" xfId="11" applyFont="1" applyAlignment="1" applyProtection="1">
      <alignment wrapText="1"/>
      <protection locked="0"/>
    </xf>
    <xf numFmtId="0" fontId="15" fillId="0" borderId="0" xfId="11" applyFont="1" applyProtection="1">
      <protection locked="0"/>
    </xf>
    <xf numFmtId="49" fontId="153" fillId="5" borderId="10" xfId="24" applyNumberFormat="1" applyFont="1" applyFill="1" applyBorder="1" applyAlignment="1" applyProtection="1">
      <alignment horizontal="left" vertical="center"/>
      <protection locked="0"/>
    </xf>
    <xf numFmtId="0" fontId="153" fillId="0" borderId="10" xfId="24" applyFont="1" applyBorder="1" applyAlignment="1" applyProtection="1">
      <alignment vertical="center" wrapText="1"/>
      <protection locked="0"/>
    </xf>
    <xf numFmtId="3" fontId="154" fillId="0" borderId="13" xfId="11" applyNumberFormat="1" applyFont="1" applyBorder="1" applyAlignment="1" applyProtection="1">
      <alignment horizontal="center" vertical="center"/>
      <protection locked="0"/>
    </xf>
    <xf numFmtId="3" fontId="154" fillId="0" borderId="13" xfId="11" applyNumberFormat="1" applyFont="1" applyBorder="1" applyAlignment="1" applyProtection="1">
      <alignment horizontal="right" vertical="center" wrapText="1"/>
      <protection locked="0"/>
    </xf>
    <xf numFmtId="3" fontId="154" fillId="0" borderId="13" xfId="11" applyNumberFormat="1" applyFont="1" applyBorder="1" applyAlignment="1" applyProtection="1">
      <alignment horizontal="right" vertical="center"/>
      <protection locked="0"/>
    </xf>
    <xf numFmtId="0" fontId="145" fillId="0" borderId="0" xfId="11" applyFont="1" applyAlignment="1" applyProtection="1">
      <alignment vertical="center"/>
      <protection locked="0"/>
    </xf>
    <xf numFmtId="0" fontId="155" fillId="0" borderId="12" xfId="24" applyFont="1" applyBorder="1" applyAlignment="1" applyProtection="1">
      <alignment horizontal="left" vertical="center"/>
      <protection locked="0"/>
    </xf>
    <xf numFmtId="0" fontId="155" fillId="0" borderId="12" xfId="24" applyFont="1" applyBorder="1" applyAlignment="1" applyProtection="1">
      <alignment horizontal="left" vertical="center" wrapText="1"/>
      <protection locked="0"/>
    </xf>
    <xf numFmtId="3" fontId="103" fillId="0" borderId="12" xfId="11" applyNumberFormat="1" applyFont="1" applyBorder="1" applyAlignment="1" applyProtection="1">
      <alignment horizontal="right" vertical="top"/>
      <protection locked="0"/>
    </xf>
    <xf numFmtId="3" fontId="103" fillId="0" borderId="12" xfId="11" applyNumberFormat="1" applyFont="1" applyBorder="1" applyAlignment="1" applyProtection="1">
      <alignment horizontal="left" vertical="top" wrapText="1"/>
      <protection locked="0"/>
    </xf>
    <xf numFmtId="3" fontId="103" fillId="0" borderId="12" xfId="11" applyNumberFormat="1" applyFont="1" applyBorder="1" applyAlignment="1" applyProtection="1">
      <alignment vertical="top"/>
      <protection locked="0"/>
    </xf>
    <xf numFmtId="3" fontId="103" fillId="0" borderId="12" xfId="11" applyNumberFormat="1" applyFont="1" applyBorder="1" applyAlignment="1" applyProtection="1">
      <alignment vertical="top" wrapText="1"/>
      <protection locked="0"/>
    </xf>
    <xf numFmtId="0" fontId="36" fillId="0" borderId="0" xfId="11" applyFont="1" applyAlignment="1" applyProtection="1">
      <alignment vertical="center"/>
      <protection locked="0"/>
    </xf>
    <xf numFmtId="49" fontId="156" fillId="3" borderId="10" xfId="24" applyNumberFormat="1" applyFont="1" applyFill="1" applyBorder="1" applyAlignment="1" applyProtection="1">
      <alignment horizontal="left" vertical="center"/>
      <protection locked="0"/>
    </xf>
    <xf numFmtId="0" fontId="156" fillId="0" borderId="10" xfId="24" applyFont="1" applyBorder="1" applyAlignment="1" applyProtection="1">
      <alignment vertical="center" wrapText="1"/>
      <protection locked="0"/>
    </xf>
    <xf numFmtId="3" fontId="103" fillId="0" borderId="10" xfId="11" applyNumberFormat="1" applyFont="1" applyBorder="1" applyAlignment="1" applyProtection="1">
      <alignment horizontal="right" vertical="top"/>
      <protection locked="0"/>
    </xf>
    <xf numFmtId="3" fontId="103" fillId="0" borderId="10" xfId="11" applyNumberFormat="1" applyFont="1" applyBorder="1" applyAlignment="1" applyProtection="1">
      <alignment horizontal="left" vertical="top" wrapText="1"/>
      <protection locked="0"/>
    </xf>
    <xf numFmtId="3" fontId="103" fillId="0" borderId="10" xfId="11" applyNumberFormat="1" applyFont="1" applyBorder="1" applyAlignment="1" applyProtection="1">
      <alignment horizontal="right" vertical="top" wrapText="1"/>
      <protection locked="0"/>
    </xf>
    <xf numFmtId="0" fontId="15" fillId="0" borderId="0" xfId="11" applyFont="1" applyAlignment="1" applyProtection="1">
      <alignment vertical="center"/>
      <protection locked="0"/>
    </xf>
    <xf numFmtId="49" fontId="155" fillId="0" borderId="12" xfId="24" applyNumberFormat="1" applyFont="1" applyBorder="1" applyAlignment="1" applyProtection="1">
      <alignment horizontal="left" vertical="center"/>
      <protection locked="0"/>
    </xf>
    <xf numFmtId="0" fontId="155" fillId="0" borderId="12" xfId="24" applyFont="1" applyBorder="1" applyAlignment="1" applyProtection="1">
      <alignment vertical="center" wrapText="1"/>
      <protection locked="0"/>
    </xf>
    <xf numFmtId="0" fontId="72" fillId="0" borderId="0" xfId="11" applyFont="1" applyAlignment="1" applyProtection="1">
      <alignment vertical="center"/>
      <protection locked="0"/>
    </xf>
    <xf numFmtId="49" fontId="155" fillId="0" borderId="1" xfId="24" applyNumberFormat="1" applyFont="1" applyBorder="1" applyAlignment="1" applyProtection="1">
      <alignment horizontal="left" vertical="center"/>
      <protection locked="0"/>
    </xf>
    <xf numFmtId="0" fontId="155" fillId="0" borderId="1" xfId="24" applyFont="1" applyBorder="1" applyAlignment="1" applyProtection="1">
      <alignment vertical="center" wrapText="1"/>
      <protection locked="0"/>
    </xf>
    <xf numFmtId="3" fontId="103" fillId="0" borderId="3" xfId="11" applyNumberFormat="1" applyFont="1" applyBorder="1" applyAlignment="1" applyProtection="1">
      <alignment horizontal="right" vertical="top"/>
      <protection locked="0"/>
    </xf>
    <xf numFmtId="3" fontId="103" fillId="0" borderId="3" xfId="11" applyNumberFormat="1" applyFont="1" applyBorder="1" applyAlignment="1" applyProtection="1">
      <alignment vertical="top"/>
      <protection locked="0"/>
    </xf>
    <xf numFmtId="0" fontId="156" fillId="6" borderId="10" xfId="24" applyFont="1" applyFill="1" applyBorder="1" applyAlignment="1" applyProtection="1">
      <alignment horizontal="left" vertical="center"/>
      <protection locked="0"/>
    </xf>
    <xf numFmtId="3" fontId="103" fillId="0" borderId="10" xfId="11" applyNumberFormat="1" applyFont="1" applyBorder="1" applyAlignment="1" applyProtection="1">
      <alignment vertical="top"/>
      <protection locked="0"/>
    </xf>
    <xf numFmtId="3" fontId="103" fillId="0" borderId="10" xfId="11" applyNumberFormat="1" applyFont="1" applyBorder="1" applyAlignment="1" applyProtection="1">
      <alignment vertical="top" wrapText="1"/>
      <protection locked="0"/>
    </xf>
    <xf numFmtId="0" fontId="103" fillId="0" borderId="0" xfId="11" applyFont="1" applyAlignment="1" applyProtection="1">
      <alignment vertical="top"/>
      <protection locked="0"/>
    </xf>
    <xf numFmtId="0" fontId="103" fillId="0" borderId="0" xfId="11" applyFont="1" applyAlignment="1" applyProtection="1">
      <alignment horizontal="left" vertical="top"/>
      <protection locked="0"/>
    </xf>
    <xf numFmtId="0" fontId="103" fillId="0" borderId="0" xfId="11" applyFont="1" applyAlignment="1" applyProtection="1">
      <alignment vertical="top" wrapText="1"/>
      <protection locked="0"/>
    </xf>
    <xf numFmtId="49" fontId="103" fillId="0" borderId="21" xfId="11" applyNumberFormat="1" applyFont="1" applyBorder="1" applyAlignment="1" applyProtection="1">
      <alignment horizontal="left" vertical="center"/>
      <protection locked="0"/>
    </xf>
    <xf numFmtId="0" fontId="103" fillId="0" borderId="3" xfId="11" applyFont="1" applyBorder="1" applyAlignment="1" applyProtection="1">
      <alignment horizontal="left" vertical="center" wrapText="1"/>
      <protection locked="0"/>
    </xf>
    <xf numFmtId="0" fontId="26" fillId="0" borderId="0" xfId="11" applyFont="1" applyAlignment="1" applyProtection="1">
      <alignment vertical="center"/>
      <protection locked="0"/>
    </xf>
    <xf numFmtId="49" fontId="155" fillId="0" borderId="12" xfId="11" applyNumberFormat="1" applyFont="1" applyBorder="1" applyAlignment="1" applyProtection="1">
      <alignment horizontal="left" vertical="center"/>
      <protection locked="0"/>
    </xf>
    <xf numFmtId="0" fontId="155" fillId="0" borderId="12" xfId="11" applyFont="1" applyBorder="1" applyAlignment="1" applyProtection="1">
      <alignment vertical="center"/>
      <protection locked="0"/>
    </xf>
    <xf numFmtId="0" fontId="157" fillId="0" borderId="0" xfId="11" applyFont="1" applyAlignment="1" applyProtection="1">
      <alignment vertical="top"/>
      <protection locked="0"/>
    </xf>
    <xf numFmtId="0" fontId="157" fillId="0" borderId="0" xfId="11" applyFont="1" applyAlignment="1" applyProtection="1">
      <alignment horizontal="left" vertical="top"/>
      <protection locked="0"/>
    </xf>
    <xf numFmtId="0" fontId="157" fillId="0" borderId="0" xfId="11" applyFont="1" applyAlignment="1" applyProtection="1">
      <alignment vertical="top" wrapText="1"/>
      <protection locked="0"/>
    </xf>
    <xf numFmtId="3" fontId="103" fillId="0" borderId="3" xfId="11" applyNumberFormat="1" applyFont="1" applyBorder="1" applyAlignment="1" applyProtection="1">
      <alignment horizontal="left" vertical="top" wrapText="1"/>
      <protection locked="0"/>
    </xf>
    <xf numFmtId="3" fontId="103" fillId="0" borderId="16" xfId="11" applyNumberFormat="1" applyFont="1" applyBorder="1" applyAlignment="1" applyProtection="1">
      <alignment vertical="top" wrapText="1"/>
      <protection locked="0"/>
    </xf>
    <xf numFmtId="49" fontId="103" fillId="0" borderId="3" xfId="11" applyNumberFormat="1" applyFont="1" applyBorder="1" applyAlignment="1" applyProtection="1">
      <alignment horizontal="left" vertical="center"/>
      <protection locked="0"/>
    </xf>
    <xf numFmtId="0" fontId="103" fillId="0" borderId="4" xfId="11" applyFont="1" applyBorder="1" applyAlignment="1" applyProtection="1">
      <alignment horizontal="left" vertical="center" wrapText="1"/>
      <protection locked="0"/>
    </xf>
    <xf numFmtId="3" fontId="103" fillId="0" borderId="11" xfId="11" applyNumberFormat="1" applyFont="1" applyBorder="1" applyAlignment="1" applyProtection="1">
      <alignment horizontal="right" vertical="top"/>
      <protection locked="0"/>
    </xf>
    <xf numFmtId="3" fontId="103" fillId="0" borderId="11" xfId="11" applyNumberFormat="1" applyFont="1" applyBorder="1" applyAlignment="1" applyProtection="1">
      <alignment horizontal="left" vertical="top" wrapText="1"/>
      <protection locked="0"/>
    </xf>
    <xf numFmtId="3" fontId="103" fillId="0" borderId="11" xfId="11" applyNumberFormat="1" applyFont="1" applyBorder="1" applyAlignment="1" applyProtection="1">
      <alignment vertical="top"/>
      <protection locked="0"/>
    </xf>
    <xf numFmtId="3" fontId="103" fillId="0" borderId="17" xfId="11" applyNumberFormat="1" applyFont="1" applyBorder="1" applyAlignment="1" applyProtection="1">
      <alignment vertical="top" wrapText="1"/>
      <protection locked="0"/>
    </xf>
    <xf numFmtId="3" fontId="103" fillId="0" borderId="16" xfId="11" applyNumberFormat="1" applyFont="1" applyBorder="1" applyAlignment="1" applyProtection="1">
      <alignment horizontal="right" vertical="top"/>
      <protection locked="0"/>
    </xf>
    <xf numFmtId="3" fontId="103" fillId="0" borderId="16" xfId="11" applyNumberFormat="1" applyFont="1" applyBorder="1" applyAlignment="1" applyProtection="1">
      <alignment horizontal="left" vertical="top" wrapText="1"/>
      <protection locked="0"/>
    </xf>
    <xf numFmtId="3" fontId="103" fillId="0" borderId="16" xfId="11" applyNumberFormat="1" applyFont="1" applyBorder="1" applyAlignment="1" applyProtection="1">
      <alignment vertical="top"/>
      <protection locked="0"/>
    </xf>
    <xf numFmtId="49" fontId="103" fillId="0" borderId="0" xfId="11" applyNumberFormat="1" applyFont="1" applyAlignment="1" applyProtection="1">
      <alignment vertical="top" textRotation="90"/>
      <protection locked="0"/>
    </xf>
    <xf numFmtId="2" fontId="159" fillId="0" borderId="3" xfId="11" quotePrefix="1" applyNumberFormat="1" applyFont="1" applyBorder="1" applyAlignment="1" applyProtection="1">
      <alignment horizontal="left" vertical="center" wrapText="1"/>
      <protection locked="0"/>
    </xf>
    <xf numFmtId="2" fontId="159" fillId="0" borderId="3" xfId="11" quotePrefix="1" applyNumberFormat="1" applyFont="1" applyBorder="1" applyAlignment="1" applyProtection="1">
      <alignment horizontal="right" vertical="top"/>
      <protection locked="0"/>
    </xf>
    <xf numFmtId="2" fontId="159" fillId="0" borderId="3" xfId="11" quotePrefix="1" applyNumberFormat="1" applyFont="1" applyBorder="1" applyAlignment="1" applyProtection="1">
      <alignment horizontal="left" vertical="top"/>
      <protection locked="0"/>
    </xf>
    <xf numFmtId="3" fontId="159" fillId="0" borderId="3" xfId="11" applyNumberFormat="1" applyFont="1" applyBorder="1" applyAlignment="1" applyProtection="1">
      <alignment vertical="top"/>
      <protection locked="0"/>
    </xf>
    <xf numFmtId="3" fontId="159" fillId="0" borderId="4" xfId="11" applyNumberFormat="1" applyFont="1" applyBorder="1" applyAlignment="1" applyProtection="1">
      <alignment vertical="top" wrapText="1"/>
      <protection locked="0"/>
    </xf>
    <xf numFmtId="2" fontId="159" fillId="0" borderId="11" xfId="11" quotePrefix="1" applyNumberFormat="1" applyFont="1" applyBorder="1" applyAlignment="1" applyProtection="1">
      <alignment horizontal="right" vertical="top"/>
      <protection locked="0"/>
    </xf>
    <xf numFmtId="2" fontId="159" fillId="0" borderId="11" xfId="11" quotePrefix="1" applyNumberFormat="1" applyFont="1" applyBorder="1" applyAlignment="1" applyProtection="1">
      <alignment horizontal="left" vertical="top"/>
      <protection locked="0"/>
    </xf>
    <xf numFmtId="3" fontId="159" fillId="0" borderId="11" xfId="11" applyNumberFormat="1" applyFont="1" applyBorder="1" applyAlignment="1" applyProtection="1">
      <alignment vertical="top"/>
      <protection locked="0"/>
    </xf>
    <xf numFmtId="3" fontId="159" fillId="0" borderId="17" xfId="11" applyNumberFormat="1" applyFont="1" applyBorder="1" applyAlignment="1" applyProtection="1">
      <alignment vertical="top" wrapText="1"/>
      <protection locked="0"/>
    </xf>
    <xf numFmtId="49" fontId="156" fillId="4" borderId="10" xfId="24" applyNumberFormat="1" applyFont="1" applyFill="1" applyBorder="1" applyAlignment="1" applyProtection="1">
      <alignment horizontal="left" vertical="center"/>
      <protection locked="0"/>
    </xf>
    <xf numFmtId="0" fontId="156" fillId="0" borderId="10" xfId="24" applyFont="1" applyBorder="1" applyAlignment="1" applyProtection="1">
      <alignment vertical="center"/>
      <protection locked="0"/>
    </xf>
    <xf numFmtId="3" fontId="155" fillId="0" borderId="12" xfId="11" applyNumberFormat="1" applyFont="1" applyBorder="1" applyAlignment="1" applyProtection="1">
      <alignment vertical="center" wrapText="1"/>
      <protection locked="0"/>
    </xf>
    <xf numFmtId="49" fontId="155" fillId="0" borderId="1" xfId="11" applyNumberFormat="1" applyFont="1" applyBorder="1" applyAlignment="1" applyProtection="1">
      <alignment horizontal="left" vertical="center"/>
      <protection locked="0"/>
    </xf>
    <xf numFmtId="3" fontId="155" fillId="0" borderId="1" xfId="11" applyNumberFormat="1" applyFont="1" applyBorder="1" applyAlignment="1" applyProtection="1">
      <alignment vertical="center" wrapText="1"/>
      <protection locked="0"/>
    </xf>
    <xf numFmtId="3" fontId="103" fillId="0" borderId="1" xfId="11" applyNumberFormat="1" applyFont="1" applyBorder="1" applyAlignment="1" applyProtection="1">
      <alignment horizontal="right" vertical="top"/>
      <protection locked="0"/>
    </xf>
    <xf numFmtId="3" fontId="103" fillId="0" borderId="1" xfId="11" applyNumberFormat="1" applyFont="1" applyBorder="1" applyAlignment="1" applyProtection="1">
      <alignment vertical="top"/>
      <protection locked="0"/>
    </xf>
    <xf numFmtId="0" fontId="156" fillId="7" borderId="10" xfId="24" applyFont="1" applyFill="1" applyBorder="1" applyAlignment="1" applyProtection="1">
      <alignment horizontal="left" vertical="center"/>
      <protection locked="0"/>
    </xf>
    <xf numFmtId="3" fontId="155" fillId="0" borderId="12" xfId="11" applyNumberFormat="1" applyFont="1" applyBorder="1" applyAlignment="1" applyProtection="1">
      <alignment vertical="center"/>
      <protection locked="0"/>
    </xf>
    <xf numFmtId="49" fontId="103" fillId="0" borderId="27" xfId="11" applyNumberFormat="1" applyFont="1" applyBorder="1" applyAlignment="1" applyProtection="1">
      <alignment vertical="top" textRotation="90"/>
      <protection locked="0"/>
    </xf>
    <xf numFmtId="2" fontId="103" fillId="0" borderId="27" xfId="11" applyNumberFormat="1" applyFont="1" applyBorder="1" applyAlignment="1" applyProtection="1">
      <alignment horizontal="left" vertical="center" wrapText="1"/>
      <protection locked="0"/>
    </xf>
    <xf numFmtId="3" fontId="103" fillId="0" borderId="27" xfId="11" applyNumberFormat="1" applyFont="1" applyBorder="1" applyAlignment="1" applyProtection="1">
      <alignment horizontal="right" vertical="top"/>
      <protection locked="0"/>
    </xf>
    <xf numFmtId="3" fontId="103" fillId="0" borderId="27" xfId="11" applyNumberFormat="1" applyFont="1" applyBorder="1" applyAlignment="1" applyProtection="1">
      <alignment horizontal="left" vertical="top" wrapText="1"/>
      <protection locked="0"/>
    </xf>
    <xf numFmtId="3" fontId="103" fillId="0" borderId="27" xfId="11" applyNumberFormat="1" applyFont="1" applyBorder="1" applyAlignment="1" applyProtection="1">
      <alignment vertical="top"/>
      <protection locked="0"/>
    </xf>
    <xf numFmtId="3" fontId="103" fillId="0" borderId="27" xfId="11" applyNumberFormat="1" applyFont="1" applyBorder="1" applyAlignment="1" applyProtection="1">
      <alignment vertical="top" wrapText="1"/>
      <protection locked="0"/>
    </xf>
    <xf numFmtId="0" fontId="156" fillId="8" borderId="17" xfId="24" applyFont="1" applyFill="1" applyBorder="1" applyAlignment="1" applyProtection="1">
      <alignment horizontal="left" vertical="center"/>
      <protection locked="0"/>
    </xf>
    <xf numFmtId="0" fontId="156" fillId="0" borderId="17" xfId="24" applyFont="1" applyBorder="1" applyAlignment="1" applyProtection="1">
      <alignment vertical="center" wrapText="1"/>
      <protection locked="0"/>
    </xf>
    <xf numFmtId="3" fontId="103" fillId="0" borderId="17" xfId="11" applyNumberFormat="1" applyFont="1" applyBorder="1" applyAlignment="1" applyProtection="1">
      <alignment horizontal="right" vertical="top"/>
      <protection locked="0"/>
    </xf>
    <xf numFmtId="3" fontId="103" fillId="0" borderId="17" xfId="11" applyNumberFormat="1" applyFont="1" applyBorder="1" applyAlignment="1" applyProtection="1">
      <alignment horizontal="left" vertical="top" wrapText="1"/>
      <protection locked="0"/>
    </xf>
    <xf numFmtId="3" fontId="103" fillId="0" borderId="17" xfId="11" applyNumberFormat="1" applyFont="1" applyBorder="1" applyAlignment="1" applyProtection="1">
      <alignment horizontal="right" vertical="top" wrapText="1"/>
      <protection locked="0"/>
    </xf>
    <xf numFmtId="0" fontId="155" fillId="0" borderId="12" xfId="11" applyFont="1" applyBorder="1" applyAlignment="1" applyProtection="1">
      <alignment horizontal="left" vertical="center" wrapText="1"/>
      <protection locked="0"/>
    </xf>
    <xf numFmtId="49" fontId="155" fillId="0" borderId="27" xfId="11" applyNumberFormat="1" applyFont="1" applyBorder="1" applyAlignment="1" applyProtection="1">
      <alignment horizontal="left" vertical="center"/>
      <protection locked="0"/>
    </xf>
    <xf numFmtId="0" fontId="155" fillId="0" borderId="27" xfId="11" applyFont="1" applyBorder="1" applyAlignment="1" applyProtection="1">
      <alignment horizontal="left" vertical="center" wrapText="1"/>
      <protection locked="0"/>
    </xf>
    <xf numFmtId="0" fontId="156" fillId="9" borderId="17" xfId="24" applyFont="1" applyFill="1" applyBorder="1" applyAlignment="1" applyProtection="1">
      <alignment horizontal="left" vertical="center"/>
      <protection locked="0"/>
    </xf>
    <xf numFmtId="0" fontId="156" fillId="0" borderId="17" xfId="24" applyFont="1" applyBorder="1" applyAlignment="1" applyProtection="1">
      <alignment vertical="center"/>
      <protection locked="0"/>
    </xf>
    <xf numFmtId="3" fontId="103" fillId="0" borderId="17" xfId="11" applyNumberFormat="1" applyFont="1" applyBorder="1" applyAlignment="1" applyProtection="1">
      <alignment vertical="top"/>
      <protection locked="0"/>
    </xf>
    <xf numFmtId="49" fontId="155" fillId="0" borderId="17" xfId="11" applyNumberFormat="1" applyFont="1" applyBorder="1" applyAlignment="1" applyProtection="1">
      <alignment horizontal="left" vertical="center"/>
      <protection locked="0"/>
    </xf>
    <xf numFmtId="0" fontId="155" fillId="0" borderId="17" xfId="11" applyFont="1" applyBorder="1" applyAlignment="1" applyProtection="1">
      <alignment horizontal="left" vertical="center" wrapText="1"/>
      <protection locked="0"/>
    </xf>
    <xf numFmtId="0" fontId="84" fillId="0" borderId="0" xfId="11" applyFont="1" applyAlignment="1" applyProtection="1">
      <alignment horizontal="left" vertical="top"/>
      <protection locked="0"/>
    </xf>
    <xf numFmtId="0" fontId="84" fillId="0" borderId="0" xfId="11" applyFont="1" applyAlignment="1" applyProtection="1">
      <alignment vertical="top" wrapText="1"/>
      <protection locked="0"/>
    </xf>
    <xf numFmtId="3" fontId="84" fillId="0" borderId="1" xfId="24" applyNumberFormat="1" applyFont="1" applyBorder="1" applyProtection="1">
      <protection locked="0"/>
    </xf>
    <xf numFmtId="3" fontId="84" fillId="0" borderId="1" xfId="24" applyNumberFormat="1" applyFont="1" applyBorder="1" applyAlignment="1" applyProtection="1">
      <alignment wrapText="1"/>
      <protection locked="0"/>
    </xf>
    <xf numFmtId="0" fontId="15" fillId="0" borderId="0" xfId="11" applyFont="1" applyAlignment="1" applyProtection="1">
      <alignment vertical="top"/>
      <protection locked="0"/>
    </xf>
    <xf numFmtId="0" fontId="84" fillId="0" borderId="2" xfId="11" applyFont="1" applyBorder="1" applyAlignment="1" applyProtection="1">
      <alignment horizontal="left" vertical="top"/>
      <protection locked="0"/>
    </xf>
    <xf numFmtId="0" fontId="84" fillId="0" borderId="2" xfId="11" applyFont="1" applyBorder="1" applyAlignment="1" applyProtection="1">
      <alignment vertical="top" wrapText="1"/>
      <protection locked="0"/>
    </xf>
    <xf numFmtId="170" fontId="160" fillId="0" borderId="2" xfId="6" applyNumberFormat="1" applyFont="1" applyFill="1" applyBorder="1" applyAlignment="1" applyProtection="1">
      <alignment horizontal="right" vertical="top"/>
      <protection locked="0"/>
    </xf>
    <xf numFmtId="170" fontId="160" fillId="0" borderId="2" xfId="6" applyNumberFormat="1" applyFont="1" applyFill="1" applyBorder="1" applyAlignment="1" applyProtection="1">
      <alignment horizontal="right" vertical="top" wrapText="1"/>
      <protection locked="0"/>
    </xf>
    <xf numFmtId="9" fontId="160" fillId="0" borderId="2" xfId="1" applyFont="1" applyFill="1" applyBorder="1" applyAlignment="1" applyProtection="1">
      <alignment horizontal="right" vertical="top"/>
      <protection locked="0"/>
    </xf>
    <xf numFmtId="0" fontId="85" fillId="0" borderId="0" xfId="11" applyFont="1" applyAlignment="1" applyProtection="1">
      <alignment horizontal="left" vertical="top"/>
      <protection locked="0"/>
    </xf>
    <xf numFmtId="0" fontId="85" fillId="0" borderId="0" xfId="11" applyFont="1" applyAlignment="1" applyProtection="1">
      <alignment vertical="top" wrapText="1"/>
      <protection locked="0"/>
    </xf>
    <xf numFmtId="10" fontId="85" fillId="0" borderId="0" xfId="1" applyNumberFormat="1" applyFont="1" applyFill="1" applyAlignment="1" applyProtection="1">
      <alignment vertical="top"/>
      <protection locked="0"/>
    </xf>
    <xf numFmtId="10" fontId="85" fillId="0" borderId="0" xfId="1" applyNumberFormat="1" applyFont="1" applyFill="1" applyAlignment="1" applyProtection="1">
      <alignment vertical="top" wrapText="1"/>
      <protection locked="0"/>
    </xf>
    <xf numFmtId="0" fontId="19" fillId="0" borderId="0" xfId="11" applyFont="1" applyAlignment="1" applyProtection="1">
      <alignment horizontal="left" vertical="top"/>
      <protection locked="0"/>
    </xf>
    <xf numFmtId="0" fontId="19" fillId="0" borderId="0" xfId="11" applyFont="1" applyAlignment="1" applyProtection="1">
      <alignment vertical="top" wrapText="1"/>
      <protection locked="0"/>
    </xf>
    <xf numFmtId="10" fontId="19" fillId="0" borderId="0" xfId="1" applyNumberFormat="1" applyFont="1" applyFill="1" applyAlignment="1" applyProtection="1">
      <alignment vertical="top"/>
      <protection locked="0"/>
    </xf>
    <xf numFmtId="10" fontId="19" fillId="0" borderId="0" xfId="1" applyNumberFormat="1" applyFont="1" applyFill="1" applyAlignment="1" applyProtection="1">
      <alignment vertical="top" wrapText="1"/>
      <protection locked="0"/>
    </xf>
    <xf numFmtId="0" fontId="19" fillId="0" borderId="0" xfId="11" applyFont="1" applyAlignment="1" applyProtection="1">
      <alignment vertical="top"/>
      <protection locked="0"/>
    </xf>
    <xf numFmtId="0" fontId="15" fillId="0" borderId="0" xfId="11" applyFont="1" applyAlignment="1" applyProtection="1">
      <alignment horizontal="left"/>
      <protection locked="0"/>
    </xf>
    <xf numFmtId="0" fontId="15" fillId="0" borderId="0" xfId="11" applyFont="1" applyAlignment="1" applyProtection="1">
      <alignment wrapText="1"/>
      <protection locked="0"/>
    </xf>
    <xf numFmtId="9" fontId="15" fillId="0" borderId="0" xfId="1" applyFont="1" applyProtection="1">
      <protection locked="0"/>
    </xf>
    <xf numFmtId="9" fontId="15" fillId="0" borderId="0" xfId="1" applyFont="1" applyAlignment="1" applyProtection="1">
      <alignment wrapText="1"/>
      <protection locked="0"/>
    </xf>
    <xf numFmtId="9" fontId="15" fillId="0" borderId="0" xfId="11" applyNumberFormat="1" applyFont="1" applyProtection="1">
      <protection locked="0"/>
    </xf>
    <xf numFmtId="0" fontId="84" fillId="0" borderId="0" xfId="24" applyFont="1" applyAlignment="1" applyProtection="1">
      <alignment wrapText="1"/>
      <protection locked="0"/>
    </xf>
    <xf numFmtId="0" fontId="162" fillId="0" borderId="0" xfId="25" applyFont="1" applyAlignment="1" applyProtection="1">
      <alignment horizontal="left" wrapText="1"/>
      <protection locked="0"/>
    </xf>
    <xf numFmtId="3" fontId="155" fillId="0" borderId="12" xfId="11" applyNumberFormat="1" applyFont="1" applyBorder="1" applyAlignment="1" applyProtection="1">
      <alignment horizontal="center" vertical="center"/>
      <protection locked="0"/>
    </xf>
    <xf numFmtId="9" fontId="155" fillId="0" borderId="12" xfId="1" applyFont="1" applyBorder="1" applyAlignment="1" applyProtection="1">
      <alignment vertical="center" wrapText="1"/>
      <protection locked="0"/>
    </xf>
    <xf numFmtId="49" fontId="84" fillId="0" borderId="0" xfId="11" applyNumberFormat="1" applyFont="1" applyAlignment="1" applyProtection="1">
      <alignment horizontal="left" vertical="center"/>
      <protection locked="0"/>
    </xf>
    <xf numFmtId="3" fontId="103" fillId="0" borderId="3" xfId="11" applyNumberFormat="1" applyFont="1" applyBorder="1" applyAlignment="1" applyProtection="1">
      <alignment horizontal="right" vertical="center"/>
      <protection locked="0"/>
    </xf>
    <xf numFmtId="3" fontId="103" fillId="0" borderId="3" xfId="11" applyNumberFormat="1" applyFont="1" applyBorder="1" applyAlignment="1" applyProtection="1">
      <alignment vertical="center" wrapText="1"/>
      <protection locked="0"/>
    </xf>
    <xf numFmtId="3" fontId="103" fillId="0" borderId="3" xfId="11" applyNumberFormat="1" applyFont="1" applyBorder="1" applyAlignment="1" applyProtection="1">
      <alignment vertical="center"/>
      <protection locked="0"/>
    </xf>
    <xf numFmtId="0" fontId="103" fillId="0" borderId="8" xfId="11" applyFont="1" applyBorder="1" applyAlignment="1" applyProtection="1">
      <alignment horizontal="left" vertical="center" wrapText="1"/>
      <protection locked="0"/>
    </xf>
    <xf numFmtId="3" fontId="103" fillId="0" borderId="8" xfId="11" applyNumberFormat="1" applyFont="1" applyBorder="1" applyAlignment="1" applyProtection="1">
      <alignment horizontal="right" vertical="center"/>
      <protection locked="0"/>
    </xf>
    <xf numFmtId="3" fontId="103" fillId="0" borderId="8" xfId="11" applyNumberFormat="1" applyFont="1" applyBorder="1" applyAlignment="1" applyProtection="1">
      <alignment vertical="center" wrapText="1"/>
      <protection locked="0"/>
    </xf>
    <xf numFmtId="3" fontId="103" fillId="0" borderId="8" xfId="11" applyNumberFormat="1" applyFont="1" applyBorder="1" applyAlignment="1" applyProtection="1">
      <alignment vertical="center"/>
      <protection locked="0"/>
    </xf>
    <xf numFmtId="3" fontId="155" fillId="0" borderId="12" xfId="11" applyNumberFormat="1" applyFont="1" applyBorder="1" applyAlignment="1" applyProtection="1">
      <alignment horizontal="right" vertical="center"/>
      <protection locked="0"/>
    </xf>
    <xf numFmtId="49" fontId="156" fillId="3" borderId="13" xfId="24" applyNumberFormat="1" applyFont="1" applyFill="1" applyBorder="1" applyAlignment="1" applyProtection="1">
      <alignment horizontal="left" vertical="center"/>
      <protection locked="0"/>
    </xf>
    <xf numFmtId="0" fontId="156" fillId="0" borderId="13" xfId="24" applyFont="1" applyBorder="1" applyAlignment="1" applyProtection="1">
      <alignment vertical="center" wrapText="1"/>
      <protection locked="0"/>
    </xf>
    <xf numFmtId="0" fontId="156" fillId="6" borderId="13" xfId="24" applyFont="1" applyFill="1" applyBorder="1" applyAlignment="1" applyProtection="1">
      <alignment horizontal="left" vertical="center"/>
      <protection locked="0"/>
    </xf>
    <xf numFmtId="3" fontId="154" fillId="0" borderId="13" xfId="11" applyNumberFormat="1" applyFont="1" applyBorder="1" applyAlignment="1" applyProtection="1">
      <alignment vertical="center" wrapText="1"/>
      <protection locked="0"/>
    </xf>
    <xf numFmtId="3" fontId="154" fillId="0" borderId="13" xfId="11" applyNumberFormat="1" applyFont="1" applyBorder="1" applyAlignment="1" applyProtection="1">
      <alignment vertical="center"/>
      <protection locked="0"/>
    </xf>
    <xf numFmtId="0" fontId="157" fillId="0" borderId="13" xfId="11" applyFont="1" applyBorder="1" applyAlignment="1" applyProtection="1">
      <alignment vertical="center"/>
      <protection locked="0"/>
    </xf>
    <xf numFmtId="0" fontId="155" fillId="0" borderId="12" xfId="11" applyFont="1" applyBorder="1" applyAlignment="1" applyProtection="1">
      <alignment vertical="center" wrapText="1"/>
      <protection locked="0"/>
    </xf>
    <xf numFmtId="49" fontId="103" fillId="0" borderId="0" xfId="11" applyNumberFormat="1" applyFont="1" applyAlignment="1" applyProtection="1">
      <alignment horizontal="left" vertical="center"/>
      <protection locked="0"/>
    </xf>
    <xf numFmtId="0" fontId="103" fillId="0" borderId="0" xfId="11" applyFont="1" applyAlignment="1" applyProtection="1">
      <alignment horizontal="left" vertical="center" wrapText="1"/>
      <protection locked="0"/>
    </xf>
    <xf numFmtId="3" fontId="103" fillId="0" borderId="4" xfId="11" applyNumberFormat="1" applyFont="1" applyBorder="1" applyAlignment="1" applyProtection="1">
      <alignment horizontal="right" vertical="center"/>
      <protection locked="0"/>
    </xf>
    <xf numFmtId="3" fontId="103" fillId="0" borderId="0" xfId="11" applyNumberFormat="1" applyFont="1" applyAlignment="1" applyProtection="1">
      <alignment vertical="center" wrapText="1"/>
      <protection locked="0"/>
    </xf>
    <xf numFmtId="3" fontId="103" fillId="0" borderId="4" xfId="11" applyNumberFormat="1" applyFont="1" applyBorder="1" applyAlignment="1" applyProtection="1">
      <alignment vertical="center"/>
      <protection locked="0"/>
    </xf>
    <xf numFmtId="3" fontId="103" fillId="0" borderId="16" xfId="11" applyNumberFormat="1" applyFont="1" applyBorder="1" applyAlignment="1" applyProtection="1">
      <alignment vertical="center" wrapText="1"/>
      <protection locked="0"/>
    </xf>
    <xf numFmtId="49" fontId="156" fillId="4" borderId="13" xfId="24" applyNumberFormat="1" applyFont="1" applyFill="1" applyBorder="1" applyAlignment="1" applyProtection="1">
      <alignment horizontal="left" vertical="center"/>
      <protection locked="0"/>
    </xf>
    <xf numFmtId="0" fontId="156" fillId="7" borderId="13" xfId="24" applyFont="1" applyFill="1" applyBorder="1" applyAlignment="1" applyProtection="1">
      <alignment horizontal="left" vertical="center"/>
      <protection locked="0"/>
    </xf>
    <xf numFmtId="3" fontId="103" fillId="0" borderId="16" xfId="11" applyNumberFormat="1" applyFont="1" applyBorder="1" applyAlignment="1" applyProtection="1">
      <alignment horizontal="right" vertical="center"/>
      <protection locked="0"/>
    </xf>
    <xf numFmtId="3" fontId="103" fillId="0" borderId="16" xfId="11" applyNumberFormat="1" applyFont="1" applyBorder="1" applyAlignment="1" applyProtection="1">
      <alignment vertical="center"/>
      <protection locked="0"/>
    </xf>
    <xf numFmtId="3" fontId="103" fillId="0" borderId="4" xfId="11" applyNumberFormat="1" applyFont="1" applyBorder="1" applyAlignment="1" applyProtection="1">
      <alignment vertical="top" wrapText="1"/>
      <protection locked="0"/>
    </xf>
    <xf numFmtId="3" fontId="103" fillId="0" borderId="0" xfId="11" applyNumberFormat="1" applyFont="1" applyAlignment="1" applyProtection="1">
      <alignment vertical="center"/>
      <protection locked="0"/>
    </xf>
    <xf numFmtId="0" fontId="103" fillId="0" borderId="12" xfId="11" applyFont="1" applyBorder="1" applyAlignment="1" applyProtection="1">
      <alignment vertical="center"/>
      <protection locked="0"/>
    </xf>
    <xf numFmtId="0" fontId="103" fillId="0" borderId="16" xfId="11" applyFont="1" applyBorder="1" applyAlignment="1" applyProtection="1">
      <alignment horizontal="left" vertical="center" wrapText="1"/>
      <protection locked="0"/>
    </xf>
    <xf numFmtId="0" fontId="156" fillId="8" borderId="13" xfId="24" applyFont="1" applyFill="1" applyBorder="1" applyAlignment="1" applyProtection="1">
      <alignment horizontal="left" vertical="center"/>
      <protection locked="0"/>
    </xf>
    <xf numFmtId="0" fontId="156" fillId="9" borderId="13" xfId="24" applyFont="1" applyFill="1" applyBorder="1" applyAlignment="1" applyProtection="1">
      <alignment horizontal="left" vertical="center"/>
      <protection locked="0"/>
    </xf>
    <xf numFmtId="0" fontId="156" fillId="0" borderId="13" xfId="24" applyFont="1" applyBorder="1" applyAlignment="1" applyProtection="1">
      <alignment vertical="center"/>
      <protection locked="0"/>
    </xf>
    <xf numFmtId="0" fontId="161" fillId="0" borderId="13" xfId="11" applyFont="1" applyBorder="1" applyAlignment="1" applyProtection="1">
      <alignment vertical="center"/>
      <protection locked="0"/>
    </xf>
    <xf numFmtId="49" fontId="84" fillId="0" borderId="1" xfId="11" applyNumberFormat="1" applyFont="1" applyBorder="1" applyAlignment="1" applyProtection="1">
      <alignment horizontal="left" vertical="center"/>
      <protection locked="0"/>
    </xf>
    <xf numFmtId="0" fontId="103" fillId="0" borderId="6" xfId="11" applyFont="1" applyBorder="1" applyAlignment="1" applyProtection="1">
      <alignment horizontal="left" vertical="center" wrapText="1"/>
      <protection locked="0"/>
    </xf>
    <xf numFmtId="3" fontId="103" fillId="0" borderId="6" xfId="11" applyNumberFormat="1" applyFont="1" applyBorder="1" applyAlignment="1" applyProtection="1">
      <alignment horizontal="right" vertical="center"/>
      <protection locked="0"/>
    </xf>
    <xf numFmtId="3" fontId="103" fillId="0" borderId="6" xfId="11" applyNumberFormat="1" applyFont="1" applyBorder="1" applyAlignment="1" applyProtection="1">
      <alignment vertical="center" wrapText="1"/>
      <protection locked="0"/>
    </xf>
    <xf numFmtId="3" fontId="103" fillId="0" borderId="6" xfId="11" applyNumberFormat="1" applyFont="1" applyBorder="1" applyAlignment="1" applyProtection="1">
      <alignment vertical="center"/>
      <protection locked="0"/>
    </xf>
    <xf numFmtId="3" fontId="84" fillId="0" borderId="13" xfId="24" applyNumberFormat="1" applyFont="1" applyBorder="1" applyProtection="1">
      <protection locked="0"/>
    </xf>
    <xf numFmtId="3" fontId="84" fillId="0" borderId="13" xfId="24" applyNumberFormat="1" applyFont="1" applyBorder="1" applyAlignment="1" applyProtection="1">
      <alignment wrapText="1"/>
      <protection locked="0"/>
    </xf>
    <xf numFmtId="10" fontId="84" fillId="0" borderId="0" xfId="1" applyNumberFormat="1" applyFont="1" applyFill="1" applyAlignment="1" applyProtection="1">
      <alignment vertical="top"/>
      <protection locked="0"/>
    </xf>
    <xf numFmtId="10" fontId="84" fillId="0" borderId="0" xfId="1" applyNumberFormat="1" applyFont="1" applyFill="1" applyAlignment="1" applyProtection="1">
      <alignment vertical="top" wrapText="1"/>
      <protection locked="0"/>
    </xf>
    <xf numFmtId="0" fontId="34" fillId="0" borderId="0" xfId="0" applyFont="1" applyAlignment="1" applyProtection="1">
      <alignment vertical="center"/>
      <protection locked="0"/>
    </xf>
    <xf numFmtId="0" fontId="38" fillId="10" borderId="7" xfId="3" applyFont="1" applyFill="1" applyBorder="1" applyProtection="1">
      <protection locked="0"/>
    </xf>
    <xf numFmtId="0" fontId="38" fillId="10" borderId="4" xfId="3" applyFont="1" applyFill="1" applyBorder="1" applyProtection="1">
      <protection locked="0"/>
    </xf>
    <xf numFmtId="0" fontId="38" fillId="10" borderId="8" xfId="3" applyFont="1" applyFill="1" applyBorder="1" applyProtection="1">
      <protection locked="0"/>
    </xf>
    <xf numFmtId="0" fontId="38" fillId="10" borderId="6" xfId="3" applyFont="1" applyFill="1" applyBorder="1" applyProtection="1">
      <protection locked="0"/>
    </xf>
    <xf numFmtId="0" fontId="44" fillId="0" borderId="1" xfId="3" applyFont="1" applyBorder="1" applyAlignment="1" applyProtection="1">
      <alignment horizontal="right" vertical="top" wrapText="1"/>
      <protection locked="0"/>
    </xf>
    <xf numFmtId="3" fontId="38" fillId="0" borderId="7" xfId="3" applyNumberFormat="1" applyFont="1" applyBorder="1" applyProtection="1">
      <protection locked="0"/>
    </xf>
    <xf numFmtId="4" fontId="19" fillId="0" borderId="7" xfId="3" applyNumberFormat="1" applyFont="1" applyBorder="1" applyProtection="1">
      <protection locked="0"/>
    </xf>
    <xf numFmtId="4" fontId="36" fillId="0" borderId="7" xfId="3" applyNumberFormat="1" applyFont="1" applyBorder="1" applyProtection="1">
      <protection locked="0"/>
    </xf>
    <xf numFmtId="0" fontId="38" fillId="0" borderId="4" xfId="3" applyFont="1" applyBorder="1" applyAlignment="1" applyProtection="1">
      <alignment horizontal="left"/>
      <protection locked="0"/>
    </xf>
    <xf numFmtId="3" fontId="38" fillId="0" borderId="4" xfId="3" applyNumberFormat="1" applyFont="1" applyBorder="1" applyProtection="1">
      <protection locked="0"/>
    </xf>
    <xf numFmtId="4" fontId="19" fillId="0" borderId="4" xfId="3" applyNumberFormat="1" applyFont="1" applyBorder="1" applyProtection="1">
      <protection locked="0"/>
    </xf>
    <xf numFmtId="4" fontId="36" fillId="0" borderId="4" xfId="3" applyNumberFormat="1" applyFont="1" applyBorder="1" applyProtection="1">
      <protection locked="0"/>
    </xf>
    <xf numFmtId="0" fontId="38" fillId="0" borderId="6" xfId="3" applyFont="1" applyBorder="1" applyAlignment="1" applyProtection="1">
      <alignment horizontal="left"/>
      <protection locked="0"/>
    </xf>
    <xf numFmtId="4" fontId="38" fillId="0" borderId="6" xfId="3" applyNumberFormat="1" applyFont="1" applyBorder="1" applyProtection="1">
      <protection locked="0"/>
    </xf>
    <xf numFmtId="0" fontId="38" fillId="0" borderId="1" xfId="3" applyFont="1" applyBorder="1" applyAlignment="1" applyProtection="1">
      <alignment horizontal="left"/>
      <protection locked="0"/>
    </xf>
    <xf numFmtId="4" fontId="38" fillId="0" borderId="1" xfId="3" applyNumberFormat="1" applyFont="1" applyBorder="1" applyProtection="1">
      <protection locked="0"/>
    </xf>
    <xf numFmtId="0" fontId="44" fillId="0" borderId="1" xfId="3" applyFont="1" applyBorder="1" applyAlignment="1" applyProtection="1">
      <alignment horizontal="center" vertical="top" wrapText="1"/>
      <protection locked="0"/>
    </xf>
    <xf numFmtId="0" fontId="44" fillId="0" borderId="1" xfId="3" applyFont="1" applyBorder="1" applyAlignment="1" applyProtection="1">
      <alignment horizontal="left" vertical="top" wrapText="1"/>
      <protection locked="0"/>
    </xf>
    <xf numFmtId="166" fontId="38" fillId="10" borderId="7" xfId="3" applyNumberFormat="1" applyFont="1" applyFill="1" applyBorder="1" applyProtection="1">
      <protection locked="0"/>
    </xf>
    <xf numFmtId="166" fontId="38" fillId="10" borderId="3" xfId="3" applyNumberFormat="1" applyFont="1" applyFill="1" applyBorder="1" applyProtection="1">
      <protection locked="0"/>
    </xf>
    <xf numFmtId="0" fontId="44" fillId="0" borderId="13" xfId="3" applyFont="1" applyBorder="1" applyProtection="1">
      <protection locked="0"/>
    </xf>
    <xf numFmtId="166" fontId="38" fillId="0" borderId="3" xfId="3" applyNumberFormat="1" applyFont="1" applyBorder="1" applyProtection="1">
      <protection locked="0"/>
    </xf>
    <xf numFmtId="166" fontId="46" fillId="0" borderId="0" xfId="3" applyNumberFormat="1" applyFont="1" applyProtection="1">
      <protection locked="0"/>
    </xf>
    <xf numFmtId="0" fontId="42" fillId="0" borderId="1" xfId="3" applyFont="1" applyBorder="1" applyAlignment="1" applyProtection="1">
      <alignment horizontal="right" vertical="top" wrapText="1"/>
      <protection locked="0"/>
    </xf>
    <xf numFmtId="3" fontId="38" fillId="10" borderId="4" xfId="3" applyNumberFormat="1" applyFont="1" applyFill="1" applyBorder="1" applyProtection="1">
      <protection locked="0"/>
    </xf>
    <xf numFmtId="3" fontId="38" fillId="10" borderId="7" xfId="3" applyNumberFormat="1" applyFont="1" applyFill="1" applyBorder="1" applyProtection="1">
      <protection locked="0"/>
    </xf>
    <xf numFmtId="4" fontId="38" fillId="0" borderId="7" xfId="3" applyNumberFormat="1" applyFont="1" applyBorder="1" applyProtection="1">
      <protection locked="0"/>
    </xf>
    <xf numFmtId="4" fontId="50" fillId="0" borderId="7" xfId="3" applyNumberFormat="1" applyFont="1" applyBorder="1" applyProtection="1">
      <protection locked="0"/>
    </xf>
    <xf numFmtId="4" fontId="38" fillId="0" borderId="4" xfId="3" applyNumberFormat="1" applyFont="1" applyBorder="1" applyProtection="1">
      <protection locked="0"/>
    </xf>
    <xf numFmtId="4" fontId="50" fillId="0" borderId="4" xfId="3" applyNumberFormat="1" applyFont="1" applyBorder="1" applyProtection="1">
      <protection locked="0"/>
    </xf>
    <xf numFmtId="3" fontId="38" fillId="0" borderId="6" xfId="3" applyNumberFormat="1" applyFont="1" applyBorder="1" applyProtection="1">
      <protection locked="0"/>
    </xf>
    <xf numFmtId="3" fontId="38" fillId="10" borderId="6" xfId="3" applyNumberFormat="1" applyFont="1" applyFill="1" applyBorder="1" applyProtection="1">
      <protection locked="0"/>
    </xf>
    <xf numFmtId="4" fontId="50" fillId="0" borderId="6" xfId="3" applyNumberFormat="1" applyFont="1" applyBorder="1" applyProtection="1">
      <protection locked="0"/>
    </xf>
    <xf numFmtId="0" fontId="50" fillId="0" borderId="13" xfId="3" applyFont="1" applyBorder="1" applyProtection="1">
      <protection locked="0"/>
    </xf>
    <xf numFmtId="3" fontId="50" fillId="0" borderId="0" xfId="3" applyNumberFormat="1" applyFont="1" applyProtection="1">
      <protection locked="0"/>
    </xf>
    <xf numFmtId="4" fontId="50" fillId="0" borderId="0" xfId="3" applyNumberFormat="1" applyFont="1" applyProtection="1">
      <protection locked="0"/>
    </xf>
    <xf numFmtId="4" fontId="38" fillId="0" borderId="0" xfId="3" applyNumberFormat="1" applyFont="1" applyProtection="1">
      <protection locked="0"/>
    </xf>
    <xf numFmtId="3" fontId="44" fillId="0" borderId="2" xfId="3" applyNumberFormat="1" applyFont="1" applyBorder="1" applyProtection="1">
      <protection locked="0"/>
    </xf>
    <xf numFmtId="0" fontId="38" fillId="0" borderId="4" xfId="3" applyFont="1" applyBorder="1" applyAlignment="1" applyProtection="1">
      <alignment wrapText="1"/>
      <protection locked="0"/>
    </xf>
    <xf numFmtId="3" fontId="44" fillId="0" borderId="1" xfId="3" applyNumberFormat="1" applyFont="1" applyBorder="1" applyProtection="1">
      <protection locked="0"/>
    </xf>
    <xf numFmtId="0" fontId="19" fillId="0" borderId="2" xfId="0" applyFont="1" applyBorder="1" applyProtection="1">
      <protection locked="0"/>
    </xf>
    <xf numFmtId="4" fontId="38" fillId="0" borderId="2" xfId="3" applyNumberFormat="1" applyFont="1" applyBorder="1" applyProtection="1">
      <protection locked="0"/>
    </xf>
    <xf numFmtId="3" fontId="38" fillId="0" borderId="2" xfId="3" applyNumberFormat="1" applyFont="1" applyBorder="1" applyProtection="1">
      <protection locked="0"/>
    </xf>
    <xf numFmtId="0" fontId="44" fillId="0" borderId="1" xfId="3" applyFont="1" applyBorder="1" applyProtection="1">
      <protection locked="0"/>
    </xf>
    <xf numFmtId="4" fontId="44" fillId="0" borderId="1" xfId="3" applyNumberFormat="1" applyFont="1" applyBorder="1" applyProtection="1">
      <protection locked="0"/>
    </xf>
    <xf numFmtId="4" fontId="38" fillId="0" borderId="14" xfId="3" applyNumberFormat="1" applyFont="1" applyBorder="1" applyProtection="1">
      <protection locked="0"/>
    </xf>
    <xf numFmtId="3" fontId="38" fillId="0" borderId="14" xfId="3" applyNumberFormat="1" applyFont="1" applyBorder="1" applyProtection="1">
      <protection locked="0"/>
    </xf>
    <xf numFmtId="0" fontId="44" fillId="0" borderId="15" xfId="3" applyFont="1" applyBorder="1" applyProtection="1">
      <protection locked="0"/>
    </xf>
    <xf numFmtId="4" fontId="44" fillId="0" borderId="15" xfId="3" applyNumberFormat="1" applyFont="1" applyBorder="1" applyProtection="1">
      <protection locked="0"/>
    </xf>
    <xf numFmtId="3" fontId="44" fillId="0" borderId="15" xfId="3" applyNumberFormat="1" applyFont="1" applyBorder="1" applyProtection="1">
      <protection locked="0"/>
    </xf>
    <xf numFmtId="4" fontId="44" fillId="0" borderId="1" xfId="3" applyNumberFormat="1" applyFont="1" applyBorder="1" applyAlignment="1" applyProtection="1">
      <alignment horizontal="right"/>
      <protection locked="0"/>
    </xf>
    <xf numFmtId="3" fontId="38" fillId="0" borderId="0" xfId="3" applyNumberFormat="1" applyFont="1" applyProtection="1">
      <protection locked="0"/>
    </xf>
    <xf numFmtId="3" fontId="38" fillId="0" borderId="1" xfId="3" applyNumberFormat="1" applyFont="1" applyBorder="1" applyProtection="1">
      <protection locked="0"/>
    </xf>
    <xf numFmtId="4" fontId="44" fillId="0" borderId="2" xfId="3" applyNumberFormat="1" applyFont="1" applyBorder="1" applyProtection="1">
      <protection locked="0"/>
    </xf>
    <xf numFmtId="4" fontId="54" fillId="0" borderId="2" xfId="3" applyNumberFormat="1" applyFont="1" applyBorder="1" applyProtection="1">
      <protection locked="0"/>
    </xf>
    <xf numFmtId="4" fontId="50" fillId="0" borderId="2" xfId="3" applyNumberFormat="1" applyFont="1" applyBorder="1" applyProtection="1">
      <protection locked="0"/>
    </xf>
    <xf numFmtId="0" fontId="73" fillId="0" borderId="6" xfId="0" applyFont="1" applyBorder="1" applyAlignment="1">
      <alignment horizontal="left" vertical="center" wrapText="1"/>
    </xf>
    <xf numFmtId="0" fontId="73" fillId="0" borderId="6" xfId="0" applyFont="1" applyBorder="1" applyAlignment="1">
      <alignment vertical="center"/>
    </xf>
    <xf numFmtId="0" fontId="19" fillId="0" borderId="6" xfId="0" applyFont="1" applyBorder="1" applyAlignment="1">
      <alignment horizontal="left" vertical="center"/>
    </xf>
    <xf numFmtId="0" fontId="197" fillId="13" borderId="0" xfId="11" applyFont="1" applyFill="1" applyAlignment="1" applyProtection="1">
      <alignment wrapText="1"/>
      <protection locked="0"/>
    </xf>
    <xf numFmtId="0" fontId="197" fillId="13" borderId="4" xfId="0" applyFont="1" applyFill="1" applyBorder="1" applyAlignment="1" applyProtection="1">
      <alignment vertical="center" wrapText="1"/>
      <protection locked="0"/>
    </xf>
    <xf numFmtId="0" fontId="197" fillId="13" borderId="6" xfId="0" applyFont="1" applyFill="1" applyBorder="1" applyAlignment="1" applyProtection="1">
      <alignment vertical="center" wrapText="1"/>
      <protection locked="0"/>
    </xf>
    <xf numFmtId="0" fontId="44" fillId="0" borderId="7" xfId="3" applyFont="1" applyBorder="1" applyProtection="1">
      <protection locked="0"/>
    </xf>
    <xf numFmtId="166" fontId="44" fillId="0" borderId="7" xfId="3" applyNumberFormat="1" applyFont="1" applyBorder="1" applyProtection="1">
      <protection locked="0"/>
    </xf>
    <xf numFmtId="2" fontId="58" fillId="13" borderId="2" xfId="0" applyNumberFormat="1" applyFont="1" applyFill="1" applyBorder="1" applyAlignment="1" applyProtection="1">
      <alignment vertical="center"/>
      <protection locked="0"/>
    </xf>
    <xf numFmtId="49" fontId="33" fillId="0" borderId="0" xfId="21" applyNumberFormat="1" applyBorder="1"/>
    <xf numFmtId="0" fontId="43" fillId="0" borderId="0" xfId="0" applyFont="1" applyAlignment="1" applyProtection="1">
      <alignment vertical="center"/>
      <protection locked="0"/>
    </xf>
    <xf numFmtId="0" fontId="19" fillId="0" borderId="8" xfId="0" applyFont="1" applyBorder="1" applyAlignment="1">
      <alignment vertical="center"/>
    </xf>
    <xf numFmtId="9" fontId="103" fillId="0" borderId="3" xfId="1" applyFont="1" applyBorder="1" applyAlignment="1" applyProtection="1">
      <alignment vertical="center" wrapText="1"/>
      <protection locked="0"/>
    </xf>
    <xf numFmtId="9" fontId="154" fillId="0" borderId="13" xfId="1" applyFont="1" applyBorder="1" applyAlignment="1" applyProtection="1">
      <alignment horizontal="right" vertical="center" wrapText="1"/>
      <protection locked="0"/>
    </xf>
    <xf numFmtId="9" fontId="154" fillId="0" borderId="13" xfId="1" applyFont="1" applyBorder="1" applyAlignment="1" applyProtection="1">
      <alignment vertical="center" wrapText="1"/>
      <protection locked="0"/>
    </xf>
    <xf numFmtId="9" fontId="103" fillId="0" borderId="16" xfId="1" applyFont="1" applyBorder="1" applyAlignment="1" applyProtection="1">
      <alignment vertical="center" wrapText="1"/>
      <protection locked="0"/>
    </xf>
    <xf numFmtId="168" fontId="154" fillId="0" borderId="13" xfId="1" applyNumberFormat="1" applyFont="1" applyBorder="1" applyAlignment="1" applyProtection="1">
      <alignment horizontal="right" vertical="center" wrapText="1"/>
      <protection locked="0"/>
    </xf>
    <xf numFmtId="168" fontId="103" fillId="0" borderId="12" xfId="1" applyNumberFormat="1" applyFont="1" applyBorder="1" applyAlignment="1" applyProtection="1">
      <alignment horizontal="right" vertical="top" wrapText="1"/>
      <protection locked="0"/>
    </xf>
    <xf numFmtId="168" fontId="103" fillId="0" borderId="10" xfId="1" applyNumberFormat="1" applyFont="1" applyBorder="1" applyAlignment="1" applyProtection="1">
      <alignment horizontal="right" vertical="top" wrapText="1"/>
      <protection locked="0"/>
    </xf>
    <xf numFmtId="168" fontId="103" fillId="0" borderId="0" xfId="1" applyNumberFormat="1" applyFont="1" applyAlignment="1" applyProtection="1">
      <alignment horizontal="right" vertical="top"/>
      <protection locked="0"/>
    </xf>
    <xf numFmtId="168" fontId="103" fillId="0" borderId="16" xfId="1" applyNumberFormat="1" applyFont="1" applyBorder="1" applyAlignment="1" applyProtection="1">
      <alignment horizontal="right" vertical="top" wrapText="1"/>
      <protection locked="0"/>
    </xf>
    <xf numFmtId="168" fontId="103" fillId="0" borderId="17" xfId="1" applyNumberFormat="1" applyFont="1" applyBorder="1" applyAlignment="1" applyProtection="1">
      <alignment horizontal="right" vertical="top" wrapText="1"/>
      <protection locked="0"/>
    </xf>
    <xf numFmtId="168" fontId="159" fillId="0" borderId="3" xfId="1" quotePrefix="1" applyNumberFormat="1" applyFont="1" applyBorder="1" applyAlignment="1" applyProtection="1">
      <alignment horizontal="right" vertical="top"/>
      <protection locked="0"/>
    </xf>
    <xf numFmtId="168" fontId="159" fillId="0" borderId="11" xfId="1" quotePrefix="1" applyNumberFormat="1" applyFont="1" applyBorder="1" applyAlignment="1" applyProtection="1">
      <alignment horizontal="right" vertical="top"/>
      <protection locked="0"/>
    </xf>
    <xf numFmtId="168" fontId="103" fillId="0" borderId="27" xfId="1" applyNumberFormat="1" applyFont="1" applyBorder="1" applyAlignment="1" applyProtection="1">
      <alignment horizontal="right" vertical="top" wrapText="1"/>
      <protection locked="0"/>
    </xf>
    <xf numFmtId="168" fontId="84" fillId="0" borderId="1" xfId="1" applyNumberFormat="1" applyFont="1" applyBorder="1" applyAlignment="1" applyProtection="1">
      <alignment horizontal="right" wrapText="1"/>
      <protection locked="0"/>
    </xf>
    <xf numFmtId="3" fontId="114" fillId="0" borderId="2" xfId="0" applyNumberFormat="1" applyFont="1" applyBorder="1" applyAlignment="1">
      <alignment vertical="center" wrapText="1"/>
    </xf>
    <xf numFmtId="0" fontId="198" fillId="0" borderId="0" xfId="25" applyAlignment="1">
      <alignment vertical="center"/>
    </xf>
    <xf numFmtId="0" fontId="198" fillId="0" borderId="0" xfId="25" applyAlignment="1">
      <alignment horizontal="left"/>
    </xf>
    <xf numFmtId="0" fontId="198" fillId="0" borderId="0" xfId="25" applyAlignment="1"/>
    <xf numFmtId="10" fontId="36" fillId="0" borderId="0" xfId="1" applyNumberFormat="1" applyFont="1"/>
    <xf numFmtId="3" fontId="81" fillId="0" borderId="4" xfId="0" applyNumberFormat="1" applyFont="1" applyBorder="1" applyAlignment="1">
      <alignment vertical="center" wrapText="1"/>
    </xf>
    <xf numFmtId="3" fontId="26" fillId="0" borderId="4" xfId="0" applyNumberFormat="1" applyFont="1" applyBorder="1" applyAlignment="1">
      <alignment vertical="center" wrapText="1"/>
    </xf>
    <xf numFmtId="10" fontId="15" fillId="0" borderId="0" xfId="1" applyNumberFormat="1" applyFont="1" applyAlignment="1">
      <alignment vertical="top"/>
    </xf>
    <xf numFmtId="0" fontId="177" fillId="0" borderId="8" xfId="11" applyFont="1" applyBorder="1" applyAlignment="1">
      <alignment horizontal="left" vertical="center"/>
    </xf>
    <xf numFmtId="0" fontId="177" fillId="0" borderId="0" xfId="11" applyFont="1" applyAlignment="1">
      <alignment horizontal="left" vertical="center"/>
    </xf>
    <xf numFmtId="168" fontId="177" fillId="0" borderId="0" xfId="1" applyNumberFormat="1" applyFont="1" applyFill="1" applyBorder="1" applyAlignment="1" applyProtection="1">
      <alignment vertical="center"/>
    </xf>
    <xf numFmtId="3" fontId="177" fillId="0" borderId="0" xfId="0" applyNumberFormat="1" applyFont="1" applyAlignment="1">
      <alignment vertical="center"/>
    </xf>
    <xf numFmtId="3" fontId="178" fillId="0" borderId="0" xfId="11" applyNumberFormat="1" applyFont="1" applyAlignment="1" applyProtection="1">
      <alignment vertical="center"/>
      <protection locked="0"/>
    </xf>
    <xf numFmtId="172" fontId="179" fillId="0" borderId="8" xfId="11" applyNumberFormat="1" applyFont="1" applyBorder="1" applyAlignment="1">
      <alignment vertical="center"/>
    </xf>
    <xf numFmtId="0" fontId="36" fillId="0" borderId="1" xfId="0" applyFont="1" applyBorder="1"/>
    <xf numFmtId="0" fontId="123" fillId="0" borderId="1" xfId="0" applyFont="1" applyBorder="1" applyAlignment="1">
      <alignment vertical="center"/>
    </xf>
    <xf numFmtId="0" fontId="102" fillId="0" borderId="1" xfId="9" applyNumberFormat="1" applyFont="1" applyBorder="1" applyAlignment="1">
      <alignment horizontal="left" vertical="center" indent="2"/>
    </xf>
    <xf numFmtId="167" fontId="19" fillId="0" borderId="7" xfId="17" applyFont="1" applyBorder="1">
      <alignment vertical="center"/>
    </xf>
    <xf numFmtId="0" fontId="54" fillId="0" borderId="7" xfId="0" applyFont="1" applyBorder="1" applyAlignment="1">
      <alignment vertical="center"/>
    </xf>
    <xf numFmtId="3" fontId="62" fillId="0" borderId="4" xfId="2" applyNumberFormat="1" applyFont="1" applyBorder="1" applyAlignment="1"/>
    <xf numFmtId="167" fontId="19" fillId="0" borderId="6" xfId="17" applyFont="1" applyBorder="1" applyAlignment="1">
      <alignment horizontal="left" vertical="center"/>
    </xf>
    <xf numFmtId="3" fontId="36" fillId="0" borderId="4" xfId="0" applyNumberFormat="1" applyFont="1" applyBorder="1"/>
    <xf numFmtId="3" fontId="26" fillId="0" borderId="0" xfId="0" applyNumberFormat="1" applyFont="1"/>
    <xf numFmtId="3" fontId="0" fillId="0" borderId="0" xfId="0" applyNumberFormat="1"/>
    <xf numFmtId="0" fontId="200" fillId="0" borderId="1" xfId="0" applyFont="1" applyBorder="1"/>
    <xf numFmtId="0" fontId="200" fillId="0" borderId="7" xfId="0" applyFont="1" applyBorder="1"/>
    <xf numFmtId="2" fontId="200" fillId="0" borderId="4" xfId="0" applyNumberFormat="1" applyFont="1" applyBorder="1"/>
    <xf numFmtId="0" fontId="26" fillId="0" borderId="30" xfId="0" applyFont="1" applyBorder="1" applyAlignment="1">
      <alignment vertical="center" wrapText="1"/>
    </xf>
    <xf numFmtId="0" fontId="26" fillId="0" borderId="30" xfId="0" applyFont="1" applyBorder="1" applyAlignment="1">
      <alignment horizontal="center" vertical="center" wrapText="1"/>
    </xf>
    <xf numFmtId="0" fontId="65" fillId="0" borderId="30" xfId="0" applyFont="1" applyBorder="1" applyAlignment="1">
      <alignment horizontal="center" vertical="center" wrapText="1"/>
    </xf>
    <xf numFmtId="0" fontId="26" fillId="0" borderId="30" xfId="0" applyFont="1" applyBorder="1" applyAlignment="1">
      <alignment horizontal="right" vertical="center" wrapText="1"/>
    </xf>
    <xf numFmtId="2" fontId="200" fillId="0" borderId="6" xfId="0" applyNumberFormat="1" applyFont="1" applyBorder="1"/>
    <xf numFmtId="0" fontId="200" fillId="0" borderId="7" xfId="0" applyFont="1" applyBorder="1" applyAlignment="1">
      <alignment horizontal="right" vertical="center"/>
    </xf>
    <xf numFmtId="0" fontId="200" fillId="0" borderId="4" xfId="0" applyFont="1" applyBorder="1" applyAlignment="1">
      <alignment horizontal="right" vertical="center"/>
    </xf>
    <xf numFmtId="0" fontId="200" fillId="0" borderId="6" xfId="0" applyFont="1" applyBorder="1" applyAlignment="1">
      <alignment horizontal="right" vertical="center"/>
    </xf>
    <xf numFmtId="1" fontId="62" fillId="0" borderId="0" xfId="0" applyNumberFormat="1" applyFont="1"/>
    <xf numFmtId="10" fontId="15" fillId="0" borderId="0" xfId="1" applyNumberFormat="1" applyFont="1" applyAlignment="1">
      <alignment vertical="center"/>
    </xf>
    <xf numFmtId="0" fontId="176" fillId="0" borderId="0" xfId="11" applyFont="1" applyAlignment="1">
      <alignment horizontal="left"/>
    </xf>
    <xf numFmtId="0" fontId="45" fillId="0" borderId="0" xfId="11" applyFont="1" applyAlignment="1">
      <alignment vertical="center"/>
    </xf>
    <xf numFmtId="9" fontId="21" fillId="0" borderId="0" xfId="1" applyFont="1" applyFill="1" applyBorder="1" applyAlignment="1" applyProtection="1">
      <alignment vertical="top"/>
    </xf>
    <xf numFmtId="0" fontId="21" fillId="0" borderId="0" xfId="11" applyFont="1" applyAlignment="1">
      <alignment vertical="top"/>
    </xf>
    <xf numFmtId="175" fontId="123" fillId="0" borderId="6" xfId="0" applyNumberFormat="1" applyFont="1" applyBorder="1" applyAlignment="1">
      <alignment horizontal="right" wrapText="1"/>
    </xf>
    <xf numFmtId="0" fontId="34" fillId="0" borderId="0" xfId="12" applyAlignment="1">
      <alignment horizontal="left"/>
    </xf>
    <xf numFmtId="0" fontId="139" fillId="0" borderId="0" xfId="11" applyFont="1" applyAlignment="1">
      <alignment wrapText="1"/>
    </xf>
    <xf numFmtId="0" fontId="19" fillId="0" borderId="0" xfId="11" applyFont="1" applyAlignment="1">
      <alignment horizontal="left" wrapText="1"/>
    </xf>
    <xf numFmtId="0" fontId="202" fillId="0" borderId="0" xfId="11" applyFont="1" applyAlignment="1">
      <alignment horizontal="left" wrapText="1"/>
    </xf>
    <xf numFmtId="0" fontId="64" fillId="0" borderId="0" xfId="0" applyFont="1" applyAlignment="1">
      <alignment horizontal="right"/>
    </xf>
    <xf numFmtId="3" fontId="60" fillId="13" borderId="4" xfId="0" applyNumberFormat="1" applyFont="1" applyFill="1" applyBorder="1" applyAlignment="1" applyProtection="1">
      <alignment vertical="center" wrapText="1"/>
      <protection locked="0"/>
    </xf>
    <xf numFmtId="0" fontId="27" fillId="13" borderId="3" xfId="0" applyFont="1" applyFill="1" applyBorder="1" applyAlignment="1" applyProtection="1">
      <alignment vertical="center" wrapText="1"/>
      <protection locked="0"/>
    </xf>
    <xf numFmtId="0" fontId="27" fillId="13" borderId="7" xfId="0" applyFont="1" applyFill="1" applyBorder="1" applyAlignment="1" applyProtection="1">
      <alignment vertical="center" wrapText="1"/>
      <protection locked="0"/>
    </xf>
    <xf numFmtId="0" fontId="62" fillId="0" borderId="7" xfId="0" applyFont="1" applyBorder="1" applyAlignment="1">
      <alignment horizontal="left" vertical="center" wrapText="1"/>
    </xf>
    <xf numFmtId="0" fontId="139" fillId="0" borderId="0" xfId="11" applyFont="1" applyAlignment="1">
      <alignment horizontal="left" wrapText="1"/>
    </xf>
    <xf numFmtId="0" fontId="62" fillId="0" borderId="3" xfId="0" applyFont="1" applyBorder="1" applyAlignment="1">
      <alignment horizontal="left" vertical="center" wrapText="1"/>
    </xf>
    <xf numFmtId="0" fontId="62" fillId="0" borderId="4" xfId="0" applyFont="1" applyBorder="1" applyAlignment="1">
      <alignment horizontal="left" vertical="center" wrapText="1"/>
    </xf>
    <xf numFmtId="0" fontId="19" fillId="0" borderId="0" xfId="0" applyFont="1" applyAlignment="1">
      <alignment vertical="center" wrapText="1"/>
    </xf>
    <xf numFmtId="0" fontId="73" fillId="0" borderId="0" xfId="0" applyFont="1" applyAlignment="1">
      <alignment vertical="center" wrapText="1"/>
    </xf>
    <xf numFmtId="0" fontId="63" fillId="0" borderId="4" xfId="22" applyFill="1" applyBorder="1" applyAlignment="1">
      <alignment vertical="center" wrapText="1"/>
    </xf>
    <xf numFmtId="0" fontId="19" fillId="0" borderId="1" xfId="0" applyFont="1" applyBorder="1" applyAlignment="1">
      <alignment horizontal="left" vertical="center" wrapText="1"/>
    </xf>
    <xf numFmtId="0" fontId="63" fillId="0" borderId="7" xfId="22" applyFill="1" applyBorder="1" applyAlignment="1">
      <alignment vertical="center" wrapText="1"/>
    </xf>
    <xf numFmtId="49" fontId="87" fillId="0" borderId="0" xfId="11" applyNumberFormat="1" applyFont="1" applyAlignment="1">
      <alignment horizontal="left" vertical="top" textRotation="90"/>
    </xf>
    <xf numFmtId="49" fontId="87" fillId="0" borderId="17" xfId="11" applyNumberFormat="1" applyFont="1" applyBorder="1" applyAlignment="1">
      <alignment horizontal="left" vertical="top" textRotation="90"/>
    </xf>
    <xf numFmtId="0" fontId="19" fillId="0" borderId="0" xfId="0" applyFont="1" applyAlignment="1">
      <alignment wrapText="1"/>
    </xf>
    <xf numFmtId="49" fontId="87" fillId="0" borderId="0" xfId="11" applyNumberFormat="1" applyFont="1" applyAlignment="1">
      <alignment horizontal="center" vertical="top" textRotation="90" wrapText="1"/>
    </xf>
    <xf numFmtId="49" fontId="87" fillId="0" borderId="0" xfId="11" applyNumberFormat="1" applyFont="1" applyAlignment="1">
      <alignment horizontal="left" vertical="top" textRotation="90" wrapText="1"/>
    </xf>
    <xf numFmtId="49" fontId="87" fillId="0" borderId="17" xfId="11" applyNumberFormat="1" applyFont="1" applyBorder="1" applyAlignment="1">
      <alignment horizontal="left" vertical="top" textRotation="90" wrapText="1"/>
    </xf>
    <xf numFmtId="49" fontId="87" fillId="0" borderId="21" xfId="11" applyNumberFormat="1" applyFont="1" applyBorder="1" applyAlignment="1">
      <alignment horizontal="left" vertical="top" textRotation="90" wrapText="1"/>
    </xf>
    <xf numFmtId="49" fontId="87" fillId="0" borderId="1" xfId="11" applyNumberFormat="1" applyFont="1" applyBorder="1" applyAlignment="1">
      <alignment horizontal="left" vertical="top" textRotation="90" wrapText="1"/>
    </xf>
    <xf numFmtId="0" fontId="103" fillId="0" borderId="1" xfId="11" applyFont="1" applyBorder="1" applyAlignment="1" applyProtection="1">
      <alignment wrapText="1"/>
      <protection locked="0"/>
    </xf>
    <xf numFmtId="167" fontId="19" fillId="0" borderId="4" xfId="17" applyFont="1" applyAlignment="1">
      <alignment vertical="center" wrapText="1"/>
    </xf>
    <xf numFmtId="167" fontId="19" fillId="0" borderId="4" xfId="17" applyFont="1">
      <alignment vertical="center"/>
    </xf>
  </cellXfs>
  <cellStyles count="27">
    <cellStyle name="Besedilo" xfId="9" xr:uid="{00000000-0005-0000-0000-000000000000}"/>
    <cellStyle name="Comma" xfId="2" builtinId="3"/>
    <cellStyle name="Comma 2" xfId="6" xr:uid="{00000000-0005-0000-0000-000002000000}"/>
    <cellStyle name="Comma 3" xfId="16" xr:uid="{00000000-0005-0000-0000-000003000000}"/>
    <cellStyle name="Hyperlink" xfId="26" builtinId="8"/>
    <cellStyle name="Naslov 1" xfId="7" xr:uid="{00000000-0005-0000-0000-000005000000}"/>
    <cellStyle name="Naslov 1 2" xfId="25" xr:uid="{8F296887-1F2E-4B15-A126-7FDFBEF3859F}"/>
    <cellStyle name="Naslov 2" xfId="12" xr:uid="{323514E2-771F-4E44-B55B-C513A9715F7C}"/>
    <cellStyle name="Naslov 3" xfId="21" xr:uid="{23DC87C9-7C4A-48B9-8E1D-38636142BC22}"/>
    <cellStyle name="Naslov 4" xfId="22" xr:uid="{8622617C-EA93-4014-9041-964CD52312D1}"/>
    <cellStyle name="NASLOV IZRAČUN" xfId="10" xr:uid="{00000000-0005-0000-0000-000008000000}"/>
    <cellStyle name="Navadno 2" xfId="3" xr:uid="{00000000-0005-0000-0000-000009000000}"/>
    <cellStyle name="Navadno 2 2" xfId="4" xr:uid="{00000000-0005-0000-0000-00000A000000}"/>
    <cellStyle name="Navadno 2 3" xfId="5" xr:uid="{00000000-0005-0000-0000-00000B000000}"/>
    <cellStyle name="Normal" xfId="0" builtinId="0"/>
    <cellStyle name="Normal 2" xfId="11" xr:uid="{00000000-0005-0000-0000-00000D000000}"/>
    <cellStyle name="Normal 3" xfId="13" xr:uid="{00000000-0005-0000-0000-00000E000000}"/>
    <cellStyle name="Normal 3 2" xfId="20" xr:uid="{00000000-0005-0000-0000-00000F000000}"/>
    <cellStyle name="Normal 4" xfId="15" xr:uid="{00000000-0005-0000-0000-000010000000}"/>
    <cellStyle name="Normal 4 2" xfId="19" xr:uid="{00000000-0005-0000-0000-000011000000}"/>
    <cellStyle name="Normal 5" xfId="23" xr:uid="{44B7A725-9FF3-4CE3-8B8F-F083A3D6FC8A}"/>
    <cellStyle name="Normal 6" xfId="24" xr:uid="{A50ED511-C36F-49A1-AF04-AEFF8D16F4BE}"/>
    <cellStyle name="Per cent" xfId="1" builtinId="5"/>
    <cellStyle name="Percent 2" xfId="14" xr:uid="{00000000-0005-0000-0000-000013000000}"/>
    <cellStyle name="Podnaslov" xfId="8" xr:uid="{00000000-0005-0000-0000-000014000000}"/>
    <cellStyle name="Style 1" xfId="17" xr:uid="{00000000-0005-0000-0000-000015000000}"/>
    <cellStyle name="Style 2" xfId="18" xr:uid="{00000000-0005-0000-0000-000016000000}"/>
  </cellStyles>
  <dxfs count="0"/>
  <tableStyles count="1" defaultTableStyle="TableStyleMedium9" defaultPivotStyle="PivotStyleLight16">
    <tableStyle name="Invisible" pivot="0" table="0" count="0" xr9:uid="{8A66063E-9E93-4BF3-A6B6-4B27C0EB9CA6}"/>
  </tableStyles>
  <colors>
    <mruColors>
      <color rgb="FFCCECFF"/>
      <color rgb="FF5BD4FF"/>
      <color rgb="FF009999"/>
      <color rgb="FF00CC00"/>
      <color rgb="FFCC0099"/>
      <color rgb="FFFF9999"/>
      <color rgb="FFCCFFCC"/>
      <color rgb="FF99FFCC"/>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F$382" lockText="1" noThreeD="1"/>
</file>

<file path=xl/ctrlProps/ctrlProp2.xml><?xml version="1.0" encoding="utf-8"?>
<formControlPr xmlns="http://schemas.microsoft.com/office/spreadsheetml/2009/9/main" objectType="CheckBox" checked="Checked" fmlaLink="$F$381" lockText="1" noThreeD="1"/>
</file>

<file path=xl/ctrlProps/ctrlProp3.xml><?xml version="1.0" encoding="utf-8"?>
<formControlPr xmlns="http://schemas.microsoft.com/office/spreadsheetml/2009/9/main" objectType="CheckBox" checked="Checked" fmlaLink="$F$380" lockText="1" noThreeD="1"/>
</file>

<file path=xl/ctrlProps/ctrlProp4.xml><?xml version="1.0" encoding="utf-8"?>
<formControlPr xmlns="http://schemas.microsoft.com/office/spreadsheetml/2009/9/main" objectType="CheckBox" checked="Checked" fmlaLink="$E$360" lockText="1" noThreeD="1"/>
</file>

<file path=xl/ctrlProps/ctrlProp5.xml><?xml version="1.0" encoding="utf-8"?>
<formControlPr xmlns="http://schemas.microsoft.com/office/spreadsheetml/2009/9/main" objectType="CheckBox" checked="Checked" fmlaLink="$E$361" lockText="1" noThreeD="1"/>
</file>

<file path=xl/ctrlProps/ctrlProp6.xml><?xml version="1.0" encoding="utf-8"?>
<formControlPr xmlns="http://schemas.microsoft.com/office/spreadsheetml/2009/9/main" objectType="CheckBox" checked="Checked" fmlaLink="$E$362" lockText="1" noThreeD="1"/>
</file>

<file path=xl/ctrlProps/ctrlProp7.xml><?xml version="1.0" encoding="utf-8"?>
<formControlPr xmlns="http://schemas.microsoft.com/office/spreadsheetml/2009/9/main" objectType="CheckBox" checked="Checked" fmlaLink="$E$364" lockText="1" noThreeD="1"/>
</file>

<file path=xl/ctrlProps/ctrlProp8.xml><?xml version="1.0" encoding="utf-8"?>
<formControlPr xmlns="http://schemas.microsoft.com/office/spreadsheetml/2009/9/main" objectType="CheckBox" checked="Checked" fmlaLink="$E$365" lockText="1" noThreeD="1"/>
</file>

<file path=xl/ctrlProps/ctrlProp9.xml><?xml version="1.0" encoding="utf-8"?>
<formControlPr xmlns="http://schemas.microsoft.com/office/spreadsheetml/2009/9/main" objectType="CheckBox" checked="Checked" fmlaLink="$E$366" lockText="1" noThreeD="1"/>
</file>

<file path=xl/ctrlProps/ctrlProp10.xml><?xml version="1.0" encoding="utf-8"?>
<formControlPr xmlns="http://schemas.microsoft.com/office/spreadsheetml/2009/9/main" objectType="CheckBox" checked="Checked" fmlaLink="$E$367" lockText="1" noThreeD="1"/>
</file>

<file path=xl/ctrlProps/ctrlProp11.xml><?xml version="1.0" encoding="utf-8"?>
<formControlPr xmlns="http://schemas.microsoft.com/office/spreadsheetml/2009/9/main" objectType="CheckBox" checked="Checked" fmlaLink="$E$368" lockText="1" noThreeD="1"/>
</file>

<file path=xl/ctrlProps/ctrlProp12.xml><?xml version="1.0" encoding="utf-8"?>
<formControlPr xmlns="http://schemas.microsoft.com/office/spreadsheetml/2009/9/main" objectType="CheckBox" checked="Checked" fmlaLink="$E$369" lockText="1" noThreeD="1"/>
</file>

<file path=xl/ctrlProps/ctrlProp13.xml><?xml version="1.0" encoding="utf-8"?>
<formControlPr xmlns="http://schemas.microsoft.com/office/spreadsheetml/2009/9/main" objectType="CheckBox" checked="Checked" fmlaLink="$E$370" lockText="1" noThreeD="1"/>
</file>

<file path=xl/ctrlProps/ctrlProp14.xml><?xml version="1.0" encoding="utf-8"?>
<formControlPr xmlns="http://schemas.microsoft.com/office/spreadsheetml/2009/9/main" objectType="CheckBox" checked="Checked" fmlaLink="$E$371"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CheckBox" checked="Checked" fmlaLink="$A$360" lockText="1" noThreeD="1"/>
</file>

<file path=xl/ctrlProps/ctrlProp17.xml><?xml version="1.0" encoding="utf-8"?>
<formControlPr xmlns="http://schemas.microsoft.com/office/spreadsheetml/2009/9/main" objectType="CheckBox" checked="Checked" fmlaLink="$A$361" lockText="1" noThreeD="1"/>
</file>

<file path=xl/ctrlProps/ctrlProp18.xml><?xml version="1.0" encoding="utf-8"?>
<formControlPr xmlns="http://schemas.microsoft.com/office/spreadsheetml/2009/9/main" objectType="CheckBox" checked="Checked" fmlaLink="$A$362" lockText="1" noThreeD="1"/>
</file>

<file path=xl/ctrlProps/ctrlProp19.xml><?xml version="1.0" encoding="utf-8"?>
<formControlPr xmlns="http://schemas.microsoft.com/office/spreadsheetml/2009/9/main" objectType="CheckBox" checked="Checked" fmlaLink="$A$364" lockText="1" noThreeD="1"/>
</file>

<file path=xl/ctrlProps/ctrlProp20.xml><?xml version="1.0" encoding="utf-8"?>
<formControlPr xmlns="http://schemas.microsoft.com/office/spreadsheetml/2009/9/main" objectType="CheckBox" checked="Checked" fmlaLink="$A$365" lockText="1" noThreeD="1"/>
</file>

<file path=xl/ctrlProps/ctrlProp21.xml><?xml version="1.0" encoding="utf-8"?>
<formControlPr xmlns="http://schemas.microsoft.com/office/spreadsheetml/2009/9/main" objectType="CheckBox" checked="Checked" fmlaLink="$A$366" lockText="1" noThreeD="1"/>
</file>

<file path=xl/ctrlProps/ctrlProp22.xml><?xml version="1.0" encoding="utf-8"?>
<formControlPr xmlns="http://schemas.microsoft.com/office/spreadsheetml/2009/9/main" objectType="CheckBox" checked="Checked" fmlaLink="$A$367" lockText="1" noThreeD="1"/>
</file>

<file path=xl/ctrlProps/ctrlProp23.xml><?xml version="1.0" encoding="utf-8"?>
<formControlPr xmlns="http://schemas.microsoft.com/office/spreadsheetml/2009/9/main" objectType="CheckBox" checked="Checked" fmlaLink="$A$368" lockText="1" noThreeD="1"/>
</file>

<file path=xl/ctrlProps/ctrlProp24.xml><?xml version="1.0" encoding="utf-8"?>
<formControlPr xmlns="http://schemas.microsoft.com/office/spreadsheetml/2009/9/main" objectType="CheckBox" checked="Checked" fmlaLink="$A$369" lockText="1" noThreeD="1"/>
</file>

<file path=xl/ctrlProps/ctrlProp25.xml><?xml version="1.0" encoding="utf-8"?>
<formControlPr xmlns="http://schemas.microsoft.com/office/spreadsheetml/2009/9/main" objectType="CheckBox" checked="Checked" fmlaLink="$A$370" lockText="1" noThreeD="1"/>
</file>

<file path=xl/ctrlProps/ctrlProp26.xml><?xml version="1.0" encoding="utf-8"?>
<formControlPr xmlns="http://schemas.microsoft.com/office/spreadsheetml/2009/9/main" objectType="CheckBox" checked="Checked" fmlaLink="$A$371" lockText="1" noThreeD="1"/>
</file>

<file path=xl/ctrlProps/ctrlProp27.xml><?xml version="1.0" encoding="utf-8"?>
<formControlPr xmlns="http://schemas.microsoft.com/office/spreadsheetml/2009/9/main" objectType="CheckBox" checked="Checked" fmlaLink="$A$358" lockText="1" noThreeD="1"/>
</file>

<file path=xl/ctrlProps/ctrlProp28.xml><?xml version="1.0" encoding="utf-8"?>
<formControlPr xmlns="http://schemas.microsoft.com/office/spreadsheetml/2009/9/main" objectType="Radio" checked="Checked" firstButton="1" fmlaLink="$H$213"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H$11" lockText="1" noThreeD="1"/>
</file>

<file path=xl/ctrlProps/ctrlProp34.xml><?xml version="1.0" encoding="utf-8"?>
<formControlPr xmlns="http://schemas.microsoft.com/office/spreadsheetml/2009/9/main" objectType="Radio" checked="Checked" lockText="1" noThreeD="1"/>
</file>

<file path=xl/ctrlProps/ctrlProp35.xml><?xml version="1.0" encoding="utf-8"?>
<formControlPr xmlns="http://schemas.microsoft.com/office/spreadsheetml/2009/9/main" objectType="Radio" checked="Checked" firstButton="1" fmlaLink="$H$147"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CheckBox" fmlaLink="$G$21" lockText="1" noThreeD="1"/>
</file>

<file path=xl/ctrlProps/ctrlProp40.xml><?xml version="1.0" encoding="utf-8"?>
<formControlPr xmlns="http://schemas.microsoft.com/office/spreadsheetml/2009/9/main" objectType="CheckBox" fmlaLink="$G$49" lockText="1" noThreeD="1"/>
</file>

<file path=xl/ctrlProps/ctrlProp41.xml><?xml version="1.0" encoding="utf-8"?>
<formControlPr xmlns="http://schemas.microsoft.com/office/spreadsheetml/2009/9/main" objectType="CheckBox" checked="Checked" fmlaLink="$G$80" lockText="1" noThreeD="1"/>
</file>

<file path=xl/ctrlProps/ctrlProp42.xml><?xml version="1.0" encoding="utf-8"?>
<formControlPr xmlns="http://schemas.microsoft.com/office/spreadsheetml/2009/9/main" objectType="CheckBox" checked="Checked" fmlaLink="$G$81" lockText="1" noThreeD="1"/>
</file>

<file path=xl/ctrlProps/ctrlProp43.xml><?xml version="1.0" encoding="utf-8"?>
<formControlPr xmlns="http://schemas.microsoft.com/office/spreadsheetml/2009/9/main" objectType="CheckBox" fmlaLink="$G$138" lockText="1" noThreeD="1"/>
</file>

<file path=xl/ctrlProps/ctrlProp44.xml><?xml version="1.0" encoding="utf-8"?>
<formControlPr xmlns="http://schemas.microsoft.com/office/spreadsheetml/2009/9/main" objectType="CheckBox" fmlaLink="$G$157" lockText="1" noThreeD="1"/>
</file>

<file path=xl/ctrlProps/ctrlProp45.xml><?xml version="1.0" encoding="utf-8"?>
<formControlPr xmlns="http://schemas.microsoft.com/office/spreadsheetml/2009/9/main" objectType="CheckBox" fmlaLink="$G$173" lockText="1" noThreeD="1"/>
</file>

<file path=xl/ctrlProps/ctrlProp46.xml><?xml version="1.0" encoding="utf-8"?>
<formControlPr xmlns="http://schemas.microsoft.com/office/spreadsheetml/2009/9/main" objectType="CheckBox" checked="Checked" fmlaLink="$G$97" lockText="1" noThreeD="1"/>
</file>

<file path=xl/ctrlProps/ctrlProp47.xml><?xml version="1.0" encoding="utf-8"?>
<formControlPr xmlns="http://schemas.microsoft.com/office/spreadsheetml/2009/9/main" objectType="CheckBox" fmlaLink="$G$35" lockText="1" noThreeD="1"/>
</file>

<file path=xl/ctrlProps/ctrlProp48.xml><?xml version="1.0" encoding="utf-8"?>
<formControlPr xmlns="http://schemas.microsoft.com/office/spreadsheetml/2009/9/main" objectType="CheckBox" checked="Checked" fmlaLink="$G$51" lockText="1" noThreeD="1"/>
</file>

<file path=xl/ctrlProps/ctrlProp49.xml><?xml version="1.0" encoding="utf-8"?>
<formControlPr xmlns="http://schemas.microsoft.com/office/spreadsheetml/2009/9/main" objectType="CheckBox" checked="Checked" fmlaLink="$G$65" lockText="1" noThreeD="1"/>
</file>

<file path=xl/ctrlProps/ctrlProp50.xml><?xml version="1.0" encoding="utf-8"?>
<formControlPr xmlns="http://schemas.microsoft.com/office/spreadsheetml/2009/9/main" objectType="CheckBox" fmlaLink="$G$117" lockText="1" noThreeD="1"/>
</file>

<file path=xl/ctrlProps/ctrlProp51.xml><?xml version="1.0" encoding="utf-8"?>
<formControlPr xmlns="http://schemas.microsoft.com/office/spreadsheetml/2009/9/main" objectType="CheckBox" fmlaLink="$G$127" lockText="1" noThreeD="1"/>
</file>

<file path=xl/ctrlProps/ctrlProp52.xml><?xml version="1.0" encoding="utf-8"?>
<formControlPr xmlns="http://schemas.microsoft.com/office/spreadsheetml/2009/9/main" objectType="CheckBox" fmlaLink="$G$139" lockText="1" noThreeD="1"/>
</file>

<file path=xl/ctrlProps/ctrlProp53.xml><?xml version="1.0" encoding="utf-8"?>
<formControlPr xmlns="http://schemas.microsoft.com/office/spreadsheetml/2009/9/main" objectType="CheckBox" fmlaLink="$G$191" lockText="1" noThreeD="1"/>
</file>

<file path=xl/ctrlProps/ctrlProp54.xml><?xml version="1.0" encoding="utf-8"?>
<formControlPr xmlns="http://schemas.microsoft.com/office/spreadsheetml/2009/9/main" objectType="CheckBox" fmlaLink="$G$205" lockText="1" noThreeD="1"/>
</file>

<file path=xl/ctrlProps/ctrlProp55.xml><?xml version="1.0" encoding="utf-8"?>
<formControlPr xmlns="http://schemas.microsoft.com/office/spreadsheetml/2009/9/main" objectType="CheckBox" fmlaLink="$G$214" lockText="1" noThreeD="1"/>
</file>

<file path=xl/ctrlProps/ctrlProp56.xml><?xml version="1.0" encoding="utf-8"?>
<formControlPr xmlns="http://schemas.microsoft.com/office/spreadsheetml/2009/9/main" objectType="CheckBox" checked="Checked" fmlaLink="$G$81" lockText="1" noThreeD="1"/>
</file>

<file path=xl/ctrlProps/ctrlProp57.xml><?xml version="1.0" encoding="utf-8"?>
<formControlPr xmlns="http://schemas.microsoft.com/office/spreadsheetml/2009/9/main" objectType="CheckBox" checked="Checked" fmlaLink="$G$81" lockText="1" noThreeD="1"/>
</file>

<file path=xl/ctrlProps/ctrlProp58.xml><?xml version="1.0" encoding="utf-8"?>
<formControlPr xmlns="http://schemas.microsoft.com/office/spreadsheetml/2009/9/main" objectType="CheckBox" checked="Checked" fmlaLink="$G$83" lockText="1" noThreeD="1"/>
</file>

<file path=xl/ctrlProps/ctrlProp59.xml><?xml version="1.0" encoding="utf-8"?>
<formControlPr xmlns="http://schemas.microsoft.com/office/spreadsheetml/2009/9/main" objectType="CheckBox" checked="Checked" fmlaLink="$G$81" lockText="1" noThreeD="1"/>
</file>

<file path=xl/ctrlProps/ctrlProp60.xml><?xml version="1.0" encoding="utf-8"?>
<formControlPr xmlns="http://schemas.microsoft.com/office/spreadsheetml/2009/9/main" objectType="CheckBox" checked="Checked" fmlaLink="$G$82" lockText="1" noThreeD="1"/>
</file>

<file path=xl/ctrlProps/ctrlProp61.xml><?xml version="1.0" encoding="utf-8"?>
<formControlPr xmlns="http://schemas.microsoft.com/office/spreadsheetml/2009/9/main" objectType="CheckBox" checked="Checked" fmlaLink="$G$81" lockText="1" noThreeD="1"/>
</file>

<file path=xl/ctrlProps/ctrlProp62.xml><?xml version="1.0" encoding="utf-8"?>
<formControlPr xmlns="http://schemas.microsoft.com/office/spreadsheetml/2009/9/main" objectType="CheckBox" fmlaLink="$G$115" lockText="1" noThreeD="1"/>
</file>

<file path=xl/ctrlProps/ctrlProp63.xml><?xml version="1.0" encoding="utf-8"?>
<formControlPr xmlns="http://schemas.microsoft.com/office/spreadsheetml/2009/9/main" objectType="CheckBox" checked="Checked" fmlaLink="$G$81" lockText="1" noThreeD="1"/>
</file>

<file path=xl/ctrlProps/ctrlProp64.xml><?xml version="1.0" encoding="utf-8"?>
<formControlPr xmlns="http://schemas.microsoft.com/office/spreadsheetml/2009/9/main" objectType="CheckBox" fmlaLink="$G$107" lockText="1" noThreeD="1"/>
</file>

<file path=xl/ctrlProps/ctrlProp65.xml><?xml version="1.0" encoding="utf-8"?>
<formControlPr xmlns="http://schemas.microsoft.com/office/spreadsheetml/2009/9/main" objectType="CheckBox" checked="Checked" fmlaLink="$G$81" lockText="1" noThreeD="1"/>
</file>

<file path=xl/ctrlProps/ctrlProp66.xml><?xml version="1.0" encoding="utf-8"?>
<formControlPr xmlns="http://schemas.microsoft.com/office/spreadsheetml/2009/9/main" objectType="CheckBox" fmlaLink="$G$126" lockText="1" noThreeD="1"/>
</file>

<file path=xl/ctrlProps/ctrlProp67.xml><?xml version="1.0" encoding="utf-8"?>
<formControlPr xmlns="http://schemas.microsoft.com/office/spreadsheetml/2009/9/main" objectType="CheckBox" checked="Checked" fmlaLink="$G$81" lockText="1" noThreeD="1"/>
</file>

<file path=xl/ctrlProps/ctrlProp68.xml><?xml version="1.0" encoding="utf-8"?>
<formControlPr xmlns="http://schemas.microsoft.com/office/spreadsheetml/2009/9/main" objectType="CheckBox" fmlaLink="$G$136" lockText="1" noThreeD="1"/>
</file>

<file path=xl/ctrlProps/ctrlProp69.xml><?xml version="1.0" encoding="utf-8"?>
<formControlPr xmlns="http://schemas.microsoft.com/office/spreadsheetml/2009/9/main" objectType="CheckBox" checked="Checked" fmlaLink="$G$81" lockText="1" noThreeD="1"/>
</file>

<file path=xl/ctrlProps/ctrlProp70.xml><?xml version="1.0" encoding="utf-8"?>
<formControlPr xmlns="http://schemas.microsoft.com/office/spreadsheetml/2009/9/main" objectType="CheckBox" fmlaLink="$G$148" lockText="1" noThreeD="1"/>
</file>

<file path=xl/ctrlProps/ctrlProp71.xml><?xml version="1.0" encoding="utf-8"?>
<formControlPr xmlns="http://schemas.microsoft.com/office/spreadsheetml/2009/9/main" objectType="CheckBox" checked="Checked" fmlaLink="$G$81" lockText="1" noThreeD="1"/>
</file>

<file path=xl/ctrlProps/ctrlProp72.xml><?xml version="1.0" encoding="utf-8"?>
<formControlPr xmlns="http://schemas.microsoft.com/office/spreadsheetml/2009/9/main" objectType="CheckBox" fmlaLink="$G$165" lockText="1" noThreeD="1"/>
</file>

<file path=xl/ctrlProps/ctrlProp73.xml><?xml version="1.0" encoding="utf-8"?>
<formControlPr xmlns="http://schemas.microsoft.com/office/spreadsheetml/2009/9/main" objectType="CheckBox" checked="Checked" fmlaLink="$G$81" lockText="1" noThreeD="1"/>
</file>

<file path=xl/ctrlProps/ctrlProp74.xml><?xml version="1.0" encoding="utf-8"?>
<formControlPr xmlns="http://schemas.microsoft.com/office/spreadsheetml/2009/9/main" objectType="CheckBox" fmlaLink="$G$182"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718095</xdr:colOff>
      <xdr:row>2</xdr:row>
      <xdr:rowOff>268515</xdr:rowOff>
    </xdr:to>
    <xdr:pic>
      <xdr:nvPicPr>
        <xdr:cNvPr id="3" name="Picture 2">
          <a:extLst>
            <a:ext uri="{FF2B5EF4-FFF2-40B4-BE49-F238E27FC236}">
              <a16:creationId xmlns:a16="http://schemas.microsoft.com/office/drawing/2014/main" id="{00000000-0008-0000-0000-000003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3720</xdr:colOff>
      <xdr:row>2</xdr:row>
      <xdr:rowOff>262800</xdr:rowOff>
    </xdr:to>
    <xdr:pic>
      <xdr:nvPicPr>
        <xdr:cNvPr id="2" name="Picture 1">
          <a:extLst>
            <a:ext uri="{FF2B5EF4-FFF2-40B4-BE49-F238E27FC236}">
              <a16:creationId xmlns:a16="http://schemas.microsoft.com/office/drawing/2014/main" id="{00000000-0008-0000-0100-000002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18095"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5</xdr:col>
          <xdr:colOff>38100</xdr:colOff>
          <xdr:row>381</xdr:row>
          <xdr:rowOff>47625</xdr:rowOff>
        </xdr:from>
        <xdr:to>
          <xdr:col>5</xdr:col>
          <xdr:colOff>342900</xdr:colOff>
          <xdr:row>382</xdr:row>
          <xdr:rowOff>0</xdr:rowOff>
        </xdr:to>
        <xdr:sp macro="" textlink="">
          <xdr:nvSpPr>
            <xdr:cNvPr id="31757" name="Check Box 13" hidden="1">
              <a:extLst>
                <a:ext uri="{63B3BB69-23CF-44E3-9099-C40C66FF867C}">
                  <a14:compatExt spid="_x0000_s31757"/>
                </a:ext>
                <a:ext uri="{FF2B5EF4-FFF2-40B4-BE49-F238E27FC236}">
                  <a16:creationId xmlns:a16="http://schemas.microsoft.com/office/drawing/2014/main" id="{00000000-0008-0000-01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l-SI"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379</xdr:row>
          <xdr:rowOff>304800</xdr:rowOff>
        </xdr:from>
        <xdr:to>
          <xdr:col>5</xdr:col>
          <xdr:colOff>342900</xdr:colOff>
          <xdr:row>381</xdr:row>
          <xdr:rowOff>0</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01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l-SI"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379</xdr:row>
          <xdr:rowOff>9525</xdr:rowOff>
        </xdr:from>
        <xdr:to>
          <xdr:col>5</xdr:col>
          <xdr:colOff>342900</xdr:colOff>
          <xdr:row>380</xdr:row>
          <xdr:rowOff>0</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1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l-SI"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359</xdr:row>
          <xdr:rowOff>19050</xdr:rowOff>
        </xdr:from>
        <xdr:to>
          <xdr:col>4</xdr:col>
          <xdr:colOff>323850</xdr:colOff>
          <xdr:row>359</xdr:row>
          <xdr:rowOff>180975</xdr:rowOff>
        </xdr:to>
        <xdr:sp macro="" textlink="">
          <xdr:nvSpPr>
            <xdr:cNvPr id="31788" name="Check Box 44" hidden="1">
              <a:extLst>
                <a:ext uri="{63B3BB69-23CF-44E3-9099-C40C66FF867C}">
                  <a14:compatExt spid="_x0000_s31788"/>
                </a:ext>
                <a:ext uri="{FF2B5EF4-FFF2-40B4-BE49-F238E27FC236}">
                  <a16:creationId xmlns:a16="http://schemas.microsoft.com/office/drawing/2014/main" id="{00000000-0008-0000-0100-00002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360</xdr:row>
          <xdr:rowOff>19050</xdr:rowOff>
        </xdr:from>
        <xdr:to>
          <xdr:col>4</xdr:col>
          <xdr:colOff>323850</xdr:colOff>
          <xdr:row>360</xdr:row>
          <xdr:rowOff>180975</xdr:rowOff>
        </xdr:to>
        <xdr:sp macro="" textlink="">
          <xdr:nvSpPr>
            <xdr:cNvPr id="31789" name="Check Box 45" hidden="1">
              <a:extLst>
                <a:ext uri="{63B3BB69-23CF-44E3-9099-C40C66FF867C}">
                  <a14:compatExt spid="_x0000_s31789"/>
                </a:ext>
                <a:ext uri="{FF2B5EF4-FFF2-40B4-BE49-F238E27FC236}">
                  <a16:creationId xmlns:a16="http://schemas.microsoft.com/office/drawing/2014/main" id="{00000000-0008-0000-0100-00002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361</xdr:row>
          <xdr:rowOff>19050</xdr:rowOff>
        </xdr:from>
        <xdr:to>
          <xdr:col>4</xdr:col>
          <xdr:colOff>323850</xdr:colOff>
          <xdr:row>361</xdr:row>
          <xdr:rowOff>180975</xdr:rowOff>
        </xdr:to>
        <xdr:sp macro="" textlink="">
          <xdr:nvSpPr>
            <xdr:cNvPr id="31790" name="Check Box 46" hidden="1">
              <a:extLst>
                <a:ext uri="{63B3BB69-23CF-44E3-9099-C40C66FF867C}">
                  <a14:compatExt spid="_x0000_s31790"/>
                </a:ext>
                <a:ext uri="{FF2B5EF4-FFF2-40B4-BE49-F238E27FC236}">
                  <a16:creationId xmlns:a16="http://schemas.microsoft.com/office/drawing/2014/main" id="{00000000-0008-0000-0100-00002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363</xdr:row>
          <xdr:rowOff>19050</xdr:rowOff>
        </xdr:from>
        <xdr:to>
          <xdr:col>4</xdr:col>
          <xdr:colOff>323850</xdr:colOff>
          <xdr:row>363</xdr:row>
          <xdr:rowOff>180975</xdr:rowOff>
        </xdr:to>
        <xdr:sp macro="" textlink="">
          <xdr:nvSpPr>
            <xdr:cNvPr id="31791" name="Check Box 47" hidden="1">
              <a:extLst>
                <a:ext uri="{63B3BB69-23CF-44E3-9099-C40C66FF867C}">
                  <a14:compatExt spid="_x0000_s31791"/>
                </a:ext>
                <a:ext uri="{FF2B5EF4-FFF2-40B4-BE49-F238E27FC236}">
                  <a16:creationId xmlns:a16="http://schemas.microsoft.com/office/drawing/2014/main" id="{00000000-0008-0000-0100-00002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364</xdr:row>
          <xdr:rowOff>19050</xdr:rowOff>
        </xdr:from>
        <xdr:to>
          <xdr:col>4</xdr:col>
          <xdr:colOff>323850</xdr:colOff>
          <xdr:row>364</xdr:row>
          <xdr:rowOff>180975</xdr:rowOff>
        </xdr:to>
        <xdr:sp macro="" textlink="">
          <xdr:nvSpPr>
            <xdr:cNvPr id="31792" name="Check Box 48" hidden="1">
              <a:extLst>
                <a:ext uri="{63B3BB69-23CF-44E3-9099-C40C66FF867C}">
                  <a14:compatExt spid="_x0000_s31792"/>
                </a:ext>
                <a:ext uri="{FF2B5EF4-FFF2-40B4-BE49-F238E27FC236}">
                  <a16:creationId xmlns:a16="http://schemas.microsoft.com/office/drawing/2014/main" id="{00000000-0008-0000-0100-00003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365</xdr:row>
          <xdr:rowOff>19050</xdr:rowOff>
        </xdr:from>
        <xdr:to>
          <xdr:col>4</xdr:col>
          <xdr:colOff>323850</xdr:colOff>
          <xdr:row>365</xdr:row>
          <xdr:rowOff>180975</xdr:rowOff>
        </xdr:to>
        <xdr:sp macro="" textlink="">
          <xdr:nvSpPr>
            <xdr:cNvPr id="31793" name="Check Box 49" hidden="1">
              <a:extLst>
                <a:ext uri="{63B3BB69-23CF-44E3-9099-C40C66FF867C}">
                  <a14:compatExt spid="_x0000_s31793"/>
                </a:ext>
                <a:ext uri="{FF2B5EF4-FFF2-40B4-BE49-F238E27FC236}">
                  <a16:creationId xmlns:a16="http://schemas.microsoft.com/office/drawing/2014/main" id="{00000000-0008-0000-0100-00003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366</xdr:row>
          <xdr:rowOff>19050</xdr:rowOff>
        </xdr:from>
        <xdr:to>
          <xdr:col>4</xdr:col>
          <xdr:colOff>323850</xdr:colOff>
          <xdr:row>366</xdr:row>
          <xdr:rowOff>180975</xdr:rowOff>
        </xdr:to>
        <xdr:sp macro="" textlink="">
          <xdr:nvSpPr>
            <xdr:cNvPr id="31794" name="Check Box 50" hidden="1">
              <a:extLst>
                <a:ext uri="{63B3BB69-23CF-44E3-9099-C40C66FF867C}">
                  <a14:compatExt spid="_x0000_s31794"/>
                </a:ext>
                <a:ext uri="{FF2B5EF4-FFF2-40B4-BE49-F238E27FC236}">
                  <a16:creationId xmlns:a16="http://schemas.microsoft.com/office/drawing/2014/main" id="{00000000-0008-0000-01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367</xdr:row>
          <xdr:rowOff>19050</xdr:rowOff>
        </xdr:from>
        <xdr:to>
          <xdr:col>4</xdr:col>
          <xdr:colOff>323850</xdr:colOff>
          <xdr:row>367</xdr:row>
          <xdr:rowOff>180975</xdr:rowOff>
        </xdr:to>
        <xdr:sp macro="" textlink="">
          <xdr:nvSpPr>
            <xdr:cNvPr id="31795" name="Check Box 51" hidden="1">
              <a:extLst>
                <a:ext uri="{63B3BB69-23CF-44E3-9099-C40C66FF867C}">
                  <a14:compatExt spid="_x0000_s31795"/>
                </a:ext>
                <a:ext uri="{FF2B5EF4-FFF2-40B4-BE49-F238E27FC236}">
                  <a16:creationId xmlns:a16="http://schemas.microsoft.com/office/drawing/2014/main" id="{00000000-0008-0000-0100-00003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368</xdr:row>
          <xdr:rowOff>19050</xdr:rowOff>
        </xdr:from>
        <xdr:to>
          <xdr:col>4</xdr:col>
          <xdr:colOff>323850</xdr:colOff>
          <xdr:row>368</xdr:row>
          <xdr:rowOff>180975</xdr:rowOff>
        </xdr:to>
        <xdr:sp macro="" textlink="">
          <xdr:nvSpPr>
            <xdr:cNvPr id="31798" name="Check Box 54" hidden="1">
              <a:extLst>
                <a:ext uri="{63B3BB69-23CF-44E3-9099-C40C66FF867C}">
                  <a14:compatExt spid="_x0000_s31798"/>
                </a:ext>
                <a:ext uri="{FF2B5EF4-FFF2-40B4-BE49-F238E27FC236}">
                  <a16:creationId xmlns:a16="http://schemas.microsoft.com/office/drawing/2014/main" id="{00000000-0008-0000-0100-00003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369</xdr:row>
          <xdr:rowOff>19050</xdr:rowOff>
        </xdr:from>
        <xdr:to>
          <xdr:col>4</xdr:col>
          <xdr:colOff>323850</xdr:colOff>
          <xdr:row>369</xdr:row>
          <xdr:rowOff>180975</xdr:rowOff>
        </xdr:to>
        <xdr:sp macro="" textlink="">
          <xdr:nvSpPr>
            <xdr:cNvPr id="31799" name="Check Box 55" hidden="1">
              <a:extLst>
                <a:ext uri="{63B3BB69-23CF-44E3-9099-C40C66FF867C}">
                  <a14:compatExt spid="_x0000_s31799"/>
                </a:ext>
                <a:ext uri="{FF2B5EF4-FFF2-40B4-BE49-F238E27FC236}">
                  <a16:creationId xmlns:a16="http://schemas.microsoft.com/office/drawing/2014/main" id="{00000000-0008-0000-01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370</xdr:row>
          <xdr:rowOff>19050</xdr:rowOff>
        </xdr:from>
        <xdr:to>
          <xdr:col>4</xdr:col>
          <xdr:colOff>323850</xdr:colOff>
          <xdr:row>370</xdr:row>
          <xdr:rowOff>180975</xdr:rowOff>
        </xdr:to>
        <xdr:sp macro="" textlink="">
          <xdr:nvSpPr>
            <xdr:cNvPr id="31800" name="Check Box 56" hidden="1">
              <a:extLst>
                <a:ext uri="{63B3BB69-23CF-44E3-9099-C40C66FF867C}">
                  <a14:compatExt spid="_x0000_s31800"/>
                </a:ext>
                <a:ext uri="{FF2B5EF4-FFF2-40B4-BE49-F238E27FC236}">
                  <a16:creationId xmlns:a16="http://schemas.microsoft.com/office/drawing/2014/main" id="{00000000-0008-0000-01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866775</xdr:colOff>
          <xdr:row>9</xdr:row>
          <xdr:rowOff>76200</xdr:rowOff>
        </xdr:from>
        <xdr:to>
          <xdr:col>4</xdr:col>
          <xdr:colOff>2181225</xdr:colOff>
          <xdr:row>11</xdr:row>
          <xdr:rowOff>85725</xdr:rowOff>
        </xdr:to>
        <xdr:sp macro="" textlink="">
          <xdr:nvSpPr>
            <xdr:cNvPr id="31816" name="Group Box 72" hidden="1">
              <a:extLst>
                <a:ext uri="{63B3BB69-23CF-44E3-9099-C40C66FF867C}">
                  <a14:compatExt spid="_x0000_s31816"/>
                </a:ext>
                <a:ext uri="{FF2B5EF4-FFF2-40B4-BE49-F238E27FC236}">
                  <a16:creationId xmlns:a16="http://schemas.microsoft.com/office/drawing/2014/main" id="{00000000-0008-0000-0100-000048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Segoe UI"/>
                  <a:cs typeface="Segoe UI"/>
                </a:rPr>
                <a:t>Stavbe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359</xdr:row>
          <xdr:rowOff>19050</xdr:rowOff>
        </xdr:from>
        <xdr:to>
          <xdr:col>0</xdr:col>
          <xdr:colOff>323850</xdr:colOff>
          <xdr:row>359</xdr:row>
          <xdr:rowOff>180975</xdr:rowOff>
        </xdr:to>
        <xdr:sp macro="" textlink="">
          <xdr:nvSpPr>
            <xdr:cNvPr id="31828" name="Check Box 84" hidden="1">
              <a:extLst>
                <a:ext uri="{63B3BB69-23CF-44E3-9099-C40C66FF867C}">
                  <a14:compatExt spid="_x0000_s31828"/>
                </a:ext>
                <a:ext uri="{FF2B5EF4-FFF2-40B4-BE49-F238E27FC236}">
                  <a16:creationId xmlns:a16="http://schemas.microsoft.com/office/drawing/2014/main" id="{00000000-0008-0000-0100-00005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360</xdr:row>
          <xdr:rowOff>19050</xdr:rowOff>
        </xdr:from>
        <xdr:to>
          <xdr:col>0</xdr:col>
          <xdr:colOff>323850</xdr:colOff>
          <xdr:row>360</xdr:row>
          <xdr:rowOff>180975</xdr:rowOff>
        </xdr:to>
        <xdr:sp macro="" textlink="">
          <xdr:nvSpPr>
            <xdr:cNvPr id="31829" name="Check Box 85" hidden="1">
              <a:extLst>
                <a:ext uri="{63B3BB69-23CF-44E3-9099-C40C66FF867C}">
                  <a14:compatExt spid="_x0000_s31829"/>
                </a:ext>
                <a:ext uri="{FF2B5EF4-FFF2-40B4-BE49-F238E27FC236}">
                  <a16:creationId xmlns:a16="http://schemas.microsoft.com/office/drawing/2014/main" id="{00000000-0008-0000-0100-00005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361</xdr:row>
          <xdr:rowOff>19050</xdr:rowOff>
        </xdr:from>
        <xdr:to>
          <xdr:col>0</xdr:col>
          <xdr:colOff>323850</xdr:colOff>
          <xdr:row>361</xdr:row>
          <xdr:rowOff>180975</xdr:rowOff>
        </xdr:to>
        <xdr:sp macro="" textlink="">
          <xdr:nvSpPr>
            <xdr:cNvPr id="31830" name="Check Box 86" hidden="1">
              <a:extLst>
                <a:ext uri="{63B3BB69-23CF-44E3-9099-C40C66FF867C}">
                  <a14:compatExt spid="_x0000_s31830"/>
                </a:ext>
                <a:ext uri="{FF2B5EF4-FFF2-40B4-BE49-F238E27FC236}">
                  <a16:creationId xmlns:a16="http://schemas.microsoft.com/office/drawing/2014/main" id="{00000000-0008-0000-0100-00005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363</xdr:row>
          <xdr:rowOff>19050</xdr:rowOff>
        </xdr:from>
        <xdr:to>
          <xdr:col>0</xdr:col>
          <xdr:colOff>323850</xdr:colOff>
          <xdr:row>363</xdr:row>
          <xdr:rowOff>180975</xdr:rowOff>
        </xdr:to>
        <xdr:sp macro="" textlink="">
          <xdr:nvSpPr>
            <xdr:cNvPr id="31833" name="Check Box 89" hidden="1">
              <a:extLst>
                <a:ext uri="{63B3BB69-23CF-44E3-9099-C40C66FF867C}">
                  <a14:compatExt spid="_x0000_s31833"/>
                </a:ext>
                <a:ext uri="{FF2B5EF4-FFF2-40B4-BE49-F238E27FC236}">
                  <a16:creationId xmlns:a16="http://schemas.microsoft.com/office/drawing/2014/main" id="{00000000-0008-0000-0100-00005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364</xdr:row>
          <xdr:rowOff>19050</xdr:rowOff>
        </xdr:from>
        <xdr:to>
          <xdr:col>0</xdr:col>
          <xdr:colOff>323850</xdr:colOff>
          <xdr:row>364</xdr:row>
          <xdr:rowOff>180975</xdr:rowOff>
        </xdr:to>
        <xdr:sp macro="" textlink="">
          <xdr:nvSpPr>
            <xdr:cNvPr id="31834" name="Check Box 90" hidden="1">
              <a:extLst>
                <a:ext uri="{63B3BB69-23CF-44E3-9099-C40C66FF867C}">
                  <a14:compatExt spid="_x0000_s31834"/>
                </a:ext>
                <a:ext uri="{FF2B5EF4-FFF2-40B4-BE49-F238E27FC236}">
                  <a16:creationId xmlns:a16="http://schemas.microsoft.com/office/drawing/2014/main" id="{00000000-0008-0000-0100-00005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365</xdr:row>
          <xdr:rowOff>19050</xdr:rowOff>
        </xdr:from>
        <xdr:to>
          <xdr:col>0</xdr:col>
          <xdr:colOff>323850</xdr:colOff>
          <xdr:row>365</xdr:row>
          <xdr:rowOff>180975</xdr:rowOff>
        </xdr:to>
        <xdr:sp macro="" textlink="">
          <xdr:nvSpPr>
            <xdr:cNvPr id="31835" name="Check Box 91" hidden="1">
              <a:extLst>
                <a:ext uri="{63B3BB69-23CF-44E3-9099-C40C66FF867C}">
                  <a14:compatExt spid="_x0000_s31835"/>
                </a:ext>
                <a:ext uri="{FF2B5EF4-FFF2-40B4-BE49-F238E27FC236}">
                  <a16:creationId xmlns:a16="http://schemas.microsoft.com/office/drawing/2014/main" id="{00000000-0008-0000-0100-00005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366</xdr:row>
          <xdr:rowOff>19050</xdr:rowOff>
        </xdr:from>
        <xdr:to>
          <xdr:col>0</xdr:col>
          <xdr:colOff>323850</xdr:colOff>
          <xdr:row>366</xdr:row>
          <xdr:rowOff>180975</xdr:rowOff>
        </xdr:to>
        <xdr:sp macro="" textlink="">
          <xdr:nvSpPr>
            <xdr:cNvPr id="31836" name="Check Box 92" hidden="1">
              <a:extLst>
                <a:ext uri="{63B3BB69-23CF-44E3-9099-C40C66FF867C}">
                  <a14:compatExt spid="_x0000_s31836"/>
                </a:ext>
                <a:ext uri="{FF2B5EF4-FFF2-40B4-BE49-F238E27FC236}">
                  <a16:creationId xmlns:a16="http://schemas.microsoft.com/office/drawing/2014/main" id="{00000000-0008-0000-0100-00005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367</xdr:row>
          <xdr:rowOff>19050</xdr:rowOff>
        </xdr:from>
        <xdr:to>
          <xdr:col>0</xdr:col>
          <xdr:colOff>323850</xdr:colOff>
          <xdr:row>367</xdr:row>
          <xdr:rowOff>180975</xdr:rowOff>
        </xdr:to>
        <xdr:sp macro="" textlink="">
          <xdr:nvSpPr>
            <xdr:cNvPr id="31837" name="Check Box 93" hidden="1">
              <a:extLst>
                <a:ext uri="{63B3BB69-23CF-44E3-9099-C40C66FF867C}">
                  <a14:compatExt spid="_x0000_s31837"/>
                </a:ext>
                <a:ext uri="{FF2B5EF4-FFF2-40B4-BE49-F238E27FC236}">
                  <a16:creationId xmlns:a16="http://schemas.microsoft.com/office/drawing/2014/main" id="{00000000-0008-0000-0100-00005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368</xdr:row>
          <xdr:rowOff>19050</xdr:rowOff>
        </xdr:from>
        <xdr:to>
          <xdr:col>0</xdr:col>
          <xdr:colOff>323850</xdr:colOff>
          <xdr:row>368</xdr:row>
          <xdr:rowOff>180975</xdr:rowOff>
        </xdr:to>
        <xdr:sp macro="" textlink="">
          <xdr:nvSpPr>
            <xdr:cNvPr id="31838" name="Check Box 94" hidden="1">
              <a:extLst>
                <a:ext uri="{63B3BB69-23CF-44E3-9099-C40C66FF867C}">
                  <a14:compatExt spid="_x0000_s31838"/>
                </a:ext>
                <a:ext uri="{FF2B5EF4-FFF2-40B4-BE49-F238E27FC236}">
                  <a16:creationId xmlns:a16="http://schemas.microsoft.com/office/drawing/2014/main" id="{00000000-0008-0000-0100-00005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369</xdr:row>
          <xdr:rowOff>19050</xdr:rowOff>
        </xdr:from>
        <xdr:to>
          <xdr:col>0</xdr:col>
          <xdr:colOff>323850</xdr:colOff>
          <xdr:row>369</xdr:row>
          <xdr:rowOff>180975</xdr:rowOff>
        </xdr:to>
        <xdr:sp macro="" textlink="">
          <xdr:nvSpPr>
            <xdr:cNvPr id="31839" name="Check Box 95" hidden="1">
              <a:extLst>
                <a:ext uri="{63B3BB69-23CF-44E3-9099-C40C66FF867C}">
                  <a14:compatExt spid="_x0000_s31839"/>
                </a:ext>
                <a:ext uri="{FF2B5EF4-FFF2-40B4-BE49-F238E27FC236}">
                  <a16:creationId xmlns:a16="http://schemas.microsoft.com/office/drawing/2014/main" id="{00000000-0008-0000-0100-00005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370</xdr:row>
          <xdr:rowOff>19050</xdr:rowOff>
        </xdr:from>
        <xdr:to>
          <xdr:col>0</xdr:col>
          <xdr:colOff>323850</xdr:colOff>
          <xdr:row>370</xdr:row>
          <xdr:rowOff>180975</xdr:rowOff>
        </xdr:to>
        <xdr:sp macro="" textlink="">
          <xdr:nvSpPr>
            <xdr:cNvPr id="31840" name="Check Box 96" hidden="1">
              <a:extLst>
                <a:ext uri="{63B3BB69-23CF-44E3-9099-C40C66FF867C}">
                  <a14:compatExt spid="_x0000_s31840"/>
                </a:ext>
                <a:ext uri="{FF2B5EF4-FFF2-40B4-BE49-F238E27FC236}">
                  <a16:creationId xmlns:a16="http://schemas.microsoft.com/office/drawing/2014/main" id="{00000000-0008-0000-0100-00006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357</xdr:row>
          <xdr:rowOff>19050</xdr:rowOff>
        </xdr:from>
        <xdr:to>
          <xdr:col>0</xdr:col>
          <xdr:colOff>323850</xdr:colOff>
          <xdr:row>357</xdr:row>
          <xdr:rowOff>180975</xdr:rowOff>
        </xdr:to>
        <xdr:sp macro="" textlink="">
          <xdr:nvSpPr>
            <xdr:cNvPr id="31841" name="Check Box 97" hidden="1">
              <a:extLst>
                <a:ext uri="{63B3BB69-23CF-44E3-9099-C40C66FF867C}">
                  <a14:compatExt spid="_x0000_s31841"/>
                </a:ext>
                <a:ext uri="{FF2B5EF4-FFF2-40B4-BE49-F238E27FC236}">
                  <a16:creationId xmlns:a16="http://schemas.microsoft.com/office/drawing/2014/main" id="{00000000-0008-0000-0100-00006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212</xdr:row>
          <xdr:rowOff>104775</xdr:rowOff>
        </xdr:from>
        <xdr:to>
          <xdr:col>5</xdr:col>
          <xdr:colOff>409575</xdr:colOff>
          <xdr:row>212</xdr:row>
          <xdr:rowOff>266700</xdr:rowOff>
        </xdr:to>
        <xdr:sp macro="" textlink="">
          <xdr:nvSpPr>
            <xdr:cNvPr id="31871" name="Option Button 127" hidden="1">
              <a:extLst>
                <a:ext uri="{63B3BB69-23CF-44E3-9099-C40C66FF867C}">
                  <a14:compatExt spid="_x0000_s31871"/>
                </a:ext>
                <a:ext uri="{FF2B5EF4-FFF2-40B4-BE49-F238E27FC236}">
                  <a16:creationId xmlns:a16="http://schemas.microsoft.com/office/drawing/2014/main" id="{00000000-0008-0000-0100-00007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l-SI"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213</xdr:row>
          <xdr:rowOff>95250</xdr:rowOff>
        </xdr:from>
        <xdr:to>
          <xdr:col>5</xdr:col>
          <xdr:colOff>466725</xdr:colOff>
          <xdr:row>213</xdr:row>
          <xdr:rowOff>295275</xdr:rowOff>
        </xdr:to>
        <xdr:sp macro="" textlink="">
          <xdr:nvSpPr>
            <xdr:cNvPr id="31872" name="Option Button 128" hidden="1">
              <a:extLst>
                <a:ext uri="{63B3BB69-23CF-44E3-9099-C40C66FF867C}">
                  <a14:compatExt spid="_x0000_s31872"/>
                </a:ext>
                <a:ext uri="{FF2B5EF4-FFF2-40B4-BE49-F238E27FC236}">
                  <a16:creationId xmlns:a16="http://schemas.microsoft.com/office/drawing/2014/main" id="{00000000-0008-0000-0100-00008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sl-SI"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895350</xdr:colOff>
          <xdr:row>146</xdr:row>
          <xdr:rowOff>38100</xdr:rowOff>
        </xdr:from>
        <xdr:to>
          <xdr:col>4</xdr:col>
          <xdr:colOff>2219325</xdr:colOff>
          <xdr:row>147</xdr:row>
          <xdr:rowOff>247650</xdr:rowOff>
        </xdr:to>
        <xdr:sp macro="" textlink="">
          <xdr:nvSpPr>
            <xdr:cNvPr id="31874" name="Group Box 130" hidden="1">
              <a:extLst>
                <a:ext uri="{63B3BB69-23CF-44E3-9099-C40C66FF867C}">
                  <a14:compatExt spid="_x0000_s31874"/>
                </a:ext>
                <a:ext uri="{FF2B5EF4-FFF2-40B4-BE49-F238E27FC236}">
                  <a16:creationId xmlns:a16="http://schemas.microsoft.com/office/drawing/2014/main" id="{00000000-0008-0000-0100-000082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Segoe UI"/>
                  <a:cs typeface="Segoe UI"/>
                </a:rPr>
                <a:t>Group Box 130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1000125</xdr:colOff>
          <xdr:row>212</xdr:row>
          <xdr:rowOff>28575</xdr:rowOff>
        </xdr:from>
        <xdr:to>
          <xdr:col>4</xdr:col>
          <xdr:colOff>2257425</xdr:colOff>
          <xdr:row>214</xdr:row>
          <xdr:rowOff>85725</xdr:rowOff>
        </xdr:to>
        <xdr:sp macro="" textlink="">
          <xdr:nvSpPr>
            <xdr:cNvPr id="31875" name="Group Box 131" hidden="1">
              <a:extLst>
                <a:ext uri="{63B3BB69-23CF-44E3-9099-C40C66FF867C}">
                  <a14:compatExt spid="_x0000_s31875"/>
                </a:ext>
                <a:ext uri="{FF2B5EF4-FFF2-40B4-BE49-F238E27FC236}">
                  <a16:creationId xmlns:a16="http://schemas.microsoft.com/office/drawing/2014/main" id="{00000000-0008-0000-0100-000083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Segoe UI"/>
                  <a:cs typeface="Segoe UI"/>
                </a:rPr>
                <a:t>Group Box 131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211</xdr:row>
          <xdr:rowOff>190500</xdr:rowOff>
        </xdr:from>
        <xdr:to>
          <xdr:col>6</xdr:col>
          <xdr:colOff>9525</xdr:colOff>
          <xdr:row>214</xdr:row>
          <xdr:rowOff>0</xdr:rowOff>
        </xdr:to>
        <xdr:sp macro="" textlink="">
          <xdr:nvSpPr>
            <xdr:cNvPr id="31879" name="Group Box 135" hidden="1">
              <a:extLst>
                <a:ext uri="{63B3BB69-23CF-44E3-9099-C40C66FF867C}">
                  <a14:compatExt spid="_x0000_s31879"/>
                </a:ext>
                <a:ext uri="{FF2B5EF4-FFF2-40B4-BE49-F238E27FC236}">
                  <a16:creationId xmlns:a16="http://schemas.microsoft.com/office/drawing/2014/main" id="{00000000-0008-0000-0100-000087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10</xdr:row>
          <xdr:rowOff>95250</xdr:rowOff>
        </xdr:from>
        <xdr:to>
          <xdr:col>5</xdr:col>
          <xdr:colOff>523875</xdr:colOff>
          <xdr:row>10</xdr:row>
          <xdr:rowOff>314325</xdr:rowOff>
        </xdr:to>
        <xdr:sp macro="" textlink="">
          <xdr:nvSpPr>
            <xdr:cNvPr id="31887" name="Option Button 143" hidden="1">
              <a:extLst>
                <a:ext uri="{63B3BB69-23CF-44E3-9099-C40C66FF867C}">
                  <a14:compatExt spid="_x0000_s31887"/>
                </a:ext>
                <a:ext uri="{FF2B5EF4-FFF2-40B4-BE49-F238E27FC236}">
                  <a16:creationId xmlns:a16="http://schemas.microsoft.com/office/drawing/2014/main" id="{00000000-0008-0000-0100-00008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11</xdr:row>
          <xdr:rowOff>104775</xdr:rowOff>
        </xdr:from>
        <xdr:to>
          <xdr:col>5</xdr:col>
          <xdr:colOff>504825</xdr:colOff>
          <xdr:row>11</xdr:row>
          <xdr:rowOff>295275</xdr:rowOff>
        </xdr:to>
        <xdr:sp macro="" textlink="">
          <xdr:nvSpPr>
            <xdr:cNvPr id="31888" name="Option Button 144" hidden="1">
              <a:extLst>
                <a:ext uri="{63B3BB69-23CF-44E3-9099-C40C66FF867C}">
                  <a14:compatExt spid="_x0000_s31888"/>
                </a:ext>
                <a:ext uri="{FF2B5EF4-FFF2-40B4-BE49-F238E27FC236}">
                  <a16:creationId xmlns:a16="http://schemas.microsoft.com/office/drawing/2014/main" id="{00000000-0008-0000-0100-00009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146</xdr:row>
          <xdr:rowOff>76200</xdr:rowOff>
        </xdr:from>
        <xdr:to>
          <xdr:col>5</xdr:col>
          <xdr:colOff>600075</xdr:colOff>
          <xdr:row>146</xdr:row>
          <xdr:rowOff>295275</xdr:rowOff>
        </xdr:to>
        <xdr:sp macro="" textlink="">
          <xdr:nvSpPr>
            <xdr:cNvPr id="31889" name="Option Button 145" hidden="1">
              <a:extLst>
                <a:ext uri="{63B3BB69-23CF-44E3-9099-C40C66FF867C}">
                  <a14:compatExt spid="_x0000_s31889"/>
                </a:ext>
                <a:ext uri="{FF2B5EF4-FFF2-40B4-BE49-F238E27FC236}">
                  <a16:creationId xmlns:a16="http://schemas.microsoft.com/office/drawing/2014/main" id="{00000000-0008-0000-0100-00009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147</xdr:row>
          <xdr:rowOff>85725</xdr:rowOff>
        </xdr:from>
        <xdr:to>
          <xdr:col>5</xdr:col>
          <xdr:colOff>590550</xdr:colOff>
          <xdr:row>147</xdr:row>
          <xdr:rowOff>304800</xdr:rowOff>
        </xdr:to>
        <xdr:sp macro="" textlink="">
          <xdr:nvSpPr>
            <xdr:cNvPr id="31890" name="Option Button 146" hidden="1">
              <a:extLst>
                <a:ext uri="{63B3BB69-23CF-44E3-9099-C40C66FF867C}">
                  <a14:compatExt spid="_x0000_s31890"/>
                </a:ext>
                <a:ext uri="{FF2B5EF4-FFF2-40B4-BE49-F238E27FC236}">
                  <a16:creationId xmlns:a16="http://schemas.microsoft.com/office/drawing/2014/main" id="{00000000-0008-0000-0100-00009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2371725</xdr:colOff>
          <xdr:row>10</xdr:row>
          <xdr:rowOff>0</xdr:rowOff>
        </xdr:from>
        <xdr:to>
          <xdr:col>6</xdr:col>
          <xdr:colOff>0</xdr:colOff>
          <xdr:row>12</xdr:row>
          <xdr:rowOff>0</xdr:rowOff>
        </xdr:to>
        <xdr:sp macro="" textlink="">
          <xdr:nvSpPr>
            <xdr:cNvPr id="31891" name="Group Box 147" hidden="1">
              <a:extLst>
                <a:ext uri="{63B3BB69-23CF-44E3-9099-C40C66FF867C}">
                  <a14:compatExt spid="_x0000_s31891"/>
                </a:ext>
                <a:ext uri="{FF2B5EF4-FFF2-40B4-BE49-F238E27FC236}">
                  <a16:creationId xmlns:a16="http://schemas.microsoft.com/office/drawing/2014/main" id="{00000000-0008-0000-0100-000093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2362200</xdr:colOff>
          <xdr:row>146</xdr:row>
          <xdr:rowOff>0</xdr:rowOff>
        </xdr:from>
        <xdr:to>
          <xdr:col>6</xdr:col>
          <xdr:colOff>9525</xdr:colOff>
          <xdr:row>148</xdr:row>
          <xdr:rowOff>9525</xdr:rowOff>
        </xdr:to>
        <xdr:sp macro="" textlink="">
          <xdr:nvSpPr>
            <xdr:cNvPr id="31892" name="Group Box 148" hidden="1">
              <a:extLst>
                <a:ext uri="{63B3BB69-23CF-44E3-9099-C40C66FF867C}">
                  <a14:compatExt spid="_x0000_s31892"/>
                </a:ext>
                <a:ext uri="{FF2B5EF4-FFF2-40B4-BE49-F238E27FC236}">
                  <a16:creationId xmlns:a16="http://schemas.microsoft.com/office/drawing/2014/main" id="{00000000-0008-0000-0100-000094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76200</xdr:colOff>
          <xdr:row>20</xdr:row>
          <xdr:rowOff>19050</xdr:rowOff>
        </xdr:from>
        <xdr:to>
          <xdr:col>6</xdr:col>
          <xdr:colOff>323850</xdr:colOff>
          <xdr:row>21</xdr:row>
          <xdr:rowOff>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19050</xdr:rowOff>
        </xdr:from>
        <xdr:to>
          <xdr:col>6</xdr:col>
          <xdr:colOff>323850</xdr:colOff>
          <xdr:row>48</xdr:row>
          <xdr:rowOff>180975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79</xdr:row>
          <xdr:rowOff>19050</xdr:rowOff>
        </xdr:from>
        <xdr:to>
          <xdr:col>6</xdr:col>
          <xdr:colOff>323850</xdr:colOff>
          <xdr:row>79</xdr:row>
          <xdr:rowOff>180975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80</xdr:row>
          <xdr:rowOff>19050</xdr:rowOff>
        </xdr:from>
        <xdr:to>
          <xdr:col>6</xdr:col>
          <xdr:colOff>323850</xdr:colOff>
          <xdr:row>80</xdr:row>
          <xdr:rowOff>180975</xdr:rowOff>
        </xdr:to>
        <xdr:sp macro="" textlink="">
          <xdr:nvSpPr>
            <xdr:cNvPr id="18566" name="Check Box 134" hidden="1">
              <a:extLst>
                <a:ext uri="{63B3BB69-23CF-44E3-9099-C40C66FF867C}">
                  <a14:compatExt spid="_x0000_s18566"/>
                </a:ext>
                <a:ext uri="{FF2B5EF4-FFF2-40B4-BE49-F238E27FC236}">
                  <a16:creationId xmlns:a16="http://schemas.microsoft.com/office/drawing/2014/main" id="{00000000-0008-0000-0300-00008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137</xdr:row>
          <xdr:rowOff>38100</xdr:rowOff>
        </xdr:from>
        <xdr:to>
          <xdr:col>6</xdr:col>
          <xdr:colOff>323850</xdr:colOff>
          <xdr:row>137</xdr:row>
          <xdr:rowOff>200025</xdr:rowOff>
        </xdr:to>
        <xdr:sp macro="" textlink="">
          <xdr:nvSpPr>
            <xdr:cNvPr id="18608" name="Check Box 176" hidden="1">
              <a:extLst>
                <a:ext uri="{63B3BB69-23CF-44E3-9099-C40C66FF867C}">
                  <a14:compatExt spid="_x0000_s18608"/>
                </a:ext>
                <a:ext uri="{FF2B5EF4-FFF2-40B4-BE49-F238E27FC236}">
                  <a16:creationId xmlns:a16="http://schemas.microsoft.com/office/drawing/2014/main" id="{00000000-0008-0000-0300-0000B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156</xdr:row>
          <xdr:rowOff>19050</xdr:rowOff>
        </xdr:from>
        <xdr:to>
          <xdr:col>6</xdr:col>
          <xdr:colOff>323850</xdr:colOff>
          <xdr:row>156</xdr:row>
          <xdr:rowOff>180975</xdr:rowOff>
        </xdr:to>
        <xdr:sp macro="" textlink="">
          <xdr:nvSpPr>
            <xdr:cNvPr id="18609" name="Check Box 177" hidden="1">
              <a:extLst>
                <a:ext uri="{63B3BB69-23CF-44E3-9099-C40C66FF867C}">
                  <a14:compatExt spid="_x0000_s18609"/>
                </a:ext>
                <a:ext uri="{FF2B5EF4-FFF2-40B4-BE49-F238E27FC236}">
                  <a16:creationId xmlns:a16="http://schemas.microsoft.com/office/drawing/2014/main" id="{00000000-0008-0000-0300-0000B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172</xdr:row>
          <xdr:rowOff>19050</xdr:rowOff>
        </xdr:from>
        <xdr:to>
          <xdr:col>6</xdr:col>
          <xdr:colOff>323850</xdr:colOff>
          <xdr:row>172</xdr:row>
          <xdr:rowOff>180975</xdr:rowOff>
        </xdr:to>
        <xdr:sp macro="" textlink="">
          <xdr:nvSpPr>
            <xdr:cNvPr id="18655" name="Check Box 223" hidden="1">
              <a:extLst>
                <a:ext uri="{63B3BB69-23CF-44E3-9099-C40C66FF867C}">
                  <a14:compatExt spid="_x0000_s18655"/>
                </a:ext>
                <a:ext uri="{FF2B5EF4-FFF2-40B4-BE49-F238E27FC236}">
                  <a16:creationId xmlns:a16="http://schemas.microsoft.com/office/drawing/2014/main" id="{00000000-0008-0000-0300-0000D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5625</xdr:colOff>
      <xdr:row>2</xdr:row>
      <xdr:rowOff>262800</xdr:rowOff>
    </xdr:to>
    <xdr:pic>
      <xdr:nvPicPr>
        <xdr:cNvPr id="140" name="Picture 139">
          <a:extLst>
            <a:ext uri="{FF2B5EF4-FFF2-40B4-BE49-F238E27FC236}">
              <a16:creationId xmlns:a16="http://schemas.microsoft.com/office/drawing/2014/main" id="{00000000-0008-0000-0300-00008C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6</xdr:col>
          <xdr:colOff>66675</xdr:colOff>
          <xdr:row>96</xdr:row>
          <xdr:rowOff>19050</xdr:rowOff>
        </xdr:from>
        <xdr:to>
          <xdr:col>6</xdr:col>
          <xdr:colOff>314325</xdr:colOff>
          <xdr:row>96</xdr:row>
          <xdr:rowOff>180975</xdr:rowOff>
        </xdr:to>
        <xdr:sp macro="" textlink="">
          <xdr:nvSpPr>
            <xdr:cNvPr id="18760" name="Check Box 328" hidden="1">
              <a:extLst>
                <a:ext uri="{63B3BB69-23CF-44E3-9099-C40C66FF867C}">
                  <a14:compatExt spid="_x0000_s18760"/>
                </a:ext>
                <a:ext uri="{FF2B5EF4-FFF2-40B4-BE49-F238E27FC236}">
                  <a16:creationId xmlns:a16="http://schemas.microsoft.com/office/drawing/2014/main" id="{00000000-0008-0000-0300-00004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34</xdr:row>
          <xdr:rowOff>9525</xdr:rowOff>
        </xdr:from>
        <xdr:to>
          <xdr:col>6</xdr:col>
          <xdr:colOff>323850</xdr:colOff>
          <xdr:row>34</xdr:row>
          <xdr:rowOff>190500</xdr:rowOff>
        </xdr:to>
        <xdr:sp macro="" textlink="">
          <xdr:nvSpPr>
            <xdr:cNvPr id="18935" name="Check Box 503" hidden="1">
              <a:extLst>
                <a:ext uri="{63B3BB69-23CF-44E3-9099-C40C66FF867C}">
                  <a14:compatExt spid="_x0000_s18935"/>
                </a:ext>
                <a:ext uri="{FF2B5EF4-FFF2-40B4-BE49-F238E27FC236}">
                  <a16:creationId xmlns:a16="http://schemas.microsoft.com/office/drawing/2014/main" id="{00000000-0008-0000-0300-0000F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19050</xdr:rowOff>
        </xdr:from>
        <xdr:to>
          <xdr:col>6</xdr:col>
          <xdr:colOff>323850</xdr:colOff>
          <xdr:row>50</xdr:row>
          <xdr:rowOff>180975</xdr:rowOff>
        </xdr:to>
        <xdr:sp macro="" textlink="">
          <xdr:nvSpPr>
            <xdr:cNvPr id="18961" name="Check Box 529" hidden="1">
              <a:extLst>
                <a:ext uri="{63B3BB69-23CF-44E3-9099-C40C66FF867C}">
                  <a14:compatExt spid="_x0000_s18961"/>
                </a:ext>
                <a:ext uri="{FF2B5EF4-FFF2-40B4-BE49-F238E27FC236}">
                  <a16:creationId xmlns:a16="http://schemas.microsoft.com/office/drawing/2014/main" id="{00000000-0008-0000-0300-00001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64</xdr:row>
          <xdr:rowOff>28575</xdr:rowOff>
        </xdr:from>
        <xdr:to>
          <xdr:col>6</xdr:col>
          <xdr:colOff>323850</xdr:colOff>
          <xdr:row>64</xdr:row>
          <xdr:rowOff>171450</xdr:rowOff>
        </xdr:to>
        <xdr:sp macro="" textlink="">
          <xdr:nvSpPr>
            <xdr:cNvPr id="18962" name="Check Box 530" hidden="1">
              <a:extLst>
                <a:ext uri="{63B3BB69-23CF-44E3-9099-C40C66FF867C}">
                  <a14:compatExt spid="_x0000_s18962"/>
                </a:ext>
                <a:ext uri="{FF2B5EF4-FFF2-40B4-BE49-F238E27FC236}">
                  <a16:creationId xmlns:a16="http://schemas.microsoft.com/office/drawing/2014/main" id="{00000000-0008-0000-0300-00001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116</xdr:row>
          <xdr:rowOff>19050</xdr:rowOff>
        </xdr:from>
        <xdr:to>
          <xdr:col>6</xdr:col>
          <xdr:colOff>323850</xdr:colOff>
          <xdr:row>117</xdr:row>
          <xdr:rowOff>19050</xdr:rowOff>
        </xdr:to>
        <xdr:sp macro="" textlink="">
          <xdr:nvSpPr>
            <xdr:cNvPr id="18965" name="Check Box 533" hidden="1">
              <a:extLst>
                <a:ext uri="{63B3BB69-23CF-44E3-9099-C40C66FF867C}">
                  <a14:compatExt spid="_x0000_s18965"/>
                </a:ext>
                <a:ext uri="{FF2B5EF4-FFF2-40B4-BE49-F238E27FC236}">
                  <a16:creationId xmlns:a16="http://schemas.microsoft.com/office/drawing/2014/main" id="{00000000-0008-0000-0300-00001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126</xdr:row>
          <xdr:rowOff>19050</xdr:rowOff>
        </xdr:from>
        <xdr:to>
          <xdr:col>6</xdr:col>
          <xdr:colOff>323850</xdr:colOff>
          <xdr:row>127</xdr:row>
          <xdr:rowOff>19050</xdr:rowOff>
        </xdr:to>
        <xdr:sp macro="" textlink="">
          <xdr:nvSpPr>
            <xdr:cNvPr id="18967" name="Check Box 535" hidden="1">
              <a:extLst>
                <a:ext uri="{63B3BB69-23CF-44E3-9099-C40C66FF867C}">
                  <a14:compatExt spid="_x0000_s18967"/>
                </a:ext>
                <a:ext uri="{FF2B5EF4-FFF2-40B4-BE49-F238E27FC236}">
                  <a16:creationId xmlns:a16="http://schemas.microsoft.com/office/drawing/2014/main" id="{00000000-0008-0000-0300-00001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138</xdr:row>
          <xdr:rowOff>28575</xdr:rowOff>
        </xdr:from>
        <xdr:to>
          <xdr:col>6</xdr:col>
          <xdr:colOff>323850</xdr:colOff>
          <xdr:row>138</xdr:row>
          <xdr:rowOff>190500</xdr:rowOff>
        </xdr:to>
        <xdr:sp macro="" textlink="">
          <xdr:nvSpPr>
            <xdr:cNvPr id="18969" name="Check Box 537" hidden="1">
              <a:extLst>
                <a:ext uri="{63B3BB69-23CF-44E3-9099-C40C66FF867C}">
                  <a14:compatExt spid="_x0000_s18969"/>
                </a:ext>
                <a:ext uri="{FF2B5EF4-FFF2-40B4-BE49-F238E27FC236}">
                  <a16:creationId xmlns:a16="http://schemas.microsoft.com/office/drawing/2014/main" id="{00000000-0008-0000-0300-00001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190</xdr:row>
          <xdr:rowOff>28575</xdr:rowOff>
        </xdr:from>
        <xdr:to>
          <xdr:col>6</xdr:col>
          <xdr:colOff>323850</xdr:colOff>
          <xdr:row>190</xdr:row>
          <xdr:rowOff>171450</xdr:rowOff>
        </xdr:to>
        <xdr:sp macro="" textlink="">
          <xdr:nvSpPr>
            <xdr:cNvPr id="18971" name="Check Box 539" hidden="1">
              <a:extLst>
                <a:ext uri="{63B3BB69-23CF-44E3-9099-C40C66FF867C}">
                  <a14:compatExt spid="_x0000_s18971"/>
                </a:ext>
                <a:ext uri="{FF2B5EF4-FFF2-40B4-BE49-F238E27FC236}">
                  <a16:creationId xmlns:a16="http://schemas.microsoft.com/office/drawing/2014/main" id="{00000000-0008-0000-0300-00001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204</xdr:row>
          <xdr:rowOff>38100</xdr:rowOff>
        </xdr:from>
        <xdr:to>
          <xdr:col>6</xdr:col>
          <xdr:colOff>323850</xdr:colOff>
          <xdr:row>204</xdr:row>
          <xdr:rowOff>180975</xdr:rowOff>
        </xdr:to>
        <xdr:sp macro="" textlink="">
          <xdr:nvSpPr>
            <xdr:cNvPr id="18972" name="Check Box 540" hidden="1">
              <a:extLst>
                <a:ext uri="{63B3BB69-23CF-44E3-9099-C40C66FF867C}">
                  <a14:compatExt spid="_x0000_s18972"/>
                </a:ext>
                <a:ext uri="{FF2B5EF4-FFF2-40B4-BE49-F238E27FC236}">
                  <a16:creationId xmlns:a16="http://schemas.microsoft.com/office/drawing/2014/main" id="{00000000-0008-0000-0300-00001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213</xdr:row>
          <xdr:rowOff>28575</xdr:rowOff>
        </xdr:from>
        <xdr:to>
          <xdr:col>6</xdr:col>
          <xdr:colOff>323850</xdr:colOff>
          <xdr:row>213</xdr:row>
          <xdr:rowOff>171450</xdr:rowOff>
        </xdr:to>
        <xdr:sp macro="" textlink="">
          <xdr:nvSpPr>
            <xdr:cNvPr id="18973" name="Check Box 541" hidden="1">
              <a:extLst>
                <a:ext uri="{63B3BB69-23CF-44E3-9099-C40C66FF867C}">
                  <a14:compatExt spid="_x0000_s18973"/>
                </a:ext>
                <a:ext uri="{FF2B5EF4-FFF2-40B4-BE49-F238E27FC236}">
                  <a16:creationId xmlns:a16="http://schemas.microsoft.com/office/drawing/2014/main" id="{00000000-0008-0000-0300-00001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80</xdr:row>
          <xdr:rowOff>19050</xdr:rowOff>
        </xdr:from>
        <xdr:to>
          <xdr:col>6</xdr:col>
          <xdr:colOff>323850</xdr:colOff>
          <xdr:row>80</xdr:row>
          <xdr:rowOff>180975</xdr:rowOff>
        </xdr:to>
        <xdr:sp macro="" textlink="">
          <xdr:nvSpPr>
            <xdr:cNvPr id="18974" name="Check Box 542" hidden="1">
              <a:extLst>
                <a:ext uri="{63B3BB69-23CF-44E3-9099-C40C66FF867C}">
                  <a14:compatExt spid="_x0000_s18974"/>
                </a:ext>
                <a:ext uri="{FF2B5EF4-FFF2-40B4-BE49-F238E27FC236}">
                  <a16:creationId xmlns:a16="http://schemas.microsoft.com/office/drawing/2014/main" id="{00000000-0008-0000-0300-00001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82</xdr:row>
          <xdr:rowOff>19050</xdr:rowOff>
        </xdr:from>
        <xdr:to>
          <xdr:col>6</xdr:col>
          <xdr:colOff>323850</xdr:colOff>
          <xdr:row>82</xdr:row>
          <xdr:rowOff>180975</xdr:rowOff>
        </xdr:to>
        <xdr:sp macro="" textlink="">
          <xdr:nvSpPr>
            <xdr:cNvPr id="45246" name="Check Box 1214" hidden="1">
              <a:extLst>
                <a:ext uri="{63B3BB69-23CF-44E3-9099-C40C66FF867C}">
                  <a14:compatExt spid="_x0000_s45246"/>
                </a:ext>
                <a:ext uri="{FF2B5EF4-FFF2-40B4-BE49-F238E27FC236}">
                  <a16:creationId xmlns:a16="http://schemas.microsoft.com/office/drawing/2014/main" id="{00000000-0008-0000-0300-0000B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82</xdr:row>
          <xdr:rowOff>19050</xdr:rowOff>
        </xdr:from>
        <xdr:to>
          <xdr:col>6</xdr:col>
          <xdr:colOff>323850</xdr:colOff>
          <xdr:row>82</xdr:row>
          <xdr:rowOff>180975</xdr:rowOff>
        </xdr:to>
        <xdr:sp macro="" textlink="">
          <xdr:nvSpPr>
            <xdr:cNvPr id="45247" name="Check Box 1215" hidden="1">
              <a:extLst>
                <a:ext uri="{63B3BB69-23CF-44E3-9099-C40C66FF867C}">
                  <a14:compatExt spid="_x0000_s45247"/>
                </a:ext>
                <a:ext uri="{FF2B5EF4-FFF2-40B4-BE49-F238E27FC236}">
                  <a16:creationId xmlns:a16="http://schemas.microsoft.com/office/drawing/2014/main" id="{00000000-0008-0000-0300-0000B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81</xdr:row>
          <xdr:rowOff>19050</xdr:rowOff>
        </xdr:from>
        <xdr:to>
          <xdr:col>6</xdr:col>
          <xdr:colOff>323850</xdr:colOff>
          <xdr:row>81</xdr:row>
          <xdr:rowOff>180975</xdr:rowOff>
        </xdr:to>
        <xdr:sp macro="" textlink="">
          <xdr:nvSpPr>
            <xdr:cNvPr id="45248" name="Check Box 1216" hidden="1">
              <a:extLst>
                <a:ext uri="{63B3BB69-23CF-44E3-9099-C40C66FF867C}">
                  <a14:compatExt spid="_x0000_s45248"/>
                </a:ext>
                <a:ext uri="{FF2B5EF4-FFF2-40B4-BE49-F238E27FC236}">
                  <a16:creationId xmlns:a16="http://schemas.microsoft.com/office/drawing/2014/main" id="{00000000-0008-0000-0300-0000C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81</xdr:row>
          <xdr:rowOff>19050</xdr:rowOff>
        </xdr:from>
        <xdr:to>
          <xdr:col>6</xdr:col>
          <xdr:colOff>323850</xdr:colOff>
          <xdr:row>81</xdr:row>
          <xdr:rowOff>180975</xdr:rowOff>
        </xdr:to>
        <xdr:sp macro="" textlink="">
          <xdr:nvSpPr>
            <xdr:cNvPr id="45249" name="Check Box 1217" hidden="1">
              <a:extLst>
                <a:ext uri="{63B3BB69-23CF-44E3-9099-C40C66FF867C}">
                  <a14:compatExt spid="_x0000_s45249"/>
                </a:ext>
                <a:ext uri="{FF2B5EF4-FFF2-40B4-BE49-F238E27FC236}">
                  <a16:creationId xmlns:a16="http://schemas.microsoft.com/office/drawing/2014/main" id="{00000000-0008-0000-0300-0000C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114</xdr:row>
          <xdr:rowOff>19050</xdr:rowOff>
        </xdr:from>
        <xdr:to>
          <xdr:col>6</xdr:col>
          <xdr:colOff>323850</xdr:colOff>
          <xdr:row>114</xdr:row>
          <xdr:rowOff>180975</xdr:rowOff>
        </xdr:to>
        <xdr:sp macro="" textlink="">
          <xdr:nvSpPr>
            <xdr:cNvPr id="45250" name="Check Box 1218" hidden="1">
              <a:extLst>
                <a:ext uri="{63B3BB69-23CF-44E3-9099-C40C66FF867C}">
                  <a14:compatExt spid="_x0000_s45250"/>
                </a:ext>
                <a:ext uri="{FF2B5EF4-FFF2-40B4-BE49-F238E27FC236}">
                  <a16:creationId xmlns:a16="http://schemas.microsoft.com/office/drawing/2014/main" id="{00000000-0008-0000-0300-0000C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114</xdr:row>
          <xdr:rowOff>19050</xdr:rowOff>
        </xdr:from>
        <xdr:to>
          <xdr:col>6</xdr:col>
          <xdr:colOff>323850</xdr:colOff>
          <xdr:row>114</xdr:row>
          <xdr:rowOff>180975</xdr:rowOff>
        </xdr:to>
        <xdr:sp macro="" textlink="">
          <xdr:nvSpPr>
            <xdr:cNvPr id="45251" name="Check Box 1219" hidden="1">
              <a:extLst>
                <a:ext uri="{63B3BB69-23CF-44E3-9099-C40C66FF867C}">
                  <a14:compatExt spid="_x0000_s45251"/>
                </a:ext>
                <a:ext uri="{FF2B5EF4-FFF2-40B4-BE49-F238E27FC236}">
                  <a16:creationId xmlns:a16="http://schemas.microsoft.com/office/drawing/2014/main" id="{00000000-0008-0000-0300-0000C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19050</xdr:rowOff>
        </xdr:from>
        <xdr:to>
          <xdr:col>6</xdr:col>
          <xdr:colOff>323850</xdr:colOff>
          <xdr:row>106</xdr:row>
          <xdr:rowOff>180975</xdr:rowOff>
        </xdr:to>
        <xdr:sp macro="" textlink="">
          <xdr:nvSpPr>
            <xdr:cNvPr id="45252" name="Check Box 1220" hidden="1">
              <a:extLst>
                <a:ext uri="{63B3BB69-23CF-44E3-9099-C40C66FF867C}">
                  <a14:compatExt spid="_x0000_s45252"/>
                </a:ext>
                <a:ext uri="{FF2B5EF4-FFF2-40B4-BE49-F238E27FC236}">
                  <a16:creationId xmlns:a16="http://schemas.microsoft.com/office/drawing/2014/main" id="{00000000-0008-0000-0300-0000C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106</xdr:row>
          <xdr:rowOff>19050</xdr:rowOff>
        </xdr:from>
        <xdr:to>
          <xdr:col>6</xdr:col>
          <xdr:colOff>323850</xdr:colOff>
          <xdr:row>106</xdr:row>
          <xdr:rowOff>180975</xdr:rowOff>
        </xdr:to>
        <xdr:sp macro="" textlink="">
          <xdr:nvSpPr>
            <xdr:cNvPr id="45253" name="Check Box 1221" hidden="1">
              <a:extLst>
                <a:ext uri="{63B3BB69-23CF-44E3-9099-C40C66FF867C}">
                  <a14:compatExt spid="_x0000_s45253"/>
                </a:ext>
                <a:ext uri="{FF2B5EF4-FFF2-40B4-BE49-F238E27FC236}">
                  <a16:creationId xmlns:a16="http://schemas.microsoft.com/office/drawing/2014/main" id="{00000000-0008-0000-0300-0000C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125</xdr:row>
          <xdr:rowOff>19050</xdr:rowOff>
        </xdr:from>
        <xdr:to>
          <xdr:col>6</xdr:col>
          <xdr:colOff>323850</xdr:colOff>
          <xdr:row>125</xdr:row>
          <xdr:rowOff>180975</xdr:rowOff>
        </xdr:to>
        <xdr:sp macro="" textlink="">
          <xdr:nvSpPr>
            <xdr:cNvPr id="45254" name="Check Box 1222" hidden="1">
              <a:extLst>
                <a:ext uri="{63B3BB69-23CF-44E3-9099-C40C66FF867C}">
                  <a14:compatExt spid="_x0000_s45254"/>
                </a:ext>
                <a:ext uri="{FF2B5EF4-FFF2-40B4-BE49-F238E27FC236}">
                  <a16:creationId xmlns:a16="http://schemas.microsoft.com/office/drawing/2014/main" id="{00000000-0008-0000-0300-0000C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125</xdr:row>
          <xdr:rowOff>19050</xdr:rowOff>
        </xdr:from>
        <xdr:to>
          <xdr:col>6</xdr:col>
          <xdr:colOff>323850</xdr:colOff>
          <xdr:row>125</xdr:row>
          <xdr:rowOff>180975</xdr:rowOff>
        </xdr:to>
        <xdr:sp macro="" textlink="">
          <xdr:nvSpPr>
            <xdr:cNvPr id="45255" name="Check Box 1223" hidden="1">
              <a:extLst>
                <a:ext uri="{63B3BB69-23CF-44E3-9099-C40C66FF867C}">
                  <a14:compatExt spid="_x0000_s45255"/>
                </a:ext>
                <a:ext uri="{FF2B5EF4-FFF2-40B4-BE49-F238E27FC236}">
                  <a16:creationId xmlns:a16="http://schemas.microsoft.com/office/drawing/2014/main" id="{00000000-0008-0000-0300-0000C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135</xdr:row>
          <xdr:rowOff>19050</xdr:rowOff>
        </xdr:from>
        <xdr:to>
          <xdr:col>6</xdr:col>
          <xdr:colOff>323850</xdr:colOff>
          <xdr:row>135</xdr:row>
          <xdr:rowOff>180975</xdr:rowOff>
        </xdr:to>
        <xdr:sp macro="" textlink="">
          <xdr:nvSpPr>
            <xdr:cNvPr id="45256" name="Check Box 1224" hidden="1">
              <a:extLst>
                <a:ext uri="{63B3BB69-23CF-44E3-9099-C40C66FF867C}">
                  <a14:compatExt spid="_x0000_s45256"/>
                </a:ext>
                <a:ext uri="{FF2B5EF4-FFF2-40B4-BE49-F238E27FC236}">
                  <a16:creationId xmlns:a16="http://schemas.microsoft.com/office/drawing/2014/main" id="{00000000-0008-0000-0300-0000C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135</xdr:row>
          <xdr:rowOff>19050</xdr:rowOff>
        </xdr:from>
        <xdr:to>
          <xdr:col>6</xdr:col>
          <xdr:colOff>323850</xdr:colOff>
          <xdr:row>135</xdr:row>
          <xdr:rowOff>180975</xdr:rowOff>
        </xdr:to>
        <xdr:sp macro="" textlink="">
          <xdr:nvSpPr>
            <xdr:cNvPr id="45257" name="Check Box 1225" hidden="1">
              <a:extLst>
                <a:ext uri="{63B3BB69-23CF-44E3-9099-C40C66FF867C}">
                  <a14:compatExt spid="_x0000_s45257"/>
                </a:ext>
                <a:ext uri="{FF2B5EF4-FFF2-40B4-BE49-F238E27FC236}">
                  <a16:creationId xmlns:a16="http://schemas.microsoft.com/office/drawing/2014/main" id="{00000000-0008-0000-0300-0000C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147</xdr:row>
          <xdr:rowOff>19050</xdr:rowOff>
        </xdr:from>
        <xdr:to>
          <xdr:col>6</xdr:col>
          <xdr:colOff>323850</xdr:colOff>
          <xdr:row>147</xdr:row>
          <xdr:rowOff>180975</xdr:rowOff>
        </xdr:to>
        <xdr:sp macro="" textlink="">
          <xdr:nvSpPr>
            <xdr:cNvPr id="45258" name="Check Box 1226" hidden="1">
              <a:extLst>
                <a:ext uri="{63B3BB69-23CF-44E3-9099-C40C66FF867C}">
                  <a14:compatExt spid="_x0000_s45258"/>
                </a:ext>
                <a:ext uri="{FF2B5EF4-FFF2-40B4-BE49-F238E27FC236}">
                  <a16:creationId xmlns:a16="http://schemas.microsoft.com/office/drawing/2014/main" id="{00000000-0008-0000-0300-0000C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147</xdr:row>
          <xdr:rowOff>19050</xdr:rowOff>
        </xdr:from>
        <xdr:to>
          <xdr:col>6</xdr:col>
          <xdr:colOff>323850</xdr:colOff>
          <xdr:row>147</xdr:row>
          <xdr:rowOff>180975</xdr:rowOff>
        </xdr:to>
        <xdr:sp macro="" textlink="">
          <xdr:nvSpPr>
            <xdr:cNvPr id="45259" name="Check Box 1227" hidden="1">
              <a:extLst>
                <a:ext uri="{63B3BB69-23CF-44E3-9099-C40C66FF867C}">
                  <a14:compatExt spid="_x0000_s45259"/>
                </a:ext>
                <a:ext uri="{FF2B5EF4-FFF2-40B4-BE49-F238E27FC236}">
                  <a16:creationId xmlns:a16="http://schemas.microsoft.com/office/drawing/2014/main" id="{00000000-0008-0000-0300-0000C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164</xdr:row>
          <xdr:rowOff>19050</xdr:rowOff>
        </xdr:from>
        <xdr:to>
          <xdr:col>6</xdr:col>
          <xdr:colOff>323850</xdr:colOff>
          <xdr:row>164</xdr:row>
          <xdr:rowOff>180975</xdr:rowOff>
        </xdr:to>
        <xdr:sp macro="" textlink="">
          <xdr:nvSpPr>
            <xdr:cNvPr id="45260" name="Check Box 1228" hidden="1">
              <a:extLst>
                <a:ext uri="{63B3BB69-23CF-44E3-9099-C40C66FF867C}">
                  <a14:compatExt spid="_x0000_s45260"/>
                </a:ext>
                <a:ext uri="{FF2B5EF4-FFF2-40B4-BE49-F238E27FC236}">
                  <a16:creationId xmlns:a16="http://schemas.microsoft.com/office/drawing/2014/main" id="{00000000-0008-0000-0300-0000C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164</xdr:row>
          <xdr:rowOff>19050</xdr:rowOff>
        </xdr:from>
        <xdr:to>
          <xdr:col>6</xdr:col>
          <xdr:colOff>323850</xdr:colOff>
          <xdr:row>164</xdr:row>
          <xdr:rowOff>180975</xdr:rowOff>
        </xdr:to>
        <xdr:sp macro="" textlink="">
          <xdr:nvSpPr>
            <xdr:cNvPr id="45261" name="Check Box 1229" hidden="1">
              <a:extLst>
                <a:ext uri="{63B3BB69-23CF-44E3-9099-C40C66FF867C}">
                  <a14:compatExt spid="_x0000_s45261"/>
                </a:ext>
                <a:ext uri="{FF2B5EF4-FFF2-40B4-BE49-F238E27FC236}">
                  <a16:creationId xmlns:a16="http://schemas.microsoft.com/office/drawing/2014/main" id="{00000000-0008-0000-0300-0000C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181</xdr:row>
          <xdr:rowOff>19050</xdr:rowOff>
        </xdr:from>
        <xdr:to>
          <xdr:col>6</xdr:col>
          <xdr:colOff>323850</xdr:colOff>
          <xdr:row>181</xdr:row>
          <xdr:rowOff>180975</xdr:rowOff>
        </xdr:to>
        <xdr:sp macro="" textlink="">
          <xdr:nvSpPr>
            <xdr:cNvPr id="45262" name="Check Box 1230" hidden="1">
              <a:extLst>
                <a:ext uri="{63B3BB69-23CF-44E3-9099-C40C66FF867C}">
                  <a14:compatExt spid="_x0000_s45262"/>
                </a:ext>
                <a:ext uri="{FF2B5EF4-FFF2-40B4-BE49-F238E27FC236}">
                  <a16:creationId xmlns:a16="http://schemas.microsoft.com/office/drawing/2014/main" id="{00000000-0008-0000-0300-0000C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181</xdr:row>
          <xdr:rowOff>19050</xdr:rowOff>
        </xdr:from>
        <xdr:to>
          <xdr:col>6</xdr:col>
          <xdr:colOff>323850</xdr:colOff>
          <xdr:row>181</xdr:row>
          <xdr:rowOff>180975</xdr:rowOff>
        </xdr:to>
        <xdr:sp macro="" textlink="">
          <xdr:nvSpPr>
            <xdr:cNvPr id="45263" name="Check Box 1231" hidden="1">
              <a:extLst>
                <a:ext uri="{63B3BB69-23CF-44E3-9099-C40C66FF867C}">
                  <a14:compatExt spid="_x0000_s45263"/>
                </a:ext>
                <a:ext uri="{FF2B5EF4-FFF2-40B4-BE49-F238E27FC236}">
                  <a16:creationId xmlns:a16="http://schemas.microsoft.com/office/drawing/2014/main" id="{00000000-0008-0000-0300-0000C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5625</xdr:colOff>
      <xdr:row>2</xdr:row>
      <xdr:rowOff>262800</xdr:rowOff>
    </xdr:to>
    <xdr:pic>
      <xdr:nvPicPr>
        <xdr:cNvPr id="2" name="Picture 1">
          <a:extLst>
            <a:ext uri="{FF2B5EF4-FFF2-40B4-BE49-F238E27FC236}">
              <a16:creationId xmlns:a16="http://schemas.microsoft.com/office/drawing/2014/main" id="{00000000-0008-0000-0400-000002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5625</xdr:colOff>
      <xdr:row>3</xdr:row>
      <xdr:rowOff>24675</xdr:rowOff>
    </xdr:to>
    <xdr:pic>
      <xdr:nvPicPr>
        <xdr:cNvPr id="2" name="Picture 1">
          <a:extLst>
            <a:ext uri="{FF2B5EF4-FFF2-40B4-BE49-F238E27FC236}">
              <a16:creationId xmlns:a16="http://schemas.microsoft.com/office/drawing/2014/main" id="{00000000-0008-0000-0500-000002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0"/>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ZAPS">
      <a:majorFont>
        <a:latin typeface="Vectrex"/>
        <a:ea typeface=""/>
        <a:cs typeface=""/>
      </a:majorFont>
      <a:minorFont>
        <a:latin typeface="Inter"/>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ps.si/poklicna-praksa/sklepanje-poslov/ponudba-pogodba/" TargetMode="External"/><Relationship Id="rId1" Type="http://schemas.openxmlformats.org/officeDocument/2006/relationships/hyperlink" Target="https://zaps.si/poklicna-praksa/standard-zaps/standard-zaps-splosno-o-standard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21" Type="http://schemas.openxmlformats.org/officeDocument/2006/relationships/ctrlProp" Target="../ctrlProps/ctrlProp56.xml"/><Relationship Id="rId34" Type="http://schemas.openxmlformats.org/officeDocument/2006/relationships/ctrlProp" Target="../ctrlProps/ctrlProp69.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 Id="rId2" Type="http://schemas.openxmlformats.org/officeDocument/2006/relationships/drawing" Target="../drawings/drawing3.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1" Type="http://schemas.openxmlformats.org/officeDocument/2006/relationships/printerSettings" Target="../printerSettings/printerSettings3.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 Id="rId8" Type="http://schemas.openxmlformats.org/officeDocument/2006/relationships/ctrlProp" Target="../ctrlProps/ctrlProp43.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F0"/>
    <pageSetUpPr fitToPage="1"/>
  </sheetPr>
  <dimension ref="A1:J109"/>
  <sheetViews>
    <sheetView tabSelected="1" workbookViewId="0">
      <selection activeCell="B8" sqref="B8"/>
    </sheetView>
    <sheetView tabSelected="1" topLeftCell="A89" workbookViewId="1">
      <selection activeCell="B110" sqref="B110"/>
    </sheetView>
  </sheetViews>
  <sheetFormatPr defaultColWidth="9.140625" defaultRowHeight="12.75"/>
  <cols>
    <col min="1" max="1" width="11.28515625" style="28" customWidth="1"/>
    <col min="2" max="2" width="102" style="24" customWidth="1"/>
    <col min="3" max="3" width="11.85546875" style="29" customWidth="1"/>
    <col min="4" max="4" width="69.7109375" style="24" customWidth="1"/>
    <col min="5" max="5" width="11.5703125" style="24" customWidth="1"/>
    <col min="6" max="6" width="14.85546875" style="24" customWidth="1"/>
    <col min="7" max="8" width="9.140625" style="24"/>
    <col min="9" max="9" width="11.85546875" style="24" customWidth="1"/>
    <col min="10" max="11" width="9.140625" style="24"/>
    <col min="12" max="12" width="18.7109375" style="24" customWidth="1"/>
    <col min="13" max="13" width="9.140625" style="24"/>
    <col min="14" max="14" width="27.5703125" style="24" customWidth="1"/>
    <col min="15" max="15" width="13.7109375" style="24" customWidth="1"/>
    <col min="16" max="16384" width="9.140625" style="24"/>
  </cols>
  <sheetData>
    <row r="1" spans="1:10" s="12" customFormat="1" ht="24" customHeight="1"/>
    <row r="2" spans="1:10" s="13" customFormat="1" ht="11.25" customHeight="1"/>
    <row r="3" spans="1:10" s="12" customFormat="1" ht="23.25">
      <c r="A3" s="13"/>
      <c r="B3" s="1264" t="str">
        <f>'OSNOVNI PODATKI'!B3</f>
        <v>ARHIGRAM 6</v>
      </c>
      <c r="C3" s="13"/>
      <c r="D3" s="13"/>
      <c r="E3" s="13"/>
      <c r="F3" s="13"/>
      <c r="G3" s="13"/>
      <c r="H3" s="13"/>
      <c r="I3" s="14"/>
      <c r="J3" s="14"/>
    </row>
    <row r="4" spans="1:10" s="14" customFormat="1" ht="25.5">
      <c r="A4" s="37"/>
      <c r="B4" s="220" t="str">
        <f>'OSNOVNI PODATKI'!B4</f>
        <v>Vrednotenje storitev na področju arhitekturnega 
in krajinskoarhitekturnega projektiranja</v>
      </c>
    </row>
    <row r="5" spans="1:10" s="14" customFormat="1" ht="15.75">
      <c r="A5" s="36" t="str">
        <f>'OSNOVNI PODATKI'!$A$5</f>
        <v>V 6.17</v>
      </c>
      <c r="B5" s="306" t="str">
        <f>'OSNOVNI PODATKI'!$B$5</f>
        <v>september 2026</v>
      </c>
    </row>
    <row r="6" spans="1:10" s="12" customFormat="1">
      <c r="A6" s="468"/>
      <c r="B6" s="220"/>
    </row>
    <row r="7" spans="1:10" s="14" customFormat="1" ht="26.25">
      <c r="A7" s="1" t="s">
        <v>189</v>
      </c>
      <c r="B7" s="221"/>
      <c r="C7" s="221"/>
      <c r="D7" s="221"/>
      <c r="E7" s="327"/>
      <c r="F7" s="221"/>
    </row>
    <row r="8" spans="1:10" s="14" customFormat="1" ht="15.75">
      <c r="A8" s="37"/>
      <c r="B8" s="744"/>
      <c r="C8" s="220"/>
      <c r="D8" s="220"/>
      <c r="E8" s="220"/>
      <c r="F8" s="220"/>
    </row>
    <row r="9" spans="1:10" s="14" customFormat="1" ht="51">
      <c r="A9" s="37"/>
      <c r="B9" s="744" t="s">
        <v>1174</v>
      </c>
      <c r="C9" s="220"/>
      <c r="D9" s="220"/>
      <c r="E9" s="220"/>
      <c r="F9" s="220"/>
    </row>
    <row r="10" spans="1:10" s="14" customFormat="1" ht="15.75">
      <c r="A10" s="37"/>
      <c r="B10" s="744"/>
      <c r="C10" s="220"/>
      <c r="D10" s="220"/>
      <c r="E10" s="220"/>
      <c r="F10" s="220"/>
    </row>
    <row r="11" spans="1:10" s="14" customFormat="1" ht="38.25">
      <c r="B11" s="744" t="s">
        <v>962</v>
      </c>
      <c r="C11" s="220"/>
      <c r="D11" s="220"/>
      <c r="E11" s="220"/>
      <c r="F11" s="220"/>
    </row>
    <row r="12" spans="1:10" s="14" customFormat="1" ht="15.75">
      <c r="B12" s="744"/>
      <c r="C12" s="220"/>
      <c r="D12" s="220"/>
      <c r="E12" s="220"/>
      <c r="F12" s="220"/>
    </row>
    <row r="13" spans="1:10" s="14" customFormat="1" ht="25.5">
      <c r="B13" s="744" t="s">
        <v>961</v>
      </c>
      <c r="C13" s="220"/>
      <c r="D13" s="220"/>
      <c r="E13" s="220"/>
      <c r="F13" s="220"/>
    </row>
    <row r="14" spans="1:10" s="14" customFormat="1" ht="15.75">
      <c r="B14" s="744"/>
      <c r="C14" s="220"/>
      <c r="D14" s="220"/>
      <c r="E14" s="220"/>
      <c r="F14" s="220"/>
    </row>
    <row r="15" spans="1:10" s="14" customFormat="1" ht="51">
      <c r="B15" s="744" t="s">
        <v>1175</v>
      </c>
      <c r="C15" s="220"/>
      <c r="D15" s="220"/>
      <c r="E15" s="220"/>
      <c r="F15" s="220"/>
    </row>
    <row r="16" spans="1:10" s="14" customFormat="1" ht="15.75">
      <c r="B16" s="744"/>
      <c r="C16" s="220"/>
      <c r="D16" s="220"/>
      <c r="E16" s="220"/>
      <c r="F16" s="220"/>
    </row>
    <row r="17" spans="1:6" s="14" customFormat="1" ht="51">
      <c r="B17" s="744" t="s">
        <v>1176</v>
      </c>
      <c r="C17" s="220"/>
      <c r="D17" s="220"/>
      <c r="E17" s="220"/>
      <c r="F17" s="220"/>
    </row>
    <row r="18" spans="1:6" s="14" customFormat="1" ht="15.75">
      <c r="B18" s="744"/>
      <c r="C18" s="220"/>
      <c r="D18" s="220"/>
      <c r="E18" s="220"/>
      <c r="F18" s="220"/>
    </row>
    <row r="19" spans="1:6" s="14" customFormat="1" ht="38.25">
      <c r="B19" s="744" t="s">
        <v>1177</v>
      </c>
      <c r="C19" s="220"/>
      <c r="D19" s="220"/>
      <c r="E19" s="220"/>
      <c r="F19" s="220"/>
    </row>
    <row r="20" spans="1:6" s="14" customFormat="1" ht="15.75">
      <c r="B20" s="744"/>
      <c r="C20" s="220"/>
      <c r="D20" s="220"/>
      <c r="E20" s="220"/>
      <c r="F20" s="220"/>
    </row>
    <row r="21" spans="1:6" s="14" customFormat="1" ht="76.5">
      <c r="B21" s="744" t="s">
        <v>1081</v>
      </c>
      <c r="C21" s="220"/>
      <c r="D21" s="220"/>
      <c r="E21" s="220"/>
      <c r="F21" s="220"/>
    </row>
    <row r="22" spans="1:6" s="14" customFormat="1" ht="15.75">
      <c r="B22" s="744"/>
      <c r="C22" s="220"/>
      <c r="D22" s="220"/>
      <c r="E22" s="220"/>
      <c r="F22" s="220"/>
    </row>
    <row r="23" spans="1:6" s="14" customFormat="1" ht="26.25">
      <c r="A23" s="1" t="s">
        <v>980</v>
      </c>
      <c r="B23" s="221"/>
      <c r="C23" s="221"/>
      <c r="D23" s="221"/>
      <c r="E23" s="327"/>
      <c r="F23" s="221"/>
    </row>
    <row r="24" spans="1:6" s="14" customFormat="1" ht="15.75">
      <c r="A24" s="37"/>
      <c r="B24" s="744"/>
      <c r="C24" s="220"/>
      <c r="D24" s="220"/>
      <c r="E24" s="220"/>
      <c r="F24" s="220"/>
    </row>
    <row r="25" spans="1:6" s="14" customFormat="1" ht="25.5">
      <c r="B25" s="744" t="s">
        <v>981</v>
      </c>
      <c r="C25" s="220"/>
      <c r="D25" s="220"/>
      <c r="E25" s="220"/>
      <c r="F25" s="220"/>
    </row>
    <row r="26" spans="1:6" s="14" customFormat="1" ht="15.75">
      <c r="B26" s="744"/>
      <c r="C26" s="220"/>
      <c r="D26" s="220"/>
      <c r="E26" s="220"/>
      <c r="F26" s="220"/>
    </row>
    <row r="27" spans="1:6" s="14" customFormat="1" ht="38.25">
      <c r="B27" s="744" t="s">
        <v>1082</v>
      </c>
      <c r="C27" s="220"/>
      <c r="D27" s="220"/>
      <c r="E27" s="220"/>
      <c r="F27" s="220"/>
    </row>
    <row r="28" spans="1:6" s="14" customFormat="1" ht="15.75">
      <c r="B28" s="744"/>
      <c r="C28" s="220"/>
      <c r="D28" s="220"/>
      <c r="E28" s="220"/>
      <c r="F28" s="220"/>
    </row>
    <row r="29" spans="1:6" s="14" customFormat="1" ht="51">
      <c r="A29" s="59"/>
      <c r="B29" s="744" t="s">
        <v>982</v>
      </c>
      <c r="C29" s="220"/>
      <c r="D29" s="220"/>
      <c r="E29" s="220"/>
      <c r="F29" s="220"/>
    </row>
    <row r="30" spans="1:6" s="14" customFormat="1" ht="15.75">
      <c r="B30" s="744"/>
      <c r="C30" s="220"/>
      <c r="D30" s="220"/>
      <c r="E30" s="220"/>
      <c r="F30" s="220"/>
    </row>
    <row r="31" spans="1:6" s="14" customFormat="1" ht="38.25">
      <c r="B31" s="744" t="s">
        <v>983</v>
      </c>
      <c r="C31" s="220"/>
      <c r="D31" s="220"/>
      <c r="E31" s="220"/>
      <c r="F31" s="220"/>
    </row>
    <row r="32" spans="1:6" s="14" customFormat="1" ht="15.75">
      <c r="B32" s="744"/>
      <c r="C32" s="220"/>
      <c r="D32" s="220"/>
      <c r="E32" s="220"/>
      <c r="F32" s="220"/>
    </row>
    <row r="33" spans="1:9" s="14" customFormat="1" ht="26.25">
      <c r="A33" s="1" t="s">
        <v>989</v>
      </c>
      <c r="B33" s="221"/>
      <c r="C33" s="221"/>
      <c r="D33" s="221"/>
      <c r="E33" s="327"/>
      <c r="F33" s="221"/>
    </row>
    <row r="34" spans="1:9" s="14" customFormat="1" ht="15.75">
      <c r="A34" s="37"/>
      <c r="B34" s="744"/>
      <c r="C34" s="220"/>
      <c r="D34" s="220"/>
      <c r="E34" s="220"/>
      <c r="F34" s="220"/>
    </row>
    <row r="35" spans="1:9" s="14" customFormat="1" ht="51">
      <c r="B35" s="744" t="s">
        <v>990</v>
      </c>
      <c r="C35" s="220"/>
      <c r="D35" s="220"/>
      <c r="E35" s="220"/>
      <c r="F35" s="220"/>
    </row>
    <row r="36" spans="1:9" s="14" customFormat="1" ht="15.75">
      <c r="B36" s="744"/>
      <c r="C36" s="220"/>
      <c r="D36" s="220"/>
      <c r="E36" s="220"/>
      <c r="F36" s="220"/>
    </row>
    <row r="37" spans="1:9" s="14" customFormat="1" ht="51">
      <c r="B37" s="744" t="s">
        <v>1084</v>
      </c>
      <c r="C37" s="220"/>
      <c r="D37" s="220"/>
      <c r="E37" s="220"/>
      <c r="F37" s="220"/>
    </row>
    <row r="38" spans="1:9" s="14" customFormat="1" ht="15.75">
      <c r="B38" s="744"/>
      <c r="C38" s="220"/>
      <c r="D38" s="220"/>
      <c r="E38" s="220"/>
      <c r="F38" s="220"/>
    </row>
    <row r="39" spans="1:9" s="8" customFormat="1" ht="22.5" customHeight="1">
      <c r="A39" s="1304" t="s">
        <v>1083</v>
      </c>
      <c r="B39" s="840"/>
      <c r="C39" s="841"/>
      <c r="D39" s="840"/>
      <c r="E39" s="840"/>
      <c r="F39" s="840"/>
      <c r="G39" s="840"/>
      <c r="H39" s="837"/>
    </row>
    <row r="40" spans="1:9" s="8" customFormat="1" ht="39">
      <c r="B40" s="212" t="s">
        <v>1076</v>
      </c>
      <c r="C40" s="1305"/>
      <c r="D40" s="1305"/>
      <c r="E40" s="1305"/>
      <c r="F40" s="1305"/>
      <c r="G40" s="1305"/>
      <c r="H40" s="1305"/>
      <c r="I40" s="1305"/>
    </row>
    <row r="41" spans="1:9" s="8" customFormat="1" ht="26.25">
      <c r="B41" s="1306" t="s">
        <v>977</v>
      </c>
      <c r="C41" s="841"/>
      <c r="D41" s="840"/>
      <c r="E41" s="840"/>
      <c r="F41" s="840"/>
      <c r="G41" s="840"/>
      <c r="H41" s="837"/>
    </row>
    <row r="42" spans="1:9" s="8" customFormat="1" ht="26.25">
      <c r="B42" s="1306" t="s">
        <v>974</v>
      </c>
      <c r="C42" s="841"/>
      <c r="D42" s="840"/>
      <c r="E42" s="840"/>
      <c r="F42" s="840"/>
      <c r="G42" s="840"/>
      <c r="H42" s="837"/>
    </row>
    <row r="43" spans="1:9" s="8" customFormat="1" ht="26.25">
      <c r="B43" s="1306" t="s">
        <v>975</v>
      </c>
      <c r="C43" s="841"/>
      <c r="D43" s="840"/>
      <c r="E43" s="840"/>
      <c r="F43" s="840"/>
      <c r="G43" s="840"/>
      <c r="H43" s="837"/>
    </row>
    <row r="44" spans="1:9" s="8" customFormat="1" ht="26.25">
      <c r="B44" s="1306" t="s">
        <v>976</v>
      </c>
      <c r="C44" s="841"/>
      <c r="D44" s="840"/>
      <c r="E44" s="840"/>
      <c r="F44" s="840"/>
      <c r="G44" s="840"/>
      <c r="H44" s="837"/>
    </row>
    <row r="45" spans="1:9" s="8" customFormat="1" ht="26.25">
      <c r="B45" s="1306" t="s">
        <v>978</v>
      </c>
      <c r="C45" s="838"/>
      <c r="D45" s="837"/>
      <c r="E45" s="837"/>
      <c r="F45" s="837"/>
      <c r="G45" s="837"/>
      <c r="H45" s="837"/>
    </row>
    <row r="46" spans="1:9" s="8" customFormat="1" ht="26.25">
      <c r="B46" s="1307" t="s">
        <v>1063</v>
      </c>
      <c r="C46" s="838"/>
      <c r="D46" s="837"/>
      <c r="E46" s="837"/>
      <c r="F46" s="837"/>
      <c r="G46" s="837"/>
      <c r="H46" s="837"/>
    </row>
    <row r="47" spans="1:9" s="14" customFormat="1" ht="15.75">
      <c r="B47" s="744"/>
      <c r="C47" s="220"/>
      <c r="D47" s="220"/>
      <c r="E47" s="220"/>
      <c r="F47" s="220"/>
    </row>
    <row r="48" spans="1:9" s="14" customFormat="1" ht="15.75">
      <c r="A48" s="59"/>
      <c r="B48" s="744" t="s">
        <v>937</v>
      </c>
      <c r="C48" s="220"/>
      <c r="D48" s="220"/>
      <c r="E48" s="220"/>
      <c r="F48" s="220"/>
    </row>
    <row r="49" spans="1:6" s="14" customFormat="1" ht="15.75">
      <c r="A49" s="59"/>
      <c r="B49" s="746" t="s">
        <v>901</v>
      </c>
      <c r="C49" s="220"/>
      <c r="D49" s="220"/>
      <c r="E49" s="220"/>
      <c r="F49" s="220"/>
    </row>
    <row r="50" spans="1:6" s="14" customFormat="1" ht="15.75">
      <c r="A50" s="59"/>
      <c r="B50" s="746" t="s">
        <v>902</v>
      </c>
      <c r="C50" s="220"/>
      <c r="D50" s="220"/>
      <c r="E50" s="220"/>
      <c r="F50" s="220"/>
    </row>
    <row r="51" spans="1:6" s="14" customFormat="1" ht="15.75">
      <c r="A51" s="59"/>
      <c r="B51" s="744"/>
      <c r="C51" s="220"/>
      <c r="D51" s="220"/>
      <c r="E51" s="220"/>
      <c r="F51" s="220"/>
    </row>
    <row r="52" spans="1:6" s="14" customFormat="1" ht="18.75">
      <c r="A52" s="1" t="s">
        <v>964</v>
      </c>
      <c r="B52" s="744"/>
      <c r="C52" s="220"/>
      <c r="D52" s="220"/>
      <c r="E52" s="220"/>
      <c r="F52" s="220"/>
    </row>
    <row r="53" spans="1:6" s="14" customFormat="1" ht="15.75">
      <c r="A53" s="732"/>
      <c r="B53" s="745"/>
      <c r="C53" s="220"/>
      <c r="D53" s="220"/>
      <c r="E53" s="220"/>
      <c r="F53" s="220"/>
    </row>
    <row r="54" spans="1:6" s="14" customFormat="1" ht="15.75">
      <c r="A54" s="736" t="s">
        <v>198</v>
      </c>
      <c r="B54" s="744"/>
      <c r="C54" s="220"/>
      <c r="D54" s="220"/>
      <c r="E54" s="220"/>
      <c r="F54" s="220"/>
    </row>
    <row r="55" spans="1:6" s="14" customFormat="1" ht="15.75">
      <c r="A55" s="59"/>
      <c r="B55" s="744" t="s">
        <v>965</v>
      </c>
      <c r="C55" s="220"/>
      <c r="D55" s="220"/>
      <c r="E55" s="220"/>
      <c r="F55" s="220"/>
    </row>
    <row r="56" spans="1:6" s="14" customFormat="1" ht="15.75">
      <c r="A56" s="732"/>
      <c r="B56" s="745"/>
      <c r="C56" s="220"/>
      <c r="D56" s="220"/>
      <c r="E56" s="220"/>
      <c r="F56" s="220"/>
    </row>
    <row r="57" spans="1:6" s="14" customFormat="1" ht="15.75">
      <c r="A57" s="736" t="s">
        <v>900</v>
      </c>
      <c r="B57" s="744"/>
      <c r="C57" s="220"/>
      <c r="D57" s="220"/>
      <c r="E57" s="220"/>
      <c r="F57" s="220"/>
    </row>
    <row r="58" spans="1:6" s="14" customFormat="1" ht="15.75">
      <c r="A58" s="59"/>
      <c r="B58" s="744" t="s">
        <v>966</v>
      </c>
      <c r="C58" s="220"/>
      <c r="D58" s="220"/>
      <c r="E58" s="220"/>
      <c r="F58" s="220"/>
    </row>
    <row r="59" spans="1:6" s="14" customFormat="1" ht="15.75">
      <c r="A59" s="732"/>
      <c r="B59" s="745"/>
      <c r="C59" s="220"/>
      <c r="D59" s="220"/>
      <c r="E59" s="220"/>
      <c r="F59" s="220"/>
    </row>
    <row r="60" spans="1:6" s="14" customFormat="1" ht="15.75">
      <c r="A60" s="736" t="s">
        <v>1080</v>
      </c>
      <c r="B60" s="744"/>
      <c r="C60" s="220"/>
      <c r="D60" s="220"/>
      <c r="E60" s="220"/>
      <c r="F60" s="220"/>
    </row>
    <row r="61" spans="1:6" s="14" customFormat="1" ht="25.5">
      <c r="A61" s="59"/>
      <c r="B61" s="744" t="s">
        <v>967</v>
      </c>
      <c r="C61" s="220"/>
      <c r="D61" s="220"/>
      <c r="E61" s="220"/>
      <c r="F61" s="220"/>
    </row>
    <row r="62" spans="1:6" s="14" customFormat="1" ht="15.75">
      <c r="A62" s="732"/>
      <c r="B62" s="745"/>
      <c r="C62" s="220"/>
      <c r="D62" s="220"/>
      <c r="E62" s="220"/>
      <c r="F62" s="220"/>
    </row>
    <row r="63" spans="1:6" s="14" customFormat="1" ht="15.75">
      <c r="A63" s="736" t="s">
        <v>627</v>
      </c>
      <c r="B63" s="744"/>
      <c r="C63" s="220"/>
      <c r="D63" s="220"/>
      <c r="E63" s="220"/>
      <c r="F63" s="220"/>
    </row>
    <row r="64" spans="1:6" s="14" customFormat="1" ht="76.5">
      <c r="A64" s="59"/>
      <c r="B64" s="744" t="s">
        <v>968</v>
      </c>
      <c r="C64" s="220"/>
      <c r="D64" s="220"/>
      <c r="E64" s="220"/>
      <c r="F64" s="220"/>
    </row>
    <row r="65" spans="1:6" s="14" customFormat="1" ht="15.75">
      <c r="A65" s="732"/>
      <c r="B65" s="745"/>
      <c r="C65" s="220"/>
      <c r="D65" s="220"/>
      <c r="E65" s="220"/>
      <c r="F65" s="220"/>
    </row>
    <row r="66" spans="1:6" s="14" customFormat="1" ht="15.75">
      <c r="A66" s="736" t="s">
        <v>191</v>
      </c>
      <c r="B66" s="744"/>
      <c r="C66" s="220"/>
      <c r="D66" s="220"/>
      <c r="E66" s="220"/>
      <c r="F66" s="220"/>
    </row>
    <row r="67" spans="1:6" s="14" customFormat="1" ht="38.25">
      <c r="A67" s="59"/>
      <c r="B67" s="744" t="s">
        <v>969</v>
      </c>
      <c r="C67" s="220"/>
      <c r="D67" s="220"/>
      <c r="E67" s="220"/>
      <c r="F67" s="220"/>
    </row>
    <row r="68" spans="1:6" s="14" customFormat="1" ht="15.75">
      <c r="A68" s="732"/>
      <c r="B68" s="745"/>
      <c r="C68" s="220"/>
      <c r="D68" s="220"/>
      <c r="E68" s="220"/>
      <c r="F68" s="220"/>
    </row>
    <row r="69" spans="1:6" s="14" customFormat="1" ht="15.75">
      <c r="A69" s="736" t="s">
        <v>720</v>
      </c>
      <c r="B69" s="744"/>
      <c r="C69" s="220"/>
      <c r="D69" s="220"/>
      <c r="E69" s="220"/>
      <c r="F69" s="220"/>
    </row>
    <row r="70" spans="1:6" s="14" customFormat="1" ht="25.5">
      <c r="A70" s="59"/>
      <c r="B70" s="744" t="s">
        <v>970</v>
      </c>
      <c r="C70" s="220"/>
      <c r="D70" s="220"/>
      <c r="E70" s="220"/>
      <c r="F70" s="220"/>
    </row>
    <row r="71" spans="1:6" s="14" customFormat="1" ht="15.75">
      <c r="A71" s="732"/>
      <c r="B71" s="745"/>
      <c r="C71" s="220"/>
      <c r="D71" s="220"/>
      <c r="E71" s="220"/>
      <c r="F71" s="220"/>
    </row>
    <row r="72" spans="1:6" s="14" customFormat="1" ht="15.75">
      <c r="A72" s="736" t="s">
        <v>971</v>
      </c>
      <c r="B72" s="744"/>
      <c r="C72" s="220"/>
      <c r="D72" s="220"/>
      <c r="E72" s="220"/>
      <c r="F72" s="220"/>
    </row>
    <row r="73" spans="1:6" s="14" customFormat="1" ht="25.5">
      <c r="A73" s="59"/>
      <c r="B73" s="744" t="s">
        <v>972</v>
      </c>
      <c r="C73" s="220"/>
      <c r="D73" s="220"/>
      <c r="E73" s="220"/>
      <c r="F73" s="220"/>
    </row>
    <row r="74" spans="1:6" s="14" customFormat="1" ht="15.75">
      <c r="A74" s="59"/>
      <c r="B74" s="744"/>
      <c r="C74" s="220"/>
      <c r="D74" s="220"/>
      <c r="E74" s="220"/>
      <c r="F74" s="220"/>
    </row>
    <row r="75" spans="1:6" s="14" customFormat="1" ht="18.75">
      <c r="A75" s="1" t="s">
        <v>938</v>
      </c>
      <c r="B75" s="744"/>
      <c r="C75" s="220"/>
      <c r="D75" s="220"/>
      <c r="E75" s="220"/>
      <c r="F75" s="220"/>
    </row>
    <row r="76" spans="1:6" s="14" customFormat="1" ht="15.75">
      <c r="A76" s="732"/>
      <c r="B76" s="745"/>
      <c r="C76" s="220"/>
      <c r="D76" s="220"/>
      <c r="E76" s="220"/>
      <c r="F76" s="220"/>
    </row>
    <row r="77" spans="1:6" s="14" customFormat="1" ht="15.75">
      <c r="A77" s="1245" t="s">
        <v>939</v>
      </c>
      <c r="B77" s="744"/>
      <c r="C77" s="220"/>
      <c r="D77" s="220"/>
      <c r="E77" s="220"/>
      <c r="F77" s="220"/>
    </row>
    <row r="78" spans="1:6" s="14" customFormat="1" ht="15.75">
      <c r="A78" s="59"/>
      <c r="B78" s="744" t="s">
        <v>940</v>
      </c>
      <c r="C78" s="220"/>
      <c r="D78" s="220"/>
      <c r="E78" s="220"/>
      <c r="F78" s="220"/>
    </row>
    <row r="79" spans="1:6" s="14" customFormat="1" ht="15.75">
      <c r="A79" s="220"/>
      <c r="B79" s="220"/>
      <c r="C79" s="220"/>
      <c r="D79" s="220"/>
      <c r="E79" s="220"/>
      <c r="F79" s="220"/>
    </row>
    <row r="80" spans="1:6" s="14" customFormat="1" ht="15.75">
      <c r="A80" s="1245" t="s">
        <v>941</v>
      </c>
      <c r="B80" s="220" t="s">
        <v>942</v>
      </c>
      <c r="C80" s="220"/>
      <c r="D80" s="220"/>
      <c r="E80" s="220"/>
      <c r="F80" s="220"/>
    </row>
    <row r="81" spans="1:6" s="14" customFormat="1" ht="25.5">
      <c r="A81" s="220"/>
      <c r="B81" s="220" t="s">
        <v>959</v>
      </c>
      <c r="C81" s="220"/>
      <c r="D81" s="220"/>
      <c r="E81" s="220"/>
      <c r="F81" s="220"/>
    </row>
    <row r="82" spans="1:6" s="14" customFormat="1" ht="25.5">
      <c r="A82" s="220"/>
      <c r="B82" s="220" t="s">
        <v>958</v>
      </c>
      <c r="C82" s="220"/>
      <c r="D82" s="220"/>
      <c r="E82" s="220"/>
      <c r="F82" s="220"/>
    </row>
    <row r="83" spans="1:6" s="14" customFormat="1" ht="15.75">
      <c r="A83" s="220"/>
      <c r="B83" s="220" t="s">
        <v>973</v>
      </c>
      <c r="C83" s="220"/>
      <c r="D83" s="220"/>
      <c r="E83" s="220"/>
      <c r="F83" s="220"/>
    </row>
    <row r="84" spans="1:6" s="14" customFormat="1" ht="15.75">
      <c r="A84" s="220"/>
      <c r="B84" s="220" t="s">
        <v>960</v>
      </c>
      <c r="C84" s="220"/>
      <c r="D84" s="220"/>
      <c r="E84" s="220"/>
      <c r="F84" s="220"/>
    </row>
    <row r="85" spans="1:6" s="14" customFormat="1" ht="15.75">
      <c r="A85" s="220"/>
      <c r="B85" s="220"/>
      <c r="C85" s="220"/>
      <c r="D85" s="220"/>
      <c r="E85" s="220"/>
      <c r="F85" s="220"/>
    </row>
    <row r="86" spans="1:6" s="14" customFormat="1" ht="15.75">
      <c r="A86" s="1245" t="s">
        <v>984</v>
      </c>
      <c r="B86" s="220" t="s">
        <v>985</v>
      </c>
      <c r="C86" s="220"/>
      <c r="D86" s="220"/>
      <c r="E86" s="220"/>
      <c r="F86" s="220"/>
    </row>
    <row r="87" spans="1:6" s="14" customFormat="1" ht="15.75">
      <c r="A87" s="220"/>
      <c r="B87" s="220" t="s">
        <v>991</v>
      </c>
      <c r="C87" s="220"/>
      <c r="D87" s="220"/>
      <c r="E87" s="220"/>
      <c r="F87" s="220"/>
    </row>
    <row r="88" spans="1:6" s="14" customFormat="1" ht="15.75">
      <c r="A88" s="220"/>
      <c r="B88" s="220" t="s">
        <v>987</v>
      </c>
      <c r="C88" s="220"/>
      <c r="D88" s="220"/>
      <c r="E88" s="220"/>
      <c r="F88" s="220"/>
    </row>
    <row r="89" spans="1:6" s="14" customFormat="1" ht="15.75">
      <c r="A89" s="220"/>
      <c r="B89" s="220" t="s">
        <v>998</v>
      </c>
      <c r="C89" s="220"/>
      <c r="D89" s="220"/>
      <c r="E89" s="220"/>
      <c r="F89" s="220"/>
    </row>
    <row r="90" spans="1:6" s="14" customFormat="1" ht="15.75">
      <c r="A90" s="220"/>
      <c r="B90" s="220" t="s">
        <v>988</v>
      </c>
      <c r="C90" s="220"/>
      <c r="D90" s="220"/>
      <c r="E90" s="220"/>
      <c r="F90" s="220"/>
    </row>
    <row r="91" spans="1:6" s="14" customFormat="1" ht="25.5">
      <c r="A91" s="220"/>
      <c r="B91" s="220" t="s">
        <v>995</v>
      </c>
      <c r="C91" s="220"/>
      <c r="D91" s="220"/>
      <c r="E91" s="220"/>
      <c r="F91" s="220"/>
    </row>
    <row r="92" spans="1:6" s="14" customFormat="1" ht="25.5">
      <c r="A92" s="220"/>
      <c r="B92" s="220" t="s">
        <v>996</v>
      </c>
      <c r="C92" s="220"/>
      <c r="D92" s="220"/>
      <c r="E92" s="220"/>
      <c r="F92" s="220"/>
    </row>
    <row r="93" spans="1:6" s="14" customFormat="1" ht="15.75">
      <c r="A93" s="220"/>
      <c r="B93" s="220" t="s">
        <v>1005</v>
      </c>
      <c r="C93" s="220"/>
      <c r="D93" s="220"/>
      <c r="E93" s="220"/>
      <c r="F93" s="220"/>
    </row>
    <row r="94" spans="1:6" s="14" customFormat="1" ht="25.5">
      <c r="A94" s="220"/>
      <c r="B94" s="220" t="s">
        <v>1004</v>
      </c>
      <c r="C94" s="220"/>
      <c r="D94" s="220"/>
      <c r="E94" s="220"/>
      <c r="F94" s="220"/>
    </row>
    <row r="95" spans="1:6" s="14" customFormat="1" ht="15.75">
      <c r="A95" s="220"/>
      <c r="B95" s="220" t="s">
        <v>997</v>
      </c>
      <c r="C95" s="220"/>
      <c r="D95" s="220"/>
      <c r="E95" s="220"/>
      <c r="F95" s="220"/>
    </row>
    <row r="96" spans="1:6" s="14" customFormat="1" ht="15.75">
      <c r="A96" s="220"/>
      <c r="B96" s="220"/>
      <c r="C96" s="220"/>
      <c r="D96" s="220"/>
      <c r="E96" s="220"/>
      <c r="F96" s="220"/>
    </row>
    <row r="97" spans="1:6" s="14" customFormat="1" ht="15.75">
      <c r="A97" s="1245" t="s">
        <v>999</v>
      </c>
      <c r="B97" s="220" t="s">
        <v>1001</v>
      </c>
      <c r="C97" s="220"/>
      <c r="D97" s="220"/>
      <c r="E97" s="220"/>
      <c r="F97" s="220"/>
    </row>
    <row r="98" spans="1:6" s="14" customFormat="1" ht="15.75">
      <c r="A98" s="220"/>
      <c r="B98" s="220" t="s">
        <v>1000</v>
      </c>
      <c r="C98" s="220"/>
      <c r="D98" s="220"/>
      <c r="E98" s="220"/>
      <c r="F98" s="220"/>
    </row>
    <row r="99" spans="1:6" s="14" customFormat="1" ht="15.75">
      <c r="A99" s="220"/>
      <c r="B99" s="220"/>
      <c r="C99" s="220"/>
      <c r="D99" s="220"/>
      <c r="E99" s="220"/>
      <c r="F99" s="220"/>
    </row>
    <row r="100" spans="1:6" s="14" customFormat="1" ht="15.75">
      <c r="A100" s="1245" t="s">
        <v>1166</v>
      </c>
      <c r="B100" s="220" t="s">
        <v>1079</v>
      </c>
      <c r="C100" s="220"/>
      <c r="D100" s="220"/>
      <c r="E100" s="220"/>
      <c r="F100" s="220"/>
    </row>
    <row r="101" spans="1:6" s="14" customFormat="1" ht="25.5">
      <c r="A101" s="220"/>
      <c r="B101" s="220" t="s">
        <v>1085</v>
      </c>
      <c r="C101" s="220"/>
      <c r="D101" s="220"/>
      <c r="E101" s="220"/>
      <c r="F101" s="220"/>
    </row>
    <row r="102" spans="1:6" s="14" customFormat="1" ht="15.75">
      <c r="A102" s="220"/>
      <c r="B102" s="220" t="s">
        <v>1086</v>
      </c>
      <c r="C102" s="220"/>
      <c r="D102" s="220"/>
      <c r="E102" s="220"/>
      <c r="F102" s="220"/>
    </row>
    <row r="103" spans="1:6" s="14" customFormat="1" ht="15.75">
      <c r="A103" s="220"/>
      <c r="B103" s="220" t="s">
        <v>1167</v>
      </c>
      <c r="C103" s="220"/>
      <c r="D103" s="220"/>
      <c r="E103" s="220"/>
      <c r="F103" s="220"/>
    </row>
    <row r="105" spans="1:6" s="14" customFormat="1" ht="15.75">
      <c r="A105" s="1245" t="s">
        <v>1168</v>
      </c>
      <c r="B105" s="220" t="s">
        <v>1073</v>
      </c>
      <c r="C105" s="220"/>
      <c r="D105" s="220"/>
      <c r="E105" s="220"/>
      <c r="F105" s="220"/>
    </row>
    <row r="106" spans="1:6" s="14" customFormat="1" ht="25.5">
      <c r="A106" s="220"/>
      <c r="B106" s="220" t="s">
        <v>1074</v>
      </c>
      <c r="C106" s="220"/>
      <c r="D106" s="220"/>
      <c r="E106" s="220"/>
      <c r="F106" s="220"/>
    </row>
    <row r="107" spans="1:6" s="14" customFormat="1" ht="15.75">
      <c r="A107" s="220"/>
      <c r="B107" s="220"/>
      <c r="C107" s="220"/>
      <c r="D107" s="220"/>
      <c r="E107" s="220"/>
      <c r="F107" s="220"/>
    </row>
    <row r="109" spans="1:6" ht="15.75">
      <c r="A109" s="27"/>
      <c r="B109" s="213" t="str">
        <f>'OSNOVNI PODATKI'!$B$386</f>
        <v>© 2026 ZAPS, vse pravice pridržane</v>
      </c>
      <c r="C109" s="22"/>
      <c r="D109" s="23"/>
    </row>
  </sheetData>
  <sheetProtection algorithmName="SHA-512" hashValue="6RmTZXqXGbq3eGTf/YcOTnmVolZ5FR5DkE+rdNuvn5Jd8LdYP22YR6GqnPLAh2B8/B37ewq2USq41dmD2kKn2g==" saltValue="+CvYHaNYUQBDbny/Z9WCcw==" spinCount="100000" sheet="1" objects="1" scenarios="1"/>
  <hyperlinks>
    <hyperlink ref="B49" r:id="rId1" xr:uid="{357F7C01-AB6D-4C4C-B531-A7E600749601}"/>
    <hyperlink ref="B50" r:id="rId2" xr:uid="{81154387-0E7E-47EF-9D67-9366A63CCE72}"/>
  </hyperlinks>
  <pageMargins left="0.7" right="0.7" top="0.75" bottom="0.75" header="0.3" footer="0.3"/>
  <pageSetup paperSize="8" fitToHeight="0"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21C66-1D90-449B-B559-F50A619AB7F3}">
  <sheetPr codeName="Sheet1">
    <tabColor rgb="FF00B0F0"/>
    <outlinePr summaryBelow="0"/>
    <pageSetUpPr fitToPage="1"/>
  </sheetPr>
  <dimension ref="A1:AA391"/>
  <sheetViews>
    <sheetView workbookViewId="0">
      <selection activeCell="E374" sqref="E374"/>
    </sheetView>
    <sheetView topLeftCell="A332" workbookViewId="1">
      <selection activeCell="E122" sqref="E122"/>
    </sheetView>
  </sheetViews>
  <sheetFormatPr defaultColWidth="9.140625" defaultRowHeight="12.75"/>
  <cols>
    <col min="1" max="1" width="10.7109375" style="28" customWidth="1"/>
    <col min="2" max="2" width="47.5703125" style="24" customWidth="1"/>
    <col min="3" max="3" width="16.5703125" style="24" customWidth="1"/>
    <col min="4" max="4" width="19.85546875" style="29" customWidth="1"/>
    <col min="5" max="5" width="34" style="212" customWidth="1"/>
    <col min="6" max="6" width="15.28515625" style="24" customWidth="1"/>
    <col min="7" max="7" width="14.85546875" style="24" customWidth="1"/>
    <col min="8" max="8" width="13.85546875" style="24" customWidth="1"/>
    <col min="9" max="9" width="12.5703125" style="24" customWidth="1"/>
    <col min="10" max="10" width="13.85546875" style="24" customWidth="1"/>
    <col min="11" max="11" width="19.28515625" style="24" customWidth="1"/>
    <col min="12" max="12" width="15.5703125" style="24" customWidth="1"/>
    <col min="13" max="13" width="9.140625" style="24"/>
    <col min="14" max="14" width="18.7109375" style="24" customWidth="1"/>
    <col min="15" max="15" width="9.140625" style="24"/>
    <col min="16" max="16" width="27.5703125" style="24" customWidth="1"/>
    <col min="17" max="17" width="13.7109375" style="24" customWidth="1"/>
    <col min="18" max="16384" width="9.140625" style="24"/>
  </cols>
  <sheetData>
    <row r="1" spans="1:15" s="12" customFormat="1" ht="18" customHeight="1">
      <c r="D1" s="307" t="s">
        <v>55</v>
      </c>
      <c r="E1" s="474"/>
      <c r="F1" s="477"/>
    </row>
    <row r="2" spans="1:15" s="13" customFormat="1" ht="18" customHeight="1">
      <c r="D2" s="307"/>
      <c r="E2" s="475"/>
      <c r="F2" s="478"/>
    </row>
    <row r="3" spans="1:15" s="12" customFormat="1" ht="26.25">
      <c r="A3" s="13"/>
      <c r="B3" s="1264" t="s">
        <v>1165</v>
      </c>
      <c r="C3" s="227"/>
      <c r="D3" s="307" t="s">
        <v>628</v>
      </c>
      <c r="E3" s="474"/>
      <c r="F3" s="477"/>
      <c r="G3" s="13"/>
      <c r="H3" s="13"/>
      <c r="I3" s="13"/>
      <c r="J3" s="13"/>
      <c r="K3" s="14"/>
      <c r="L3" s="14"/>
    </row>
    <row r="4" spans="1:15" s="14" customFormat="1" ht="25.5">
      <c r="A4" s="37"/>
      <c r="B4" s="220" t="s">
        <v>694</v>
      </c>
      <c r="C4" s="220"/>
      <c r="D4" s="307" t="s">
        <v>57</v>
      </c>
      <c r="E4" s="476"/>
      <c r="F4" s="477"/>
    </row>
    <row r="5" spans="1:15" s="12" customFormat="1" ht="15.75">
      <c r="A5" s="36" t="s">
        <v>1172</v>
      </c>
      <c r="B5" s="306" t="s">
        <v>1173</v>
      </c>
      <c r="C5" s="306"/>
      <c r="D5" s="308" t="s">
        <v>58</v>
      </c>
      <c r="E5" s="593">
        <f ca="1">TODAY()</f>
        <v>46278</v>
      </c>
      <c r="F5" s="479"/>
    </row>
    <row r="6" spans="1:15" s="12" customFormat="1" ht="18.75">
      <c r="A6" s="15"/>
      <c r="B6" s="16"/>
      <c r="C6" s="16"/>
      <c r="D6" s="13"/>
      <c r="E6" s="326"/>
      <c r="F6" s="13"/>
      <c r="G6" s="13"/>
      <c r="H6" s="13"/>
      <c r="I6" s="13"/>
      <c r="J6" s="13"/>
      <c r="K6" s="14"/>
      <c r="L6" s="14"/>
    </row>
    <row r="7" spans="1:15" s="14" customFormat="1" ht="26.25">
      <c r="A7" s="1" t="s">
        <v>198</v>
      </c>
      <c r="B7" s="221"/>
      <c r="C7" s="221"/>
      <c r="D7" s="221"/>
      <c r="E7" s="327"/>
      <c r="F7" s="221"/>
    </row>
    <row r="8" spans="1:15" s="12" customFormat="1" ht="19.5" thickBot="1">
      <c r="A8" s="62"/>
      <c r="B8" s="62"/>
      <c r="C8" s="62"/>
      <c r="D8" s="62"/>
      <c r="E8" s="329"/>
      <c r="F8" s="62"/>
      <c r="J8" s="13"/>
    </row>
    <row r="9" spans="1:15" s="14" customFormat="1" ht="15.75">
      <c r="A9" s="222" t="s">
        <v>775</v>
      </c>
      <c r="B9" s="222"/>
      <c r="C9" s="222"/>
      <c r="D9" s="222"/>
      <c r="E9" s="330"/>
      <c r="F9" s="222"/>
    </row>
    <row r="10" spans="1:15" s="14" customFormat="1" ht="15.75">
      <c r="A10" s="59"/>
      <c r="B10" s="59"/>
      <c r="C10" s="59"/>
      <c r="D10" s="59"/>
      <c r="E10" s="331"/>
      <c r="F10" s="59"/>
    </row>
    <row r="11" spans="1:15" s="14" customFormat="1" ht="31.5" customHeight="1">
      <c r="A11" s="59"/>
      <c r="B11" s="50" t="s">
        <v>793</v>
      </c>
      <c r="C11" s="50"/>
      <c r="D11" s="50"/>
      <c r="E11" s="50"/>
      <c r="F11" s="934"/>
      <c r="H11" s="1246">
        <v>2</v>
      </c>
    </row>
    <row r="12" spans="1:15" s="14" customFormat="1" ht="30.95" customHeight="1">
      <c r="A12" s="59"/>
      <c r="B12" s="50" t="s">
        <v>943</v>
      </c>
      <c r="C12" s="50"/>
      <c r="D12" s="50"/>
      <c r="E12" s="50"/>
      <c r="F12" s="932"/>
    </row>
    <row r="13" spans="1:15" s="14" customFormat="1" ht="15.75">
      <c r="A13" s="59"/>
      <c r="B13" s="50" t="s">
        <v>944</v>
      </c>
      <c r="C13" s="50"/>
      <c r="D13" s="50"/>
      <c r="E13" s="50"/>
      <c r="F13" s="50"/>
    </row>
    <row r="14" spans="1:15" s="14" customFormat="1" ht="15.75">
      <c r="A14" s="59"/>
      <c r="B14" s="59"/>
      <c r="C14" s="59"/>
      <c r="D14" s="59"/>
      <c r="E14" s="331"/>
      <c r="F14" s="59"/>
    </row>
    <row r="15" spans="1:15" s="39" customFormat="1" ht="15.75">
      <c r="A15" s="226" t="s">
        <v>732</v>
      </c>
      <c r="B15" s="61"/>
      <c r="C15" s="61"/>
      <c r="D15" s="61"/>
      <c r="E15" s="1311"/>
      <c r="F15" s="1311"/>
      <c r="G15" s="37"/>
      <c r="H15" s="37"/>
      <c r="I15" s="37"/>
      <c r="J15" s="37"/>
      <c r="K15" s="37"/>
      <c r="L15" s="37"/>
      <c r="M15" s="37"/>
      <c r="N15" s="37"/>
      <c r="O15" s="37"/>
    </row>
    <row r="16" spans="1:15" s="220" customFormat="1" ht="25.5" customHeight="1">
      <c r="B16" s="49" t="s">
        <v>617</v>
      </c>
      <c r="C16" s="49"/>
      <c r="D16" s="49"/>
      <c r="E16" s="1309" t="s">
        <v>1091</v>
      </c>
      <c r="F16" s="1309"/>
      <c r="G16" s="30"/>
      <c r="H16" s="30"/>
      <c r="I16" s="30"/>
      <c r="J16" s="30"/>
      <c r="K16" s="30"/>
      <c r="L16" s="30"/>
      <c r="M16" s="30"/>
      <c r="N16" s="30"/>
      <c r="O16" s="30"/>
    </row>
    <row r="17" spans="1:27" s="30" customFormat="1" ht="14.25">
      <c r="B17" s="50" t="s">
        <v>76</v>
      </c>
      <c r="C17" s="50"/>
      <c r="D17" s="50"/>
      <c r="E17" s="480">
        <v>0</v>
      </c>
      <c r="F17" s="726" t="s">
        <v>892</v>
      </c>
    </row>
    <row r="18" spans="1:27" s="73" customFormat="1">
      <c r="B18" s="198" t="s">
        <v>747</v>
      </c>
      <c r="C18" s="198"/>
      <c r="D18" s="198"/>
      <c r="E18" s="480" t="s">
        <v>72</v>
      </c>
      <c r="F18" s="485"/>
    </row>
    <row r="19" spans="1:27" s="484" customFormat="1">
      <c r="A19" s="73"/>
      <c r="B19" s="513" t="s">
        <v>748</v>
      </c>
      <c r="C19" s="513"/>
      <c r="D19" s="481"/>
      <c r="E19" s="930" t="s">
        <v>72</v>
      </c>
      <c r="F19" s="485"/>
    </row>
    <row r="20" spans="1:27" s="484" customFormat="1">
      <c r="A20" s="73"/>
      <c r="B20" s="514" t="s">
        <v>749</v>
      </c>
      <c r="C20" s="514"/>
      <c r="D20" s="481"/>
      <c r="E20" s="930" t="s">
        <v>71</v>
      </c>
      <c r="F20" s="485"/>
    </row>
    <row r="21" spans="1:27" s="484" customFormat="1">
      <c r="A21" s="73"/>
      <c r="B21" s="514" t="s">
        <v>750</v>
      </c>
      <c r="C21" s="514"/>
      <c r="D21" s="481"/>
      <c r="E21" s="930" t="s">
        <v>71</v>
      </c>
      <c r="F21" s="485"/>
    </row>
    <row r="22" spans="1:27" s="484" customFormat="1">
      <c r="A22" s="73"/>
      <c r="B22" s="514" t="s">
        <v>751</v>
      </c>
      <c r="C22" s="514"/>
      <c r="D22" s="481"/>
      <c r="E22" s="930" t="s">
        <v>71</v>
      </c>
      <c r="F22" s="485"/>
    </row>
    <row r="23" spans="1:27" s="484" customFormat="1">
      <c r="A23" s="73"/>
      <c r="B23" s="514" t="s">
        <v>752</v>
      </c>
      <c r="C23" s="514"/>
      <c r="D23" s="481"/>
      <c r="E23" s="930" t="s">
        <v>71</v>
      </c>
      <c r="F23" s="485"/>
    </row>
    <row r="24" spans="1:27" s="484" customFormat="1">
      <c r="A24" s="73"/>
      <c r="B24" s="516" t="s">
        <v>753</v>
      </c>
      <c r="C24" s="516"/>
      <c r="D24" s="481"/>
      <c r="E24" s="515" t="str">
        <f>E18</f>
        <v>Cenovni razred III</v>
      </c>
      <c r="F24" s="485"/>
    </row>
    <row r="25" spans="1:27" s="484" customFormat="1">
      <c r="A25" s="73"/>
      <c r="B25" s="517" t="s">
        <v>754</v>
      </c>
      <c r="C25" s="517"/>
      <c r="D25" s="481"/>
      <c r="E25" s="930" t="s">
        <v>71</v>
      </c>
      <c r="F25" s="485"/>
    </row>
    <row r="26" spans="1:27" s="488" customFormat="1">
      <c r="A26" s="30"/>
      <c r="B26" s="514" t="s">
        <v>755</v>
      </c>
      <c r="C26" s="514"/>
      <c r="D26" s="485"/>
      <c r="E26" s="930" t="s">
        <v>72</v>
      </c>
      <c r="F26" s="485"/>
    </row>
    <row r="27" spans="1:27" s="73" customFormat="1">
      <c r="B27" s="572" t="s">
        <v>762</v>
      </c>
      <c r="C27" s="198"/>
      <c r="D27" s="532"/>
      <c r="E27" s="483">
        <f>_xlfn.IFNA(VLOOKUP(E16,'CENOVNI RAZREDI'!$B$7:$Q$92,16,FALSE),"/")</f>
        <v>-105.40000000000009</v>
      </c>
      <c r="F27" s="202"/>
    </row>
    <row r="28" spans="1:27" s="488" customFormat="1">
      <c r="A28" s="30"/>
      <c r="B28" s="513"/>
      <c r="C28" s="513"/>
      <c r="D28" s="513"/>
      <c r="E28" s="513"/>
      <c r="F28" s="513"/>
    </row>
    <row r="29" spans="1:27" s="73" customFormat="1">
      <c r="B29" s="512" t="s">
        <v>739</v>
      </c>
      <c r="C29" s="512"/>
      <c r="D29" s="534"/>
      <c r="E29" s="534"/>
      <c r="F29" s="382"/>
    </row>
    <row r="30" spans="1:27" s="518" customFormat="1" ht="12">
      <c r="B30" s="535" t="s">
        <v>737</v>
      </c>
      <c r="C30" s="535"/>
      <c r="D30" s="536"/>
      <c r="E30" s="537" t="str">
        <f>_xlfn.IFNA(CONCATENATE(VLOOKUP(E16,'CENOVNI RAZREDI'!$B$7:$J$92,8,FALSE)," - ",VLOOKUP(E16,'CENOVNI RAZREDI'!$B$7:$J$92,9,FALSE)),"")</f>
        <v>993,72 - 1332,24</v>
      </c>
      <c r="F30" s="538" t="s">
        <v>740</v>
      </c>
      <c r="G30" s="519"/>
      <c r="H30" s="488"/>
      <c r="I30" s="488"/>
      <c r="J30" s="488"/>
      <c r="K30" s="488"/>
      <c r="L30" s="488"/>
      <c r="M30" s="488"/>
      <c r="N30" s="488"/>
      <c r="O30" s="488"/>
    </row>
    <row r="31" spans="1:27" s="488" customFormat="1" ht="12">
      <c r="B31" s="538" t="s">
        <v>1060</v>
      </c>
      <c r="C31" s="538"/>
      <c r="D31" s="538"/>
      <c r="E31" s="573"/>
      <c r="F31" s="538" t="s">
        <v>740</v>
      </c>
      <c r="W31" s="509"/>
      <c r="X31" s="520"/>
      <c r="Y31" s="521"/>
      <c r="Z31" s="520"/>
      <c r="AA31" s="521"/>
    </row>
    <row r="32" spans="1:27" s="488" customFormat="1" ht="11.25">
      <c r="B32" s="538" t="s">
        <v>738</v>
      </c>
      <c r="C32" s="538"/>
      <c r="D32" s="539"/>
      <c r="E32" s="540">
        <f>E17*E31</f>
        <v>0</v>
      </c>
      <c r="F32" s="541" t="s">
        <v>75</v>
      </c>
      <c r="W32" s="509"/>
    </row>
    <row r="33" spans="1:27" s="488" customFormat="1" ht="11.25">
      <c r="B33" s="542" t="s">
        <v>59</v>
      </c>
      <c r="C33" s="542"/>
      <c r="D33" s="543">
        <f>_xlfn.IFNA(VLOOKUP(E16,'CENOVNI RAZREDI'!$B$7:$N$92,10,FALSE),0)</f>
        <v>0.81699999999999995</v>
      </c>
      <c r="E33" s="544">
        <f>D33*E32</f>
        <v>0</v>
      </c>
      <c r="F33" s="545" t="s">
        <v>75</v>
      </c>
      <c r="W33" s="521"/>
    </row>
    <row r="34" spans="1:27" s="488" customFormat="1" ht="11.25">
      <c r="B34" s="542" t="s">
        <v>61</v>
      </c>
      <c r="C34" s="542"/>
      <c r="D34" s="543">
        <f>_xlfn.IFNA(VLOOKUP(E16,'CENOVNI RAZREDI'!$B$7:$N$92,12,FALSE),0)</f>
        <v>3.4554399999999999E-2</v>
      </c>
      <c r="E34" s="544">
        <f>D34*E32</f>
        <v>0</v>
      </c>
      <c r="F34" s="545" t="s">
        <v>75</v>
      </c>
      <c r="Y34" s="521"/>
      <c r="Z34" s="520"/>
      <c r="AA34" s="521"/>
    </row>
    <row r="35" spans="1:27" s="488" customFormat="1" ht="11.25">
      <c r="B35" s="542" t="s">
        <v>60</v>
      </c>
      <c r="C35" s="542"/>
      <c r="D35" s="543">
        <f>_xlfn.IFNA(VLOOKUP(E16,'CENOVNI RAZREDI'!$B$7:$N$92,11,FALSE),0)</f>
        <v>0.14823000000000003</v>
      </c>
      <c r="E35" s="544">
        <f>D35*E32</f>
        <v>0</v>
      </c>
      <c r="F35" s="545" t="s">
        <v>75</v>
      </c>
      <c r="W35" s="521"/>
    </row>
    <row r="36" spans="1:27" s="488" customFormat="1" ht="11.25">
      <c r="B36" s="546" t="s">
        <v>343</v>
      </c>
      <c r="C36" s="546"/>
      <c r="D36" s="547">
        <f>_xlfn.IFNA(VLOOKUP(E16,'CENOVNI RAZREDI'!$B$7:$N$92,13,FALSE),0)</f>
        <v>0</v>
      </c>
      <c r="E36" s="548">
        <f>D36*E32</f>
        <v>0</v>
      </c>
      <c r="F36" s="549" t="s">
        <v>75</v>
      </c>
      <c r="W36" s="521"/>
    </row>
    <row r="37" spans="1:27" s="488" customFormat="1" ht="11.25">
      <c r="B37" s="511"/>
      <c r="C37" s="511"/>
      <c r="D37" s="510"/>
      <c r="E37" s="508"/>
      <c r="F37" s="509"/>
      <c r="W37" s="521"/>
    </row>
    <row r="38" spans="1:27" s="73" customFormat="1">
      <c r="B38" s="81" t="s">
        <v>618</v>
      </c>
      <c r="C38" s="81"/>
      <c r="D38" s="80"/>
      <c r="E38" s="531">
        <f>IFERROR(STAVBE!C27,0)</f>
        <v>0</v>
      </c>
      <c r="F38" s="378" t="s">
        <v>723</v>
      </c>
    </row>
    <row r="39" spans="1:27" s="73" customFormat="1">
      <c r="B39" s="81" t="s">
        <v>619</v>
      </c>
      <c r="C39" s="81"/>
      <c r="D39" s="80"/>
      <c r="E39" s="531">
        <f>IFERROR(STAVBE!C28,0)</f>
        <v>0</v>
      </c>
      <c r="F39" s="378" t="s">
        <v>723</v>
      </c>
    </row>
    <row r="40" spans="1:27" s="30" customFormat="1">
      <c r="A40" s="51"/>
      <c r="B40" s="51"/>
      <c r="C40" s="51"/>
      <c r="D40" s="52"/>
      <c r="E40" s="333"/>
      <c r="F40" s="53"/>
      <c r="Y40" s="33"/>
      <c r="Z40" s="32"/>
      <c r="AA40" s="33"/>
    </row>
    <row r="41" spans="1:27" s="39" customFormat="1" ht="15.75">
      <c r="A41" s="225" t="s">
        <v>733</v>
      </c>
      <c r="B41" s="38"/>
      <c r="C41" s="38"/>
      <c r="D41" s="38"/>
      <c r="E41" s="1311"/>
      <c r="F41" s="1311"/>
      <c r="G41" s="37"/>
      <c r="H41" s="37"/>
      <c r="I41" s="37"/>
      <c r="J41" s="37"/>
      <c r="K41" s="37"/>
      <c r="L41" s="37"/>
      <c r="M41" s="37"/>
      <c r="N41" s="37"/>
      <c r="O41" s="37"/>
    </row>
    <row r="42" spans="1:27" s="220" customFormat="1" ht="25.5" customHeight="1">
      <c r="B42" s="49" t="s">
        <v>617</v>
      </c>
      <c r="C42" s="49"/>
      <c r="D42" s="49"/>
      <c r="E42" s="1309" t="s">
        <v>1092</v>
      </c>
      <c r="F42" s="1309"/>
      <c r="G42" s="30"/>
      <c r="H42" s="30"/>
      <c r="I42" s="30"/>
      <c r="J42" s="30"/>
      <c r="K42" s="30"/>
      <c r="L42" s="30"/>
      <c r="M42" s="30"/>
      <c r="N42" s="30"/>
      <c r="O42" s="30"/>
    </row>
    <row r="43" spans="1:27" s="30" customFormat="1" ht="14.25">
      <c r="B43" s="50" t="s">
        <v>76</v>
      </c>
      <c r="C43" s="50"/>
      <c r="D43" s="50"/>
      <c r="E43" s="480">
        <v>0</v>
      </c>
      <c r="F43" s="726" t="s">
        <v>892</v>
      </c>
    </row>
    <row r="44" spans="1:27" s="73" customFormat="1">
      <c r="B44" s="198" t="s">
        <v>747</v>
      </c>
      <c r="C44" s="198"/>
      <c r="D44" s="198"/>
      <c r="E44" s="480" t="s">
        <v>72</v>
      </c>
      <c r="F44" s="202"/>
    </row>
    <row r="45" spans="1:27" s="484" customFormat="1">
      <c r="A45" s="73"/>
      <c r="B45" s="513" t="s">
        <v>748</v>
      </c>
      <c r="C45" s="513"/>
      <c r="D45" s="481"/>
      <c r="E45" s="930" t="s">
        <v>72</v>
      </c>
      <c r="F45" s="485"/>
    </row>
    <row r="46" spans="1:27" s="484" customFormat="1">
      <c r="A46" s="73"/>
      <c r="B46" s="514" t="s">
        <v>749</v>
      </c>
      <c r="C46" s="514"/>
      <c r="D46" s="481"/>
      <c r="E46" s="930" t="s">
        <v>71</v>
      </c>
      <c r="F46" s="485"/>
    </row>
    <row r="47" spans="1:27" s="484" customFormat="1">
      <c r="A47" s="73"/>
      <c r="B47" s="514" t="s">
        <v>750</v>
      </c>
      <c r="C47" s="514"/>
      <c r="D47" s="481"/>
      <c r="E47" s="930" t="s">
        <v>71</v>
      </c>
      <c r="F47" s="485"/>
    </row>
    <row r="48" spans="1:27" s="484" customFormat="1">
      <c r="A48" s="73"/>
      <c r="B48" s="514" t="s">
        <v>751</v>
      </c>
      <c r="C48" s="514"/>
      <c r="D48" s="481"/>
      <c r="E48" s="930" t="s">
        <v>71</v>
      </c>
      <c r="F48" s="485"/>
    </row>
    <row r="49" spans="1:27" s="484" customFormat="1">
      <c r="A49" s="73"/>
      <c r="B49" s="514" t="s">
        <v>752</v>
      </c>
      <c r="C49" s="514"/>
      <c r="D49" s="481"/>
      <c r="E49" s="930" t="s">
        <v>71</v>
      </c>
      <c r="F49" s="485"/>
    </row>
    <row r="50" spans="1:27" s="484" customFormat="1">
      <c r="A50" s="73"/>
      <c r="B50" s="516" t="s">
        <v>753</v>
      </c>
      <c r="C50" s="516"/>
      <c r="D50" s="481"/>
      <c r="E50" s="515" t="str">
        <f>E44</f>
        <v>Cenovni razred III</v>
      </c>
      <c r="F50" s="485"/>
    </row>
    <row r="51" spans="1:27" s="484" customFormat="1">
      <c r="A51" s="73"/>
      <c r="B51" s="517" t="s">
        <v>754</v>
      </c>
      <c r="C51" s="517"/>
      <c r="D51" s="481"/>
      <c r="E51" s="930" t="s">
        <v>71</v>
      </c>
      <c r="F51" s="485"/>
    </row>
    <row r="52" spans="1:27" s="488" customFormat="1">
      <c r="A52" s="30"/>
      <c r="B52" s="514" t="s">
        <v>755</v>
      </c>
      <c r="C52" s="514"/>
      <c r="D52" s="485"/>
      <c r="E52" s="930" t="s">
        <v>72</v>
      </c>
      <c r="F52" s="485"/>
    </row>
    <row r="53" spans="1:27" s="73" customFormat="1">
      <c r="B53" s="572" t="s">
        <v>762</v>
      </c>
      <c r="C53" s="198"/>
      <c r="D53" s="532"/>
      <c r="E53" s="483">
        <f>_xlfn.IFNA(VLOOKUP(E42,'CENOVNI RAZREDI'!$B$7:$Q$92,16,FALSE),"/")</f>
        <v>230.59999999999991</v>
      </c>
      <c r="F53" s="202"/>
    </row>
    <row r="54" spans="1:27" s="488" customFormat="1">
      <c r="A54" s="30"/>
      <c r="B54" s="513"/>
      <c r="C54" s="513"/>
      <c r="D54" s="513"/>
      <c r="E54" s="513"/>
      <c r="F54" s="513"/>
    </row>
    <row r="55" spans="1:27" s="73" customFormat="1">
      <c r="B55" s="512" t="s">
        <v>739</v>
      </c>
      <c r="C55" s="512"/>
      <c r="D55" s="534"/>
      <c r="E55" s="534"/>
      <c r="F55" s="382"/>
    </row>
    <row r="56" spans="1:27" s="518" customFormat="1" ht="12">
      <c r="B56" s="535" t="s">
        <v>737</v>
      </c>
      <c r="C56" s="535"/>
      <c r="D56" s="536"/>
      <c r="E56" s="537" t="str">
        <f>_xlfn.IFNA(CONCATENATE(VLOOKUP(E42,'CENOVNI RAZREDI'!$B$7:$J$92,8,FALSE)," - ",VLOOKUP(E42,'CENOVNI RAZREDI'!$B$7:$J$92,9,FALSE)),"")</f>
        <v>1310,4 - 1889,16</v>
      </c>
      <c r="F56" s="538" t="s">
        <v>740</v>
      </c>
      <c r="G56" s="519"/>
      <c r="H56" s="488"/>
      <c r="I56" s="488"/>
      <c r="J56" s="488"/>
      <c r="K56" s="488"/>
      <c r="L56" s="488"/>
      <c r="M56" s="488"/>
      <c r="N56" s="488"/>
      <c r="O56" s="488"/>
    </row>
    <row r="57" spans="1:27" s="488" customFormat="1" ht="12">
      <c r="B57" s="538" t="s">
        <v>1060</v>
      </c>
      <c r="C57" s="538"/>
      <c r="D57" s="538"/>
      <c r="E57" s="573">
        <v>0</v>
      </c>
      <c r="F57" s="538" t="s">
        <v>740</v>
      </c>
      <c r="W57" s="509"/>
      <c r="X57" s="520"/>
      <c r="Y57" s="521"/>
      <c r="Z57" s="520"/>
      <c r="AA57" s="521"/>
    </row>
    <row r="58" spans="1:27" s="488" customFormat="1" ht="11.25">
      <c r="B58" s="538" t="s">
        <v>738</v>
      </c>
      <c r="C58" s="538"/>
      <c r="D58" s="539"/>
      <c r="E58" s="540">
        <f>E43*E57</f>
        <v>0</v>
      </c>
      <c r="F58" s="541" t="s">
        <v>75</v>
      </c>
      <c r="W58" s="509"/>
    </row>
    <row r="59" spans="1:27" s="488" customFormat="1" ht="11.25">
      <c r="B59" s="542" t="s">
        <v>59</v>
      </c>
      <c r="C59" s="542"/>
      <c r="D59" s="543">
        <f>_xlfn.IFNA(VLOOKUP(E42,'CENOVNI RAZREDI'!$B$7:$N$92,10,FALSE),0)</f>
        <v>0.80800000000000005</v>
      </c>
      <c r="E59" s="544">
        <f>D59*E58</f>
        <v>0</v>
      </c>
      <c r="F59" s="545" t="s">
        <v>75</v>
      </c>
      <c r="W59" s="521"/>
    </row>
    <row r="60" spans="1:27" s="488" customFormat="1" ht="11.25">
      <c r="B60" s="542" t="s">
        <v>61</v>
      </c>
      <c r="C60" s="542"/>
      <c r="D60" s="543">
        <f>_xlfn.IFNA(VLOOKUP(E42,'CENOVNI RAZREDI'!$B$7:$N$92,12,FALSE),0)</f>
        <v>4.4544000000000007E-2</v>
      </c>
      <c r="E60" s="544">
        <f>D60*E58</f>
        <v>0</v>
      </c>
      <c r="F60" s="545" t="s">
        <v>75</v>
      </c>
      <c r="Y60" s="521"/>
      <c r="Z60" s="520"/>
      <c r="AA60" s="521"/>
    </row>
    <row r="61" spans="1:27" s="488" customFormat="1" ht="11.25">
      <c r="B61" s="542" t="s">
        <v>60</v>
      </c>
      <c r="C61" s="542"/>
      <c r="D61" s="543">
        <f>_xlfn.IFNA(VLOOKUP(E42,'CENOVNI RAZREDI'!$B$7:$N$92,11,FALSE),0)</f>
        <v>0.14764799999999997</v>
      </c>
      <c r="E61" s="544">
        <f>D61*E58</f>
        <v>0</v>
      </c>
      <c r="F61" s="545" t="s">
        <v>75</v>
      </c>
      <c r="W61" s="521"/>
    </row>
    <row r="62" spans="1:27" s="488" customFormat="1" ht="11.25">
      <c r="B62" s="546" t="s">
        <v>343</v>
      </c>
      <c r="C62" s="546"/>
      <c r="D62" s="547">
        <f>_xlfn.IFNA(VLOOKUP(E42,'CENOVNI RAZREDI'!$B$7:$N$92,13,FALSE),0)</f>
        <v>0</v>
      </c>
      <c r="E62" s="548">
        <f>D62*E58</f>
        <v>0</v>
      </c>
      <c r="F62" s="549" t="s">
        <v>75</v>
      </c>
      <c r="W62" s="521"/>
    </row>
    <row r="63" spans="1:27" s="488" customFormat="1" ht="11.25">
      <c r="B63" s="511"/>
      <c r="C63" s="511"/>
      <c r="D63" s="510"/>
      <c r="E63" s="508"/>
      <c r="F63" s="509"/>
      <c r="W63" s="521"/>
    </row>
    <row r="64" spans="1:27" s="73" customFormat="1">
      <c r="B64" s="81" t="s">
        <v>618</v>
      </c>
      <c r="C64" s="81"/>
      <c r="D64" s="80"/>
      <c r="E64" s="531">
        <f>IFERROR(STAVBE!C49,0)</f>
        <v>0</v>
      </c>
      <c r="F64" s="378" t="s">
        <v>723</v>
      </c>
    </row>
    <row r="65" spans="1:27" s="73" customFormat="1">
      <c r="B65" s="81" t="s">
        <v>619</v>
      </c>
      <c r="C65" s="81"/>
      <c r="D65" s="80"/>
      <c r="E65" s="531">
        <f>IFERROR(STAVBE!C50,0)</f>
        <v>0</v>
      </c>
      <c r="F65" s="378" t="s">
        <v>723</v>
      </c>
    </row>
    <row r="66" spans="1:27" s="30" customFormat="1">
      <c r="A66" s="51"/>
      <c r="B66" s="51"/>
      <c r="C66" s="51"/>
      <c r="D66" s="52"/>
      <c r="E66" s="333"/>
      <c r="F66" s="53"/>
      <c r="Y66" s="33"/>
      <c r="Z66" s="32"/>
      <c r="AA66" s="33"/>
    </row>
    <row r="67" spans="1:27" s="39" customFormat="1" ht="15.75">
      <c r="A67" s="225" t="s">
        <v>734</v>
      </c>
      <c r="B67" s="38"/>
      <c r="C67" s="38"/>
      <c r="D67" s="38"/>
      <c r="E67" s="1311"/>
      <c r="F67" s="1311"/>
      <c r="G67" s="37"/>
      <c r="H67" s="37"/>
      <c r="I67" s="37"/>
      <c r="J67" s="37"/>
      <c r="K67" s="37"/>
      <c r="L67" s="37"/>
      <c r="M67" s="37"/>
      <c r="N67" s="37"/>
      <c r="O67" s="37"/>
    </row>
    <row r="68" spans="1:27" s="220" customFormat="1" ht="27.75" customHeight="1">
      <c r="B68" s="49" t="s">
        <v>617</v>
      </c>
      <c r="C68" s="49"/>
      <c r="D68" s="49"/>
      <c r="E68" s="1309" t="s">
        <v>1133</v>
      </c>
      <c r="F68" s="1309"/>
      <c r="G68" s="30"/>
      <c r="H68" s="30"/>
      <c r="I68" s="30"/>
      <c r="J68" s="30"/>
      <c r="K68" s="30"/>
      <c r="L68" s="30"/>
      <c r="M68" s="30"/>
      <c r="N68" s="30"/>
      <c r="O68" s="30"/>
    </row>
    <row r="69" spans="1:27" s="30" customFormat="1" ht="14.25">
      <c r="B69" s="50" t="s">
        <v>76</v>
      </c>
      <c r="C69" s="50"/>
      <c r="D69" s="50"/>
      <c r="E69" s="480">
        <v>0</v>
      </c>
      <c r="F69" s="726" t="s">
        <v>892</v>
      </c>
    </row>
    <row r="70" spans="1:27" s="73" customFormat="1">
      <c r="B70" s="198" t="s">
        <v>747</v>
      </c>
      <c r="C70" s="198"/>
      <c r="D70" s="198"/>
      <c r="E70" s="480" t="s">
        <v>72</v>
      </c>
    </row>
    <row r="71" spans="1:27" s="484" customFormat="1">
      <c r="A71" s="73"/>
      <c r="B71" s="513" t="s">
        <v>748</v>
      </c>
      <c r="C71" s="513"/>
      <c r="D71" s="481"/>
      <c r="E71" s="930" t="s">
        <v>72</v>
      </c>
      <c r="F71" s="485"/>
    </row>
    <row r="72" spans="1:27" s="484" customFormat="1">
      <c r="A72" s="73"/>
      <c r="B72" s="514" t="s">
        <v>749</v>
      </c>
      <c r="C72" s="514"/>
      <c r="D72" s="481"/>
      <c r="E72" s="930" t="s">
        <v>71</v>
      </c>
      <c r="F72" s="485"/>
    </row>
    <row r="73" spans="1:27" s="484" customFormat="1">
      <c r="A73" s="73"/>
      <c r="B73" s="514" t="s">
        <v>750</v>
      </c>
      <c r="C73" s="514"/>
      <c r="D73" s="481"/>
      <c r="E73" s="930" t="s">
        <v>71</v>
      </c>
      <c r="F73" s="485"/>
    </row>
    <row r="74" spans="1:27" s="484" customFormat="1">
      <c r="A74" s="73"/>
      <c r="B74" s="514" t="s">
        <v>751</v>
      </c>
      <c r="C74" s="514"/>
      <c r="D74" s="481"/>
      <c r="E74" s="930" t="s">
        <v>71</v>
      </c>
      <c r="F74" s="485"/>
    </row>
    <row r="75" spans="1:27" s="484" customFormat="1">
      <c r="A75" s="73"/>
      <c r="B75" s="514" t="s">
        <v>752</v>
      </c>
      <c r="C75" s="514"/>
      <c r="D75" s="481"/>
      <c r="E75" s="930" t="s">
        <v>71</v>
      </c>
      <c r="F75" s="485"/>
    </row>
    <row r="76" spans="1:27" s="484" customFormat="1">
      <c r="A76" s="73"/>
      <c r="B76" s="516" t="s">
        <v>753</v>
      </c>
      <c r="C76" s="516"/>
      <c r="D76" s="481"/>
      <c r="E76" s="515" t="str">
        <f>E70</f>
        <v>Cenovni razred III</v>
      </c>
      <c r="F76" s="485"/>
    </row>
    <row r="77" spans="1:27" s="484" customFormat="1">
      <c r="A77" s="73"/>
      <c r="B77" s="517" t="s">
        <v>754</v>
      </c>
      <c r="C77" s="517"/>
      <c r="D77" s="481"/>
      <c r="E77" s="930" t="s">
        <v>71</v>
      </c>
      <c r="F77" s="485"/>
    </row>
    <row r="78" spans="1:27" s="488" customFormat="1">
      <c r="A78" s="30"/>
      <c r="B78" s="514" t="s">
        <v>755</v>
      </c>
      <c r="C78" s="514"/>
      <c r="D78" s="485"/>
      <c r="E78" s="930" t="s">
        <v>72</v>
      </c>
      <c r="F78" s="485"/>
    </row>
    <row r="79" spans="1:27" s="73" customFormat="1">
      <c r="B79" s="572" t="s">
        <v>762</v>
      </c>
      <c r="C79" s="198"/>
      <c r="D79" s="482"/>
      <c r="E79" s="483">
        <f>_xlfn.IFNA(VLOOKUP(E68,'CENOVNI RAZREDI'!$B$7:$Q$92,16,FALSE),"/")</f>
        <v>646.40000000000009</v>
      </c>
      <c r="F79" s="490"/>
    </row>
    <row r="80" spans="1:27" s="73" customFormat="1">
      <c r="B80" s="81"/>
      <c r="C80" s="81"/>
      <c r="D80" s="80"/>
      <c r="E80" s="80"/>
      <c r="F80" s="50"/>
    </row>
    <row r="81" spans="1:27" s="73" customFormat="1">
      <c r="B81" s="512" t="s">
        <v>739</v>
      </c>
      <c r="C81" s="512"/>
      <c r="D81" s="534"/>
      <c r="E81" s="534"/>
      <c r="F81" s="382"/>
    </row>
    <row r="82" spans="1:27" s="518" customFormat="1" ht="12">
      <c r="B82" s="535" t="s">
        <v>737</v>
      </c>
      <c r="C82" s="535"/>
      <c r="D82" s="536"/>
      <c r="E82" s="537" t="str">
        <f>_xlfn.IFNA(CONCATENATE(VLOOKUP(E68,'CENOVNI RAZREDI'!$B$7:$J$92,8,FALSE)," - ",VLOOKUP(E68,'CENOVNI RAZREDI'!$B$7:$J$92,9,FALSE)),"")</f>
        <v>1769,04 - 2511,6</v>
      </c>
      <c r="F82" s="538" t="s">
        <v>740</v>
      </c>
      <c r="G82" s="519"/>
      <c r="H82" s="488"/>
      <c r="I82" s="488"/>
      <c r="J82" s="488"/>
      <c r="K82" s="488"/>
      <c r="L82" s="488"/>
      <c r="M82" s="488"/>
      <c r="N82" s="488"/>
      <c r="O82" s="488"/>
    </row>
    <row r="83" spans="1:27" s="488" customFormat="1" ht="12">
      <c r="B83" s="538" t="s">
        <v>1060</v>
      </c>
      <c r="C83" s="538"/>
      <c r="D83" s="538"/>
      <c r="E83" s="573">
        <v>0</v>
      </c>
      <c r="F83" s="538" t="s">
        <v>740</v>
      </c>
      <c r="W83" s="509"/>
      <c r="X83" s="520"/>
      <c r="Y83" s="521"/>
      <c r="Z83" s="520"/>
      <c r="AA83" s="521"/>
    </row>
    <row r="84" spans="1:27" s="488" customFormat="1" ht="11.25">
      <c r="B84" s="538" t="s">
        <v>738</v>
      </c>
      <c r="C84" s="538"/>
      <c r="D84" s="539"/>
      <c r="E84" s="540">
        <f>E69*E83</f>
        <v>0</v>
      </c>
      <c r="F84" s="541" t="s">
        <v>75</v>
      </c>
      <c r="W84" s="509"/>
    </row>
    <row r="85" spans="1:27" s="488" customFormat="1" ht="11.25">
      <c r="B85" s="542" t="s">
        <v>59</v>
      </c>
      <c r="C85" s="542"/>
      <c r="D85" s="543">
        <f>_xlfn.IFNA(VLOOKUP(E68,'CENOVNI RAZREDI'!$B$7:$N$92,10,FALSE),0)</f>
        <v>0.70399999999999996</v>
      </c>
      <c r="E85" s="544">
        <f>D85*E84</f>
        <v>0</v>
      </c>
      <c r="F85" s="545" t="s">
        <v>75</v>
      </c>
      <c r="W85" s="521"/>
    </row>
    <row r="86" spans="1:27" s="488" customFormat="1" ht="11.25">
      <c r="B86" s="542" t="s">
        <v>61</v>
      </c>
      <c r="C86" s="542"/>
      <c r="D86" s="543">
        <f>_xlfn.IFNA(VLOOKUP(E68,'CENOVNI RAZREDI'!$B$7:$N$92,12,FALSE),0)</f>
        <v>0.13506720000000003</v>
      </c>
      <c r="E86" s="544">
        <f>D86*E84</f>
        <v>0</v>
      </c>
      <c r="F86" s="545" t="s">
        <v>75</v>
      </c>
      <c r="Y86" s="521"/>
      <c r="Z86" s="520"/>
      <c r="AA86" s="521"/>
    </row>
    <row r="87" spans="1:27" s="488" customFormat="1" ht="11.25">
      <c r="B87" s="542" t="s">
        <v>60</v>
      </c>
      <c r="C87" s="542"/>
      <c r="D87" s="543">
        <f>_xlfn.IFNA(VLOOKUP(E68,'CENOVNI RAZREDI'!$B$7:$N$92,11,FALSE),0)</f>
        <v>0.118992</v>
      </c>
      <c r="E87" s="544">
        <f>D87*E84</f>
        <v>0</v>
      </c>
      <c r="F87" s="545" t="s">
        <v>75</v>
      </c>
      <c r="W87" s="521"/>
    </row>
    <row r="88" spans="1:27" s="488" customFormat="1" ht="11.25">
      <c r="B88" s="546" t="s">
        <v>343</v>
      </c>
      <c r="C88" s="546"/>
      <c r="D88" s="547">
        <f>_xlfn.IFNA(VLOOKUP(E68,'CENOVNI RAZREDI'!$B$7:$N$92,13,FALSE),0)</f>
        <v>4.1736000000000002E-2</v>
      </c>
      <c r="E88" s="548">
        <f>D88*E84</f>
        <v>0</v>
      </c>
      <c r="F88" s="549" t="s">
        <v>75</v>
      </c>
      <c r="W88" s="521"/>
    </row>
    <row r="89" spans="1:27" s="488" customFormat="1" ht="11.25">
      <c r="B89" s="511"/>
      <c r="C89" s="511"/>
      <c r="D89" s="510"/>
      <c r="E89" s="508"/>
      <c r="F89" s="509"/>
      <c r="W89" s="521"/>
    </row>
    <row r="90" spans="1:27" s="73" customFormat="1">
      <c r="B90" s="81" t="s">
        <v>618</v>
      </c>
      <c r="C90" s="81"/>
      <c r="D90" s="80"/>
      <c r="E90" s="531">
        <f>IFERROR(STAVBE!C71,0)</f>
        <v>0</v>
      </c>
      <c r="F90" s="378" t="s">
        <v>723</v>
      </c>
    </row>
    <row r="91" spans="1:27" s="73" customFormat="1">
      <c r="B91" s="81" t="s">
        <v>619</v>
      </c>
      <c r="C91" s="81"/>
      <c r="D91" s="80"/>
      <c r="E91" s="531">
        <f>IFERROR(STAVBE!C72,0)</f>
        <v>0</v>
      </c>
      <c r="F91" s="378" t="s">
        <v>723</v>
      </c>
    </row>
    <row r="92" spans="1:27" s="30" customFormat="1">
      <c r="A92" s="51"/>
      <c r="B92" s="51"/>
      <c r="C92" s="51"/>
      <c r="D92" s="52"/>
      <c r="E92" s="333"/>
      <c r="F92" s="53"/>
      <c r="Y92" s="33"/>
      <c r="Z92" s="32"/>
      <c r="AA92" s="33"/>
    </row>
    <row r="93" spans="1:27" s="39" customFormat="1" ht="15.75">
      <c r="A93" s="225" t="s">
        <v>735</v>
      </c>
      <c r="B93" s="38"/>
      <c r="C93" s="38"/>
      <c r="D93" s="38"/>
      <c r="E93" s="1311"/>
      <c r="F93" s="1311"/>
      <c r="G93" s="37"/>
      <c r="H93" s="37"/>
      <c r="I93" s="37"/>
      <c r="J93" s="37"/>
      <c r="K93" s="37"/>
      <c r="L93" s="37"/>
      <c r="M93" s="37"/>
      <c r="N93" s="37"/>
      <c r="O93" s="37"/>
    </row>
    <row r="94" spans="1:27" s="220" customFormat="1" ht="25.5" customHeight="1">
      <c r="B94" s="49" t="s">
        <v>617</v>
      </c>
      <c r="C94" s="49"/>
      <c r="D94" s="49"/>
      <c r="E94" s="1309" t="s">
        <v>1103</v>
      </c>
      <c r="F94" s="1309"/>
      <c r="G94" s="30"/>
      <c r="H94" s="30"/>
      <c r="I94" s="30"/>
      <c r="J94" s="30"/>
      <c r="K94" s="30"/>
      <c r="L94" s="30"/>
      <c r="M94" s="30"/>
      <c r="N94" s="30"/>
      <c r="O94" s="30"/>
    </row>
    <row r="95" spans="1:27" s="30" customFormat="1" ht="14.25">
      <c r="B95" s="50" t="s">
        <v>76</v>
      </c>
      <c r="C95" s="50"/>
      <c r="D95" s="50"/>
      <c r="E95" s="480">
        <v>0</v>
      </c>
      <c r="F95" s="726" t="s">
        <v>892</v>
      </c>
    </row>
    <row r="96" spans="1:27" s="73" customFormat="1">
      <c r="B96" s="198" t="s">
        <v>747</v>
      </c>
      <c r="C96" s="198"/>
      <c r="D96" s="198"/>
      <c r="E96" s="480" t="s">
        <v>72</v>
      </c>
    </row>
    <row r="97" spans="1:27" s="484" customFormat="1">
      <c r="A97" s="73"/>
      <c r="B97" s="513" t="s">
        <v>748</v>
      </c>
      <c r="C97" s="513"/>
      <c r="D97" s="481"/>
      <c r="E97" s="930" t="s">
        <v>72</v>
      </c>
      <c r="F97" s="485"/>
    </row>
    <row r="98" spans="1:27" s="484" customFormat="1">
      <c r="A98" s="73"/>
      <c r="B98" s="514" t="s">
        <v>749</v>
      </c>
      <c r="C98" s="514"/>
      <c r="D98" s="481"/>
      <c r="E98" s="930" t="s">
        <v>71</v>
      </c>
      <c r="F98" s="485"/>
    </row>
    <row r="99" spans="1:27" s="484" customFormat="1">
      <c r="A99" s="73"/>
      <c r="B99" s="514" t="s">
        <v>750</v>
      </c>
      <c r="C99" s="514"/>
      <c r="D99" s="481"/>
      <c r="E99" s="930" t="s">
        <v>71</v>
      </c>
      <c r="F99" s="485"/>
    </row>
    <row r="100" spans="1:27" s="484" customFormat="1">
      <c r="A100" s="73"/>
      <c r="B100" s="514" t="s">
        <v>751</v>
      </c>
      <c r="C100" s="514"/>
      <c r="D100" s="481"/>
      <c r="E100" s="930" t="s">
        <v>71</v>
      </c>
      <c r="F100" s="485"/>
    </row>
    <row r="101" spans="1:27" s="484" customFormat="1">
      <c r="A101" s="73"/>
      <c r="B101" s="514" t="s">
        <v>752</v>
      </c>
      <c r="C101" s="514"/>
      <c r="D101" s="481"/>
      <c r="E101" s="930" t="s">
        <v>71</v>
      </c>
      <c r="F101" s="485"/>
    </row>
    <row r="102" spans="1:27" s="484" customFormat="1">
      <c r="A102" s="73"/>
      <c r="B102" s="516" t="s">
        <v>753</v>
      </c>
      <c r="C102" s="516"/>
      <c r="D102" s="481"/>
      <c r="E102" s="515" t="str">
        <f>E96</f>
        <v>Cenovni razred III</v>
      </c>
      <c r="F102" s="485"/>
    </row>
    <row r="103" spans="1:27" s="484" customFormat="1">
      <c r="A103" s="73"/>
      <c r="B103" s="517" t="s">
        <v>754</v>
      </c>
      <c r="C103" s="517"/>
      <c r="D103" s="481"/>
      <c r="E103" s="930" t="s">
        <v>71</v>
      </c>
      <c r="F103" s="485"/>
    </row>
    <row r="104" spans="1:27" s="488" customFormat="1">
      <c r="A104" s="30"/>
      <c r="B104" s="514" t="s">
        <v>755</v>
      </c>
      <c r="C104" s="514"/>
      <c r="D104" s="485"/>
      <c r="E104" s="930" t="s">
        <v>72</v>
      </c>
      <c r="F104" s="485"/>
    </row>
    <row r="105" spans="1:27" s="73" customFormat="1">
      <c r="B105" s="572" t="s">
        <v>762</v>
      </c>
      <c r="C105" s="198"/>
      <c r="D105" s="482"/>
      <c r="E105" s="483">
        <f>_xlfn.IFNA(VLOOKUP(E94,'CENOVNI RAZREDI'!$B$7:$Q$92,16,FALSE),"/")</f>
        <v>785</v>
      </c>
      <c r="F105" s="490"/>
    </row>
    <row r="106" spans="1:27" s="30" customFormat="1">
      <c r="B106" s="50"/>
      <c r="C106" s="50"/>
      <c r="D106" s="50"/>
      <c r="E106" s="50"/>
      <c r="F106" s="50"/>
    </row>
    <row r="107" spans="1:27" s="73" customFormat="1">
      <c r="B107" s="512" t="s">
        <v>739</v>
      </c>
      <c r="C107" s="512"/>
      <c r="D107" s="534"/>
      <c r="E107" s="534"/>
      <c r="F107" s="382"/>
    </row>
    <row r="108" spans="1:27" s="518" customFormat="1" ht="12">
      <c r="B108" s="535" t="s">
        <v>737</v>
      </c>
      <c r="C108" s="535"/>
      <c r="D108" s="536"/>
      <c r="E108" s="537" t="str">
        <f>_xlfn.IFNA(CONCATENATE(VLOOKUP(E94,'CENOVNI RAZREDI'!$B$7:$J$92,8,FALSE)," - ",VLOOKUP(E94,'CENOVNI RAZREDI'!$B$7:$J$92,9,FALSE)),"")</f>
        <v>2020,2 - 2620,8</v>
      </c>
      <c r="F108" s="538" t="s">
        <v>740</v>
      </c>
      <c r="G108" s="519"/>
      <c r="H108" s="488"/>
      <c r="I108" s="488"/>
      <c r="J108" s="488"/>
      <c r="K108" s="488"/>
      <c r="L108" s="488"/>
      <c r="M108" s="488"/>
      <c r="N108" s="488"/>
      <c r="O108" s="488"/>
    </row>
    <row r="109" spans="1:27" s="488" customFormat="1" ht="12">
      <c r="B109" s="538" t="s">
        <v>1060</v>
      </c>
      <c r="C109" s="538"/>
      <c r="D109" s="538"/>
      <c r="E109" s="573">
        <v>0</v>
      </c>
      <c r="F109" s="538" t="s">
        <v>740</v>
      </c>
      <c r="W109" s="509"/>
      <c r="X109" s="520"/>
      <c r="Y109" s="521"/>
      <c r="Z109" s="520"/>
      <c r="AA109" s="521"/>
    </row>
    <row r="110" spans="1:27" s="488" customFormat="1" ht="11.25">
      <c r="B110" s="538" t="s">
        <v>738</v>
      </c>
      <c r="C110" s="538"/>
      <c r="D110" s="539"/>
      <c r="E110" s="540">
        <f>E95*E109</f>
        <v>0</v>
      </c>
      <c r="F110" s="541" t="s">
        <v>75</v>
      </c>
      <c r="W110" s="509"/>
    </row>
    <row r="111" spans="1:27" s="488" customFormat="1" ht="11.25">
      <c r="B111" s="542" t="s">
        <v>59</v>
      </c>
      <c r="C111" s="542"/>
      <c r="D111" s="543">
        <f>_xlfn.IFNA(VLOOKUP(E94,'CENOVNI RAZREDI'!$B$7:$N$92,10,FALSE),0)</f>
        <v>0.76200000000000001</v>
      </c>
      <c r="E111" s="544">
        <f>D111*E110</f>
        <v>0</v>
      </c>
      <c r="F111" s="545" t="s">
        <v>75</v>
      </c>
      <c r="W111" s="521"/>
    </row>
    <row r="112" spans="1:27" s="488" customFormat="1" ht="11.25">
      <c r="B112" s="542" t="s">
        <v>61</v>
      </c>
      <c r="C112" s="542"/>
      <c r="D112" s="543">
        <f>_xlfn.IFNA(VLOOKUP(E94,'CENOVNI RAZREDI'!$B$7:$N$92,12,FALSE),0)</f>
        <v>7.9730000000000009E-2</v>
      </c>
      <c r="E112" s="544">
        <f>D112*E110</f>
        <v>0</v>
      </c>
      <c r="F112" s="545" t="s">
        <v>75</v>
      </c>
      <c r="Y112" s="521"/>
      <c r="Z112" s="520"/>
      <c r="AA112" s="521"/>
    </row>
    <row r="113" spans="1:27" s="488" customFormat="1" ht="11.25">
      <c r="B113" s="542" t="s">
        <v>60</v>
      </c>
      <c r="C113" s="542"/>
      <c r="D113" s="543">
        <f>_xlfn.IFNA(VLOOKUP(E94,'CENOVNI RAZREDI'!$B$7:$N$92,11,FALSE),0)</f>
        <v>0.11876200000000001</v>
      </c>
      <c r="E113" s="544">
        <f>D113*E110</f>
        <v>0</v>
      </c>
      <c r="F113" s="545" t="s">
        <v>75</v>
      </c>
      <c r="W113" s="521"/>
    </row>
    <row r="114" spans="1:27" s="488" customFormat="1" ht="11.25">
      <c r="B114" s="546" t="s">
        <v>343</v>
      </c>
      <c r="C114" s="546"/>
      <c r="D114" s="547">
        <f>_xlfn.IFNA(VLOOKUP(E94,'CENOVNI RAZREDI'!$B$7:$N$92,13,FALSE),0)</f>
        <v>3.9508000000000008E-2</v>
      </c>
      <c r="E114" s="548">
        <f>D114*E110</f>
        <v>0</v>
      </c>
      <c r="F114" s="549" t="s">
        <v>75</v>
      </c>
      <c r="W114" s="521"/>
    </row>
    <row r="115" spans="1:27" s="488" customFormat="1" ht="11.25">
      <c r="B115" s="511"/>
      <c r="C115" s="511"/>
      <c r="D115" s="510"/>
      <c r="E115" s="508"/>
      <c r="F115" s="509"/>
      <c r="W115" s="521"/>
    </row>
    <row r="116" spans="1:27" s="73" customFormat="1">
      <c r="B116" s="81" t="s">
        <v>618</v>
      </c>
      <c r="C116" s="81"/>
      <c r="D116" s="80"/>
      <c r="E116" s="531">
        <f>IFERROR(STAVBE!C93,0)</f>
        <v>0</v>
      </c>
      <c r="F116" s="378" t="s">
        <v>723</v>
      </c>
    </row>
    <row r="117" spans="1:27" s="73" customFormat="1">
      <c r="B117" s="81" t="s">
        <v>619</v>
      </c>
      <c r="C117" s="81"/>
      <c r="D117" s="80"/>
      <c r="E117" s="531">
        <f>IFERROR(STAVBE!C94,0)</f>
        <v>0</v>
      </c>
      <c r="F117" s="378" t="s">
        <v>723</v>
      </c>
    </row>
    <row r="118" spans="1:27" s="30" customFormat="1">
      <c r="A118" s="51"/>
      <c r="B118" s="51"/>
      <c r="C118" s="51"/>
      <c r="D118" s="52"/>
      <c r="E118" s="333"/>
      <c r="F118" s="53"/>
      <c r="Y118" s="33"/>
      <c r="Z118" s="32"/>
      <c r="AA118" s="33"/>
    </row>
    <row r="119" spans="1:27" s="39" customFormat="1" ht="15.75">
      <c r="A119" s="225" t="s">
        <v>736</v>
      </c>
      <c r="B119" s="38"/>
      <c r="C119" s="38"/>
      <c r="D119" s="38"/>
      <c r="E119" s="1311"/>
      <c r="F119" s="1311"/>
      <c r="G119" s="37"/>
      <c r="H119" s="37"/>
      <c r="I119" s="37"/>
      <c r="J119" s="37"/>
      <c r="K119" s="37"/>
      <c r="L119" s="37"/>
      <c r="M119" s="37"/>
      <c r="N119" s="37"/>
      <c r="O119" s="37"/>
    </row>
    <row r="120" spans="1:27" s="220" customFormat="1" ht="25.5" customHeight="1">
      <c r="B120" s="49" t="s">
        <v>617</v>
      </c>
      <c r="C120" s="49"/>
      <c r="D120" s="49"/>
      <c r="E120" s="1309" t="s">
        <v>1108</v>
      </c>
      <c r="F120" s="1309"/>
      <c r="G120" s="30"/>
      <c r="H120" s="30"/>
      <c r="I120" s="30"/>
      <c r="J120" s="30"/>
      <c r="K120" s="30"/>
      <c r="L120" s="30"/>
      <c r="M120" s="30"/>
      <c r="N120" s="30"/>
      <c r="O120" s="30"/>
    </row>
    <row r="121" spans="1:27" s="30" customFormat="1" ht="14.25">
      <c r="B121" s="50" t="s">
        <v>76</v>
      </c>
      <c r="C121" s="50"/>
      <c r="D121" s="50"/>
      <c r="E121" s="480">
        <v>0</v>
      </c>
      <c r="F121" s="726" t="s">
        <v>892</v>
      </c>
    </row>
    <row r="122" spans="1:27" s="73" customFormat="1">
      <c r="B122" s="198" t="s">
        <v>747</v>
      </c>
      <c r="C122" s="198"/>
      <c r="D122" s="198"/>
      <c r="E122" s="480" t="s">
        <v>72</v>
      </c>
    </row>
    <row r="123" spans="1:27" s="484" customFormat="1">
      <c r="A123" s="73"/>
      <c r="B123" s="513" t="s">
        <v>748</v>
      </c>
      <c r="C123" s="513"/>
      <c r="D123" s="481"/>
      <c r="E123" s="930" t="s">
        <v>72</v>
      </c>
      <c r="F123" s="485"/>
    </row>
    <row r="124" spans="1:27" s="484" customFormat="1">
      <c r="A124" s="73"/>
      <c r="B124" s="514" t="s">
        <v>749</v>
      </c>
      <c r="C124" s="514"/>
      <c r="D124" s="481"/>
      <c r="E124" s="930" t="s">
        <v>71</v>
      </c>
      <c r="F124" s="485"/>
    </row>
    <row r="125" spans="1:27" s="484" customFormat="1">
      <c r="A125" s="73"/>
      <c r="B125" s="514" t="s">
        <v>750</v>
      </c>
      <c r="C125" s="514"/>
      <c r="D125" s="481"/>
      <c r="E125" s="930" t="s">
        <v>71</v>
      </c>
      <c r="F125" s="485"/>
    </row>
    <row r="126" spans="1:27" s="484" customFormat="1">
      <c r="A126" s="73"/>
      <c r="B126" s="514" t="s">
        <v>751</v>
      </c>
      <c r="C126" s="514"/>
      <c r="D126" s="481"/>
      <c r="E126" s="930" t="s">
        <v>71</v>
      </c>
      <c r="F126" s="485"/>
    </row>
    <row r="127" spans="1:27" s="484" customFormat="1">
      <c r="A127" s="73"/>
      <c r="B127" s="514" t="s">
        <v>752</v>
      </c>
      <c r="C127" s="514"/>
      <c r="D127" s="481"/>
      <c r="E127" s="930" t="s">
        <v>71</v>
      </c>
      <c r="F127" s="485"/>
    </row>
    <row r="128" spans="1:27" s="484" customFormat="1">
      <c r="A128" s="73"/>
      <c r="B128" s="516" t="s">
        <v>753</v>
      </c>
      <c r="C128" s="516"/>
      <c r="D128" s="481"/>
      <c r="E128" s="515" t="str">
        <f>E122</f>
        <v>Cenovni razred III</v>
      </c>
      <c r="F128" s="485"/>
    </row>
    <row r="129" spans="1:27" s="484" customFormat="1">
      <c r="A129" s="73"/>
      <c r="B129" s="517" t="s">
        <v>754</v>
      </c>
      <c r="C129" s="517"/>
      <c r="D129" s="481"/>
      <c r="E129" s="930" t="s">
        <v>71</v>
      </c>
      <c r="F129" s="485"/>
    </row>
    <row r="130" spans="1:27" s="488" customFormat="1">
      <c r="A130" s="30"/>
      <c r="B130" s="514" t="s">
        <v>755</v>
      </c>
      <c r="C130" s="514"/>
      <c r="D130" s="485"/>
      <c r="E130" s="930" t="s">
        <v>72</v>
      </c>
      <c r="F130" s="485"/>
    </row>
    <row r="131" spans="1:27" s="73" customFormat="1">
      <c r="B131" s="572" t="s">
        <v>762</v>
      </c>
      <c r="C131" s="198"/>
      <c r="D131" s="482"/>
      <c r="E131" s="483">
        <f>_xlfn.IFNA(VLOOKUP(E120,'CENOVNI RAZREDI'!$B$7:$Q$92,16,FALSE),"/")</f>
        <v>990.8</v>
      </c>
      <c r="F131" s="490"/>
    </row>
    <row r="132" spans="1:27" s="30" customFormat="1">
      <c r="B132" s="50"/>
      <c r="C132" s="50"/>
      <c r="D132" s="50"/>
      <c r="E132" s="50"/>
      <c r="F132" s="50"/>
    </row>
    <row r="133" spans="1:27" s="73" customFormat="1">
      <c r="B133" s="512" t="s">
        <v>739</v>
      </c>
      <c r="C133" s="512"/>
      <c r="D133" s="534"/>
      <c r="E133" s="534"/>
      <c r="F133" s="382"/>
    </row>
    <row r="134" spans="1:27" s="518" customFormat="1" ht="12">
      <c r="B134" s="535" t="s">
        <v>737</v>
      </c>
      <c r="C134" s="535"/>
      <c r="D134" s="536"/>
      <c r="E134" s="537" t="str">
        <f>_xlfn.IFNA(CONCATENATE(VLOOKUP(E120,'CENOVNI RAZREDI'!$B$7:$J$92,8,FALSE)," - ",VLOOKUP(E120,'CENOVNI RAZREDI'!$B$7:$J$92,9,FALSE)),"")</f>
        <v>2009,28 - 3166,8</v>
      </c>
      <c r="F134" s="538" t="s">
        <v>740</v>
      </c>
      <c r="G134" s="519"/>
      <c r="H134" s="488"/>
      <c r="I134" s="488"/>
      <c r="J134" s="488"/>
      <c r="K134" s="488"/>
      <c r="L134" s="488"/>
      <c r="M134" s="488"/>
      <c r="N134" s="488"/>
      <c r="O134" s="488"/>
    </row>
    <row r="135" spans="1:27" s="488" customFormat="1" ht="12">
      <c r="B135" s="538" t="s">
        <v>1060</v>
      </c>
      <c r="C135" s="538"/>
      <c r="D135" s="538"/>
      <c r="E135" s="573">
        <v>0</v>
      </c>
      <c r="F135" s="538" t="s">
        <v>740</v>
      </c>
      <c r="W135" s="509"/>
      <c r="X135" s="520"/>
      <c r="Y135" s="521"/>
      <c r="Z135" s="520"/>
      <c r="AA135" s="521"/>
    </row>
    <row r="136" spans="1:27" s="488" customFormat="1" ht="11.25">
      <c r="B136" s="538" t="s">
        <v>738</v>
      </c>
      <c r="C136" s="538"/>
      <c r="D136" s="539"/>
      <c r="E136" s="540">
        <f>E121*E135</f>
        <v>0</v>
      </c>
      <c r="F136" s="541" t="s">
        <v>75</v>
      </c>
      <c r="W136" s="509"/>
    </row>
    <row r="137" spans="1:27" s="488" customFormat="1" ht="11.25">
      <c r="B137" s="542" t="s">
        <v>59</v>
      </c>
      <c r="C137" s="542"/>
      <c r="D137" s="543">
        <f>_xlfn.IFNA(VLOOKUP(E120,'CENOVNI RAZREDI'!$B$7:$N$92,10,FALSE),0)</f>
        <v>0.73699999999999999</v>
      </c>
      <c r="E137" s="544">
        <f>D137*E136</f>
        <v>0</v>
      </c>
      <c r="F137" s="545" t="s">
        <v>75</v>
      </c>
      <c r="W137" s="521"/>
    </row>
    <row r="138" spans="1:27" s="488" customFormat="1" ht="11.25">
      <c r="B138" s="542" t="s">
        <v>61</v>
      </c>
      <c r="C138" s="542"/>
      <c r="D138" s="543">
        <f>_xlfn.IFNA(VLOOKUP(E120,'CENOVNI RAZREDI'!$B$7:$N$92,12,FALSE),0)</f>
        <v>0.11230100000000003</v>
      </c>
      <c r="E138" s="544">
        <f>D138*E136</f>
        <v>0</v>
      </c>
      <c r="F138" s="545" t="s">
        <v>75</v>
      </c>
      <c r="Y138" s="521"/>
      <c r="Z138" s="520"/>
      <c r="AA138" s="521"/>
    </row>
    <row r="139" spans="1:27" s="488" customFormat="1" ht="11.25">
      <c r="B139" s="542" t="s">
        <v>60</v>
      </c>
      <c r="C139" s="542"/>
      <c r="D139" s="543">
        <f>_xlfn.IFNA(VLOOKUP(E120,'CENOVNI RAZREDI'!$B$7:$N$92,11,FALSE),0)</f>
        <v>0.124399</v>
      </c>
      <c r="E139" s="544">
        <f>D139*E136</f>
        <v>0</v>
      </c>
      <c r="F139" s="545" t="s">
        <v>75</v>
      </c>
      <c r="W139" s="521"/>
    </row>
    <row r="140" spans="1:27" s="488" customFormat="1" ht="11.25">
      <c r="B140" s="546" t="s">
        <v>343</v>
      </c>
      <c r="C140" s="546"/>
      <c r="D140" s="547">
        <f>_xlfn.IFNA(VLOOKUP(E120,'CENOVNI RAZREDI'!$B$7:$N$92,13,FALSE),0)</f>
        <v>2.6300000000000004E-2</v>
      </c>
      <c r="E140" s="548">
        <f>D140*E136</f>
        <v>0</v>
      </c>
      <c r="F140" s="549" t="s">
        <v>75</v>
      </c>
      <c r="W140" s="521"/>
    </row>
    <row r="141" spans="1:27" s="488" customFormat="1" ht="11.25">
      <c r="B141" s="511"/>
      <c r="C141" s="511"/>
      <c r="D141" s="510"/>
      <c r="E141" s="508"/>
      <c r="F141" s="509"/>
      <c r="W141" s="521"/>
    </row>
    <row r="142" spans="1:27" s="73" customFormat="1">
      <c r="B142" s="81" t="s">
        <v>618</v>
      </c>
      <c r="C142" s="81"/>
      <c r="D142" s="80"/>
      <c r="E142" s="531">
        <f>IFERROR(STAVBE!C115,0)</f>
        <v>0</v>
      </c>
      <c r="F142" s="378" t="s">
        <v>723</v>
      </c>
    </row>
    <row r="143" spans="1:27" s="73" customFormat="1">
      <c r="B143" s="81" t="s">
        <v>619</v>
      </c>
      <c r="C143" s="81"/>
      <c r="D143" s="80"/>
      <c r="E143" s="531">
        <f>IFERROR(STAVBE!C116,0)</f>
        <v>0</v>
      </c>
      <c r="F143" s="378" t="s">
        <v>723</v>
      </c>
    </row>
    <row r="144" spans="1:27" s="37" customFormat="1" ht="16.5" thickBot="1">
      <c r="A144" s="63"/>
      <c r="B144" s="63"/>
      <c r="C144" s="63"/>
      <c r="D144" s="64"/>
      <c r="E144" s="334"/>
      <c r="F144" s="65"/>
      <c r="Y144" s="46"/>
      <c r="Z144" s="45"/>
      <c r="AA144" s="46"/>
    </row>
    <row r="145" spans="1:27" s="14" customFormat="1" ht="15.75">
      <c r="A145" s="222" t="s">
        <v>2</v>
      </c>
      <c r="B145" s="222"/>
      <c r="C145" s="222"/>
      <c r="D145" s="222"/>
      <c r="E145" s="330"/>
      <c r="F145" s="222"/>
    </row>
    <row r="146" spans="1:27" s="14" customFormat="1" ht="15.75">
      <c r="A146" s="736"/>
      <c r="B146" s="734"/>
      <c r="C146" s="734"/>
      <c r="D146" s="734"/>
      <c r="E146" s="735"/>
      <c r="F146" s="734"/>
    </row>
    <row r="147" spans="1:27" s="14" customFormat="1" ht="30.95" customHeight="1">
      <c r="A147" s="59"/>
      <c r="B147" s="50" t="s">
        <v>793</v>
      </c>
      <c r="C147" s="1247"/>
      <c r="D147" s="1247"/>
      <c r="E147" s="1247"/>
      <c r="F147" s="931"/>
      <c r="H147" s="1246">
        <v>1</v>
      </c>
    </row>
    <row r="148" spans="1:27" s="14" customFormat="1" ht="30.95" customHeight="1">
      <c r="A148" s="59"/>
      <c r="B148" s="50" t="s">
        <v>943</v>
      </c>
      <c r="C148" s="50"/>
      <c r="D148" s="50"/>
      <c r="E148" s="50"/>
      <c r="F148" s="932"/>
      <c r="G148" s="30"/>
    </row>
    <row r="149" spans="1:27" s="14" customFormat="1" ht="15.75">
      <c r="A149" s="59"/>
      <c r="B149" s="50" t="s">
        <v>944</v>
      </c>
      <c r="C149" s="50"/>
      <c r="D149" s="50"/>
      <c r="E149" s="50"/>
      <c r="F149" s="50"/>
    </row>
    <row r="150" spans="1:27" s="14" customFormat="1" ht="15.75">
      <c r="A150" s="732"/>
      <c r="B150" s="732"/>
      <c r="C150" s="732"/>
      <c r="D150" s="732"/>
      <c r="E150" s="733"/>
      <c r="F150" s="732"/>
    </row>
    <row r="151" spans="1:27" s="39" customFormat="1" ht="15.75">
      <c r="A151" s="225" t="s">
        <v>894</v>
      </c>
      <c r="B151" s="38"/>
      <c r="C151" s="38"/>
      <c r="D151" s="38"/>
      <c r="E151" s="1311"/>
      <c r="F151" s="1311"/>
      <c r="G151" s="37"/>
      <c r="H151" s="37"/>
      <c r="I151" s="37"/>
      <c r="J151" s="37"/>
      <c r="K151" s="37"/>
      <c r="L151" s="37"/>
      <c r="M151" s="37"/>
      <c r="N151" s="37"/>
      <c r="O151" s="37"/>
    </row>
    <row r="152" spans="1:27" s="39" customFormat="1" ht="62.25" customHeight="1">
      <c r="B152" s="49" t="s">
        <v>196</v>
      </c>
      <c r="C152" s="38"/>
      <c r="D152" s="40"/>
      <c r="E152" s="1309" t="s">
        <v>1016</v>
      </c>
      <c r="F152" s="1309"/>
      <c r="G152" s="37"/>
      <c r="H152" s="37"/>
      <c r="I152" s="37"/>
      <c r="J152" s="37"/>
      <c r="K152" s="37"/>
      <c r="L152" s="37"/>
      <c r="M152" s="37"/>
      <c r="N152" s="37"/>
      <c r="O152" s="37"/>
    </row>
    <row r="153" spans="1:27" s="37" customFormat="1" ht="15.75">
      <c r="B153" s="50" t="s">
        <v>882</v>
      </c>
      <c r="C153" s="42"/>
      <c r="D153" s="43"/>
      <c r="E153" s="727">
        <v>0</v>
      </c>
      <c r="F153" s="726" t="s">
        <v>892</v>
      </c>
    </row>
    <row r="154" spans="1:27" s="73" customFormat="1">
      <c r="B154" s="198" t="s">
        <v>884</v>
      </c>
      <c r="C154" s="198"/>
      <c r="D154" s="198"/>
      <c r="E154" s="480" t="s">
        <v>70</v>
      </c>
    </row>
    <row r="155" spans="1:27" s="37" customFormat="1" ht="15.75">
      <c r="B155" s="198" t="s">
        <v>1061</v>
      </c>
      <c r="C155" s="42"/>
      <c r="D155" s="41"/>
      <c r="E155" s="727"/>
      <c r="F155" s="726" t="s">
        <v>893</v>
      </c>
      <c r="W155" s="44"/>
      <c r="X155" s="45"/>
      <c r="Y155" s="46"/>
      <c r="Z155" s="45"/>
      <c r="AA155" s="46"/>
    </row>
    <row r="156" spans="1:27" s="39" customFormat="1" ht="15.75">
      <c r="B156" s="535" t="s">
        <v>1059</v>
      </c>
      <c r="C156" s="38"/>
      <c r="D156" s="40"/>
      <c r="E156" s="537" t="str">
        <f>_xlfn.IFNA(CONCATENATE(VLOOKUP(E152,'CENOVNI RAZREDI'!$B$109:$J$170,8,FALSE)," - ",VLOOKUP(E152,'CENOVNI RAZREDI'!$B$109:$J$170,9,FALSE)),"")</f>
        <v>1000 - 1800</v>
      </c>
      <c r="F156" s="538" t="s">
        <v>740</v>
      </c>
      <c r="G156" s="37"/>
      <c r="H156" s="37"/>
      <c r="I156" s="37"/>
      <c r="J156" s="37"/>
      <c r="K156" s="37"/>
      <c r="L156" s="37"/>
      <c r="M156" s="37"/>
      <c r="N156" s="37"/>
      <c r="O156" s="37"/>
    </row>
    <row r="157" spans="1:27" s="39" customFormat="1" ht="15.75">
      <c r="B157" s="572" t="s">
        <v>762</v>
      </c>
      <c r="C157" s="38"/>
      <c r="D157" s="40"/>
      <c r="E157" s="537">
        <f>_xlfn.IFNA(VLOOKUP(E152,'CENOVNI RAZREDI'!$B$109:$Q$170,10,FALSE),"/")</f>
        <v>120</v>
      </c>
      <c r="F157" s="538"/>
      <c r="G157" s="37"/>
      <c r="H157" s="37"/>
      <c r="I157" s="37"/>
      <c r="J157" s="37"/>
      <c r="K157" s="37"/>
      <c r="L157" s="37"/>
      <c r="M157" s="37"/>
      <c r="N157" s="37"/>
      <c r="O157" s="37"/>
    </row>
    <row r="158" spans="1:27" s="37" customFormat="1" ht="15.75">
      <c r="B158" s="50" t="s">
        <v>880</v>
      </c>
      <c r="C158" s="42"/>
      <c r="D158" s="42"/>
      <c r="E158" s="728">
        <f>E153*E155</f>
        <v>0</v>
      </c>
      <c r="F158" s="729" t="s">
        <v>75</v>
      </c>
      <c r="W158" s="44"/>
    </row>
    <row r="159" spans="1:27" s="488" customFormat="1" ht="11.25">
      <c r="B159" s="511"/>
      <c r="C159" s="511"/>
      <c r="D159" s="510"/>
      <c r="E159" s="508"/>
      <c r="F159" s="509"/>
      <c r="W159" s="521"/>
    </row>
    <row r="160" spans="1:27" s="73" customFormat="1">
      <c r="B160" s="81" t="s">
        <v>618</v>
      </c>
      <c r="C160" s="81"/>
      <c r="D160" s="80"/>
      <c r="E160" s="531">
        <f>+'NOTRANJA OPREMA'!C23</f>
        <v>0</v>
      </c>
      <c r="F160" s="378" t="s">
        <v>723</v>
      </c>
    </row>
    <row r="161" spans="1:27" s="73" customFormat="1">
      <c r="B161" s="81" t="s">
        <v>619</v>
      </c>
      <c r="C161" s="81"/>
      <c r="D161" s="80"/>
      <c r="E161" s="531">
        <f>+'NOTRANJA OPREMA'!C24</f>
        <v>0</v>
      </c>
      <c r="F161" s="378" t="s">
        <v>723</v>
      </c>
    </row>
    <row r="162" spans="1:27" s="37" customFormat="1" ht="15.75">
      <c r="A162" s="66"/>
      <c r="B162" s="66"/>
      <c r="C162" s="66"/>
      <c r="D162" s="67"/>
      <c r="E162" s="338"/>
      <c r="F162" s="69"/>
      <c r="Y162" s="46"/>
      <c r="Z162" s="45"/>
      <c r="AA162" s="46"/>
    </row>
    <row r="163" spans="1:27" s="39" customFormat="1" ht="15.75">
      <c r="A163" s="225" t="s">
        <v>895</v>
      </c>
      <c r="B163" s="38"/>
      <c r="C163" s="38"/>
      <c r="D163" s="38"/>
      <c r="E163" s="1310"/>
      <c r="F163" s="1310"/>
      <c r="G163" s="37"/>
      <c r="H163" s="37"/>
      <c r="I163" s="37"/>
      <c r="J163" s="37"/>
      <c r="K163" s="37"/>
      <c r="L163" s="37"/>
      <c r="M163" s="37"/>
      <c r="N163" s="37"/>
      <c r="O163" s="37"/>
    </row>
    <row r="164" spans="1:27" s="39" customFormat="1" ht="45.75" customHeight="1">
      <c r="B164" s="49" t="s">
        <v>196</v>
      </c>
      <c r="C164" s="38"/>
      <c r="D164" s="40"/>
      <c r="E164" s="1309" t="s">
        <v>1021</v>
      </c>
      <c r="F164" s="1309"/>
      <c r="G164" s="37"/>
      <c r="H164" s="37"/>
      <c r="I164" s="37"/>
      <c r="J164" s="37"/>
      <c r="K164" s="37"/>
      <c r="L164" s="37"/>
      <c r="M164" s="37"/>
      <c r="N164" s="37"/>
      <c r="O164" s="37"/>
    </row>
    <row r="165" spans="1:27" s="37" customFormat="1" ht="15.75">
      <c r="B165" s="50" t="s">
        <v>882</v>
      </c>
      <c r="C165" s="42"/>
      <c r="D165" s="43"/>
      <c r="E165" s="727">
        <v>0</v>
      </c>
      <c r="F165" s="726" t="s">
        <v>892</v>
      </c>
    </row>
    <row r="166" spans="1:27" s="73" customFormat="1">
      <c r="B166" s="198" t="s">
        <v>884</v>
      </c>
      <c r="C166" s="198"/>
      <c r="D166" s="198"/>
      <c r="E166" s="480" t="s">
        <v>70</v>
      </c>
    </row>
    <row r="167" spans="1:27" s="37" customFormat="1" ht="15.75">
      <c r="B167" s="50" t="s">
        <v>881</v>
      </c>
      <c r="C167" s="42"/>
      <c r="D167" s="41"/>
      <c r="E167" s="727"/>
      <c r="F167" s="726" t="s">
        <v>893</v>
      </c>
      <c r="W167" s="44"/>
      <c r="X167" s="45"/>
      <c r="Y167" s="46"/>
      <c r="Z167" s="45"/>
      <c r="AA167" s="46"/>
    </row>
    <row r="168" spans="1:27" s="39" customFormat="1" ht="15.75">
      <c r="B168" s="535" t="s">
        <v>1059</v>
      </c>
      <c r="C168" s="38"/>
      <c r="D168" s="40"/>
      <c r="E168" s="537" t="str">
        <f>_xlfn.IFNA(CONCATENATE(VLOOKUP(E164,'CENOVNI RAZREDI'!$B$109:$J$170,8,FALSE)," - ",VLOOKUP(E164,'CENOVNI RAZREDI'!$B$109:$J$170,9,FALSE)),"")</f>
        <v>600 - 900</v>
      </c>
      <c r="F168" s="538" t="s">
        <v>740</v>
      </c>
      <c r="G168" s="37"/>
      <c r="H168" s="37"/>
      <c r="I168" s="37"/>
      <c r="J168" s="37"/>
      <c r="K168" s="37"/>
      <c r="L168" s="37"/>
      <c r="M168" s="37"/>
      <c r="N168" s="37"/>
      <c r="O168" s="37"/>
    </row>
    <row r="169" spans="1:27" s="39" customFormat="1" ht="15.75">
      <c r="B169" s="572" t="s">
        <v>762</v>
      </c>
      <c r="C169" s="38"/>
      <c r="D169" s="40"/>
      <c r="E169" s="537">
        <f>_xlfn.IFNA(VLOOKUP(E164,'CENOVNI RAZREDI'!$B$109:$Q$170,10,FALSE),"/")</f>
        <v>-400</v>
      </c>
      <c r="F169" s="538"/>
      <c r="G169" s="37"/>
      <c r="H169" s="37"/>
      <c r="I169" s="37"/>
      <c r="J169" s="37"/>
      <c r="K169" s="37"/>
      <c r="L169" s="37"/>
      <c r="M169" s="37"/>
      <c r="N169" s="37"/>
      <c r="O169" s="37"/>
    </row>
    <row r="170" spans="1:27" s="37" customFormat="1" ht="15.75">
      <c r="B170" s="50" t="s">
        <v>880</v>
      </c>
      <c r="C170" s="42"/>
      <c r="D170" s="42"/>
      <c r="E170" s="728">
        <f>E165*E167</f>
        <v>0</v>
      </c>
      <c r="F170" s="729" t="s">
        <v>75</v>
      </c>
      <c r="W170" s="44"/>
    </row>
    <row r="171" spans="1:27" s="488" customFormat="1" ht="11.25">
      <c r="B171" s="511"/>
      <c r="C171" s="511"/>
      <c r="D171" s="510"/>
      <c r="E171" s="508"/>
      <c r="F171" s="509"/>
      <c r="W171" s="521"/>
    </row>
    <row r="172" spans="1:27" s="73" customFormat="1">
      <c r="B172" s="81" t="s">
        <v>618</v>
      </c>
      <c r="C172" s="81"/>
      <c r="D172" s="80"/>
      <c r="E172" s="531">
        <f>+'NOTRANJA OPREMA'!C41</f>
        <v>0</v>
      </c>
      <c r="F172" s="378" t="s">
        <v>723</v>
      </c>
    </row>
    <row r="173" spans="1:27" s="73" customFormat="1">
      <c r="B173" s="81" t="s">
        <v>619</v>
      </c>
      <c r="C173" s="81"/>
      <c r="D173" s="80"/>
      <c r="E173" s="531">
        <f>+'NOTRANJA OPREMA'!C42</f>
        <v>0</v>
      </c>
      <c r="F173" s="378" t="s">
        <v>723</v>
      </c>
    </row>
    <row r="174" spans="1:27" s="37" customFormat="1" ht="15.75">
      <c r="A174" s="66"/>
      <c r="B174" s="66"/>
      <c r="C174" s="66"/>
      <c r="D174" s="67"/>
      <c r="E174" s="338"/>
      <c r="F174" s="69"/>
      <c r="Y174" s="46"/>
      <c r="Z174" s="45"/>
      <c r="AA174" s="46"/>
    </row>
    <row r="175" spans="1:27" s="39" customFormat="1" ht="15.75">
      <c r="A175" s="225" t="s">
        <v>896</v>
      </c>
      <c r="B175" s="38"/>
      <c r="C175" s="38"/>
      <c r="D175" s="38"/>
      <c r="E175" s="1310"/>
      <c r="F175" s="1310"/>
      <c r="G175" s="37"/>
      <c r="H175" s="37"/>
      <c r="I175" s="37"/>
      <c r="J175" s="37"/>
      <c r="K175" s="37"/>
      <c r="L175" s="37"/>
      <c r="M175" s="37"/>
      <c r="N175" s="37"/>
      <c r="O175" s="37"/>
    </row>
    <row r="176" spans="1:27" s="39" customFormat="1" ht="44.25" customHeight="1">
      <c r="B176" s="49" t="s">
        <v>196</v>
      </c>
      <c r="C176" s="38"/>
      <c r="D176" s="40"/>
      <c r="E176" s="1309" t="s">
        <v>1008</v>
      </c>
      <c r="F176" s="1309"/>
      <c r="G176" s="37"/>
      <c r="H176" s="37"/>
      <c r="I176" s="37"/>
      <c r="J176" s="37"/>
      <c r="K176" s="37"/>
      <c r="L176" s="37"/>
      <c r="M176" s="37"/>
      <c r="N176" s="37"/>
      <c r="O176" s="37"/>
    </row>
    <row r="177" spans="1:27" s="37" customFormat="1" ht="15.75">
      <c r="B177" s="50" t="s">
        <v>882</v>
      </c>
      <c r="C177" s="42"/>
      <c r="D177" s="43"/>
      <c r="E177" s="727">
        <v>0</v>
      </c>
      <c r="F177" s="726" t="s">
        <v>892</v>
      </c>
    </row>
    <row r="178" spans="1:27" s="73" customFormat="1">
      <c r="B178" s="198" t="s">
        <v>884</v>
      </c>
      <c r="C178" s="198"/>
      <c r="D178" s="198"/>
      <c r="E178" s="480" t="s">
        <v>70</v>
      </c>
    </row>
    <row r="179" spans="1:27" s="37" customFormat="1" ht="15.75">
      <c r="B179" s="50" t="s">
        <v>881</v>
      </c>
      <c r="C179" s="42"/>
      <c r="D179" s="41"/>
      <c r="E179" s="727"/>
      <c r="F179" s="726" t="s">
        <v>893</v>
      </c>
      <c r="W179" s="44"/>
      <c r="X179" s="45"/>
      <c r="Y179" s="46"/>
      <c r="Z179" s="45"/>
      <c r="AA179" s="46"/>
    </row>
    <row r="180" spans="1:27" s="39" customFormat="1" ht="15.75">
      <c r="B180" s="535" t="s">
        <v>1059</v>
      </c>
      <c r="C180" s="38"/>
      <c r="D180" s="40"/>
      <c r="E180" s="537" t="str">
        <f>_xlfn.IFNA(CONCATENATE(VLOOKUP(E176,'CENOVNI RAZREDI'!$B$109:$J$170,8,FALSE)," - ",VLOOKUP(E176,'CENOVNI RAZREDI'!$B$109:$J$170,9,FALSE)),"")</f>
        <v>600 - 900</v>
      </c>
      <c r="F180" s="538" t="s">
        <v>740</v>
      </c>
      <c r="G180" s="37"/>
      <c r="H180" s="37"/>
      <c r="I180" s="37"/>
      <c r="J180" s="37"/>
      <c r="K180" s="37"/>
      <c r="L180" s="37"/>
      <c r="M180" s="37"/>
      <c r="N180" s="37"/>
      <c r="O180" s="37"/>
    </row>
    <row r="181" spans="1:27" s="39" customFormat="1" ht="15.75">
      <c r="B181" s="572" t="s">
        <v>762</v>
      </c>
      <c r="C181" s="38"/>
      <c r="D181" s="40"/>
      <c r="E181" s="537">
        <f>_xlfn.IFNA(VLOOKUP(E176,'CENOVNI RAZREDI'!$B$109:$Q$170,10,FALSE),"/")</f>
        <v>-400</v>
      </c>
      <c r="F181" s="538"/>
      <c r="G181" s="37"/>
      <c r="H181" s="37"/>
      <c r="I181" s="37"/>
      <c r="J181" s="37"/>
      <c r="K181" s="37"/>
      <c r="L181" s="37"/>
      <c r="M181" s="37"/>
      <c r="N181" s="37"/>
      <c r="O181" s="37"/>
    </row>
    <row r="182" spans="1:27" s="37" customFormat="1" ht="15.75">
      <c r="B182" s="50" t="s">
        <v>880</v>
      </c>
      <c r="C182" s="42"/>
      <c r="D182" s="42"/>
      <c r="E182" s="728">
        <f>E177*E179</f>
        <v>0</v>
      </c>
      <c r="F182" s="729" t="s">
        <v>75</v>
      </c>
      <c r="W182" s="44"/>
    </row>
    <row r="183" spans="1:27" s="488" customFormat="1" ht="11.25">
      <c r="B183" s="511"/>
      <c r="C183" s="511"/>
      <c r="D183" s="510"/>
      <c r="E183" s="508"/>
      <c r="F183" s="509"/>
      <c r="W183" s="521"/>
    </row>
    <row r="184" spans="1:27" s="73" customFormat="1">
      <c r="B184" s="81" t="s">
        <v>618</v>
      </c>
      <c r="C184" s="81"/>
      <c r="D184" s="80"/>
      <c r="E184" s="531">
        <f>+'NOTRANJA OPREMA'!C59</f>
        <v>0</v>
      </c>
      <c r="F184" s="378" t="s">
        <v>723</v>
      </c>
    </row>
    <row r="185" spans="1:27" s="73" customFormat="1">
      <c r="B185" s="81" t="s">
        <v>619</v>
      </c>
      <c r="C185" s="81"/>
      <c r="D185" s="80"/>
      <c r="E185" s="531">
        <f>+'NOTRANJA OPREMA'!C60</f>
        <v>0</v>
      </c>
      <c r="F185" s="378" t="s">
        <v>723</v>
      </c>
    </row>
    <row r="186" spans="1:27" s="37" customFormat="1" ht="15.75">
      <c r="A186" s="66"/>
      <c r="B186" s="66"/>
      <c r="C186" s="66"/>
      <c r="D186" s="67"/>
      <c r="E186" s="338"/>
      <c r="F186" s="69"/>
      <c r="Y186" s="46"/>
      <c r="Z186" s="45"/>
      <c r="AA186" s="46"/>
    </row>
    <row r="187" spans="1:27" s="39" customFormat="1" ht="15.75">
      <c r="A187" s="225" t="s">
        <v>897</v>
      </c>
      <c r="B187" s="38"/>
      <c r="C187" s="38"/>
      <c r="D187" s="38"/>
      <c r="E187" s="1310"/>
      <c r="F187" s="1310"/>
      <c r="G187" s="37"/>
      <c r="H187" s="37"/>
      <c r="I187" s="37"/>
      <c r="J187" s="37"/>
      <c r="K187" s="37"/>
      <c r="L187" s="37"/>
      <c r="M187" s="37"/>
      <c r="N187" s="37"/>
      <c r="O187" s="37"/>
    </row>
    <row r="188" spans="1:27" s="39" customFormat="1" ht="46.5" customHeight="1">
      <c r="B188" s="49" t="s">
        <v>196</v>
      </c>
      <c r="C188" s="38"/>
      <c r="D188" s="40"/>
      <c r="E188" s="1309" t="s">
        <v>1009</v>
      </c>
      <c r="F188" s="1309"/>
      <c r="G188" s="37"/>
      <c r="H188" s="37"/>
      <c r="I188" s="37"/>
      <c r="J188" s="37"/>
      <c r="K188" s="37"/>
      <c r="L188" s="37"/>
      <c r="M188" s="37"/>
      <c r="N188" s="37"/>
      <c r="O188" s="37"/>
    </row>
    <row r="189" spans="1:27" s="37" customFormat="1" ht="15.75">
      <c r="B189" s="50" t="s">
        <v>882</v>
      </c>
      <c r="C189" s="42"/>
      <c r="D189" s="43"/>
      <c r="E189" s="727">
        <v>0</v>
      </c>
      <c r="F189" s="726" t="s">
        <v>892</v>
      </c>
    </row>
    <row r="190" spans="1:27" s="73" customFormat="1">
      <c r="B190" s="198" t="s">
        <v>884</v>
      </c>
      <c r="C190" s="198"/>
      <c r="D190" s="198"/>
      <c r="E190" s="480" t="s">
        <v>70</v>
      </c>
    </row>
    <row r="191" spans="1:27" s="37" customFormat="1" ht="15.75">
      <c r="B191" s="50" t="s">
        <v>881</v>
      </c>
      <c r="C191" s="42"/>
      <c r="D191" s="41"/>
      <c r="E191" s="727"/>
      <c r="F191" s="726" t="s">
        <v>893</v>
      </c>
      <c r="W191" s="44"/>
      <c r="X191" s="45"/>
      <c r="Y191" s="46"/>
      <c r="Z191" s="45"/>
      <c r="AA191" s="46"/>
    </row>
    <row r="192" spans="1:27" s="39" customFormat="1" ht="15.75">
      <c r="B192" s="535" t="s">
        <v>1059</v>
      </c>
      <c r="C192" s="38"/>
      <c r="D192" s="40"/>
      <c r="E192" s="537" t="str">
        <f>_xlfn.IFNA(CONCATENATE(VLOOKUP(E188,'CENOVNI RAZREDI'!$B$109:$J$170,8,FALSE)," - ",VLOOKUP(E188,'CENOVNI RAZREDI'!$B$109:$J$170,9,FALSE)),"")</f>
        <v>1000 - 1800</v>
      </c>
      <c r="F192" s="538" t="s">
        <v>740</v>
      </c>
      <c r="G192" s="37"/>
      <c r="H192" s="37"/>
      <c r="I192" s="37"/>
      <c r="J192" s="37"/>
      <c r="K192" s="37"/>
      <c r="L192" s="37"/>
      <c r="M192" s="37"/>
      <c r="N192" s="37"/>
      <c r="O192" s="37"/>
    </row>
    <row r="193" spans="1:27" s="39" customFormat="1" ht="15.75">
      <c r="B193" s="572" t="s">
        <v>762</v>
      </c>
      <c r="C193" s="38"/>
      <c r="D193" s="40"/>
      <c r="E193" s="537">
        <f>_xlfn.IFNA(VLOOKUP(E188,'CENOVNI RAZREDI'!$B$109:$Q$170,10,FALSE),"/")</f>
        <v>120</v>
      </c>
      <c r="F193" s="538"/>
      <c r="G193" s="37"/>
      <c r="H193" s="37"/>
      <c r="I193" s="37"/>
      <c r="J193" s="37"/>
      <c r="K193" s="37"/>
      <c r="L193" s="37"/>
      <c r="M193" s="37"/>
      <c r="N193" s="37"/>
      <c r="O193" s="37"/>
    </row>
    <row r="194" spans="1:27" s="37" customFormat="1" ht="15.75">
      <c r="B194" s="50" t="s">
        <v>880</v>
      </c>
      <c r="C194" s="42"/>
      <c r="D194" s="42"/>
      <c r="E194" s="728">
        <f>E189*E191</f>
        <v>0</v>
      </c>
      <c r="F194" s="729" t="s">
        <v>75</v>
      </c>
      <c r="W194" s="44"/>
    </row>
    <row r="195" spans="1:27" s="488" customFormat="1" ht="11.25">
      <c r="B195" s="511"/>
      <c r="C195" s="511"/>
      <c r="D195" s="510"/>
      <c r="E195" s="508"/>
      <c r="F195" s="509"/>
      <c r="W195" s="521"/>
    </row>
    <row r="196" spans="1:27" s="73" customFormat="1">
      <c r="B196" s="81" t="s">
        <v>618</v>
      </c>
      <c r="C196" s="81"/>
      <c r="D196" s="80"/>
      <c r="E196" s="531">
        <f>+'NOTRANJA OPREMA'!C77</f>
        <v>0</v>
      </c>
      <c r="F196" s="378" t="s">
        <v>723</v>
      </c>
    </row>
    <row r="197" spans="1:27" s="73" customFormat="1">
      <c r="B197" s="81" t="s">
        <v>619</v>
      </c>
      <c r="C197" s="81"/>
      <c r="D197" s="80"/>
      <c r="E197" s="531">
        <f>+'NOTRANJA OPREMA'!C78</f>
        <v>0</v>
      </c>
      <c r="F197" s="378" t="s">
        <v>723</v>
      </c>
    </row>
    <row r="198" spans="1:27" s="37" customFormat="1" ht="15.75">
      <c r="A198" s="66"/>
      <c r="B198" s="66"/>
      <c r="C198" s="66"/>
      <c r="D198" s="67"/>
      <c r="E198" s="338"/>
      <c r="F198" s="69"/>
      <c r="Y198" s="46"/>
      <c r="Z198" s="45"/>
      <c r="AA198" s="46"/>
    </row>
    <row r="199" spans="1:27" s="39" customFormat="1" ht="15.75">
      <c r="A199" s="225" t="s">
        <v>898</v>
      </c>
      <c r="B199" s="38"/>
      <c r="C199" s="38"/>
      <c r="D199" s="38"/>
      <c r="E199" s="1310"/>
      <c r="F199" s="1310"/>
      <c r="G199" s="37"/>
      <c r="H199" s="37"/>
      <c r="I199" s="37"/>
      <c r="J199" s="37"/>
      <c r="K199" s="37"/>
      <c r="L199" s="37"/>
      <c r="M199" s="37"/>
      <c r="N199" s="37"/>
      <c r="O199" s="37"/>
    </row>
    <row r="200" spans="1:27" s="39" customFormat="1" ht="51" customHeight="1">
      <c r="B200" s="49" t="s">
        <v>196</v>
      </c>
      <c r="C200" s="38"/>
      <c r="D200" s="40"/>
      <c r="E200" s="1309" t="s">
        <v>1010</v>
      </c>
      <c r="F200" s="1309"/>
      <c r="G200" s="37"/>
      <c r="H200" s="37"/>
      <c r="I200" s="37"/>
      <c r="J200" s="37"/>
      <c r="K200" s="37"/>
      <c r="L200" s="37"/>
      <c r="M200" s="37"/>
      <c r="N200" s="37"/>
      <c r="O200" s="37"/>
    </row>
    <row r="201" spans="1:27" s="37" customFormat="1" ht="15.75">
      <c r="B201" s="50" t="s">
        <v>882</v>
      </c>
      <c r="C201" s="42"/>
      <c r="D201" s="43"/>
      <c r="E201" s="727">
        <v>0</v>
      </c>
      <c r="F201" s="726" t="s">
        <v>892</v>
      </c>
    </row>
    <row r="202" spans="1:27" s="73" customFormat="1">
      <c r="B202" s="198" t="s">
        <v>884</v>
      </c>
      <c r="C202" s="198"/>
      <c r="D202" s="198"/>
      <c r="E202" s="480" t="s">
        <v>70</v>
      </c>
    </row>
    <row r="203" spans="1:27" s="37" customFormat="1" ht="15.75">
      <c r="B203" s="50" t="s">
        <v>881</v>
      </c>
      <c r="C203" s="42"/>
      <c r="D203" s="41"/>
      <c r="E203" s="727"/>
      <c r="F203" s="726" t="s">
        <v>893</v>
      </c>
      <c r="W203" s="44"/>
      <c r="X203" s="45"/>
      <c r="Y203" s="46"/>
      <c r="Z203" s="45"/>
      <c r="AA203" s="46"/>
    </row>
    <row r="204" spans="1:27" s="39" customFormat="1" ht="15.75">
      <c r="B204" s="535" t="s">
        <v>1059</v>
      </c>
      <c r="C204" s="38"/>
      <c r="D204" s="40"/>
      <c r="E204" s="537" t="str">
        <f>_xlfn.IFNA(CONCATENATE(VLOOKUP(E200,'CENOVNI RAZREDI'!$B$109:$J$170,8,FALSE)," - ",VLOOKUP(E200,'CENOVNI RAZREDI'!$B$109:$J$170,9,FALSE)),"")</f>
        <v>1800 - 3000</v>
      </c>
      <c r="F204" s="538" t="s">
        <v>740</v>
      </c>
      <c r="G204" s="37"/>
      <c r="H204" s="37"/>
      <c r="I204" s="37"/>
      <c r="J204" s="37"/>
      <c r="K204" s="37"/>
      <c r="L204" s="37"/>
      <c r="M204" s="37"/>
      <c r="N204" s="37"/>
      <c r="O204" s="37"/>
    </row>
    <row r="205" spans="1:27" s="39" customFormat="1" ht="15.75">
      <c r="B205" s="572" t="s">
        <v>762</v>
      </c>
      <c r="C205" s="38"/>
      <c r="D205" s="40"/>
      <c r="E205" s="537">
        <f>_xlfn.IFNA(VLOOKUP(E200,'CENOVNI RAZREDI'!$B$109:$Q$170,10,FALSE),"/")</f>
        <v>920</v>
      </c>
      <c r="F205" s="538"/>
      <c r="G205" s="37"/>
      <c r="H205" s="37"/>
      <c r="I205" s="37"/>
      <c r="J205" s="37"/>
      <c r="K205" s="37"/>
      <c r="L205" s="37"/>
      <c r="M205" s="37"/>
      <c r="N205" s="37"/>
      <c r="O205" s="37"/>
    </row>
    <row r="206" spans="1:27" s="37" customFormat="1" ht="15.75">
      <c r="B206" s="50" t="s">
        <v>880</v>
      </c>
      <c r="C206" s="42"/>
      <c r="D206" s="42"/>
      <c r="E206" s="728">
        <f>E201*E203</f>
        <v>0</v>
      </c>
      <c r="F206" s="729" t="s">
        <v>75</v>
      </c>
      <c r="W206" s="44"/>
    </row>
    <row r="207" spans="1:27" s="488" customFormat="1" ht="11.25">
      <c r="B207" s="511"/>
      <c r="C207" s="511"/>
      <c r="D207" s="510"/>
      <c r="E207" s="508"/>
      <c r="F207" s="509"/>
      <c r="W207" s="521"/>
    </row>
    <row r="208" spans="1:27" s="73" customFormat="1">
      <c r="B208" s="81" t="s">
        <v>618</v>
      </c>
      <c r="C208" s="81"/>
      <c r="D208" s="80"/>
      <c r="E208" s="531">
        <f>+'NOTRANJA OPREMA'!C95</f>
        <v>0</v>
      </c>
      <c r="F208" s="378" t="s">
        <v>723</v>
      </c>
    </row>
    <row r="209" spans="1:27" s="73" customFormat="1">
      <c r="B209" s="81" t="s">
        <v>619</v>
      </c>
      <c r="C209" s="81"/>
      <c r="D209" s="80"/>
      <c r="E209" s="531">
        <f>+'NOTRANJA OPREMA'!C96</f>
        <v>0</v>
      </c>
      <c r="F209" s="378" t="s">
        <v>723</v>
      </c>
    </row>
    <row r="210" spans="1:27" s="37" customFormat="1" ht="16.5" thickBot="1">
      <c r="A210" s="63"/>
      <c r="B210" s="63"/>
      <c r="C210" s="63"/>
      <c r="D210" s="64"/>
      <c r="E210" s="334"/>
      <c r="F210" s="65"/>
      <c r="Y210" s="46"/>
      <c r="Z210" s="45"/>
      <c r="AA210" s="46"/>
    </row>
    <row r="211" spans="1:27" s="14" customFormat="1" ht="15.75">
      <c r="A211" s="222" t="s">
        <v>195</v>
      </c>
      <c r="B211" s="222"/>
      <c r="C211" s="222"/>
      <c r="D211" s="222"/>
      <c r="E211" s="330"/>
      <c r="F211" s="222"/>
    </row>
    <row r="212" spans="1:27" s="14" customFormat="1" ht="15.75">
      <c r="A212" s="59"/>
      <c r="B212" s="59"/>
      <c r="C212" s="59"/>
      <c r="D212" s="59"/>
      <c r="E212" s="331"/>
      <c r="F212" s="59"/>
    </row>
    <row r="213" spans="1:27" s="14" customFormat="1" ht="31.5" customHeight="1">
      <c r="A213" s="59"/>
      <c r="B213" s="50" t="s">
        <v>791</v>
      </c>
      <c r="C213" s="50"/>
      <c r="D213" s="50"/>
      <c r="E213" s="50"/>
      <c r="F213" s="934"/>
      <c r="H213" s="1246">
        <v>1</v>
      </c>
    </row>
    <row r="214" spans="1:27" s="14" customFormat="1" ht="30.95" customHeight="1">
      <c r="A214" s="59"/>
      <c r="B214" s="50" t="s">
        <v>792</v>
      </c>
      <c r="C214" s="50"/>
      <c r="D214" s="50"/>
      <c r="E214" s="50"/>
      <c r="F214" s="934"/>
      <c r="G214" s="30"/>
    </row>
    <row r="215" spans="1:27" s="14" customFormat="1" ht="15.75">
      <c r="A215" s="732"/>
      <c r="B215" s="732"/>
      <c r="C215" s="732"/>
      <c r="D215" s="732"/>
      <c r="E215" s="733"/>
      <c r="F215" s="732"/>
    </row>
    <row r="216" spans="1:27" s="39" customFormat="1" ht="15.75">
      <c r="A216" s="225" t="s">
        <v>766</v>
      </c>
      <c r="B216" s="38"/>
      <c r="C216" s="38"/>
      <c r="D216" s="38"/>
      <c r="E216" s="933"/>
      <c r="F216" s="61"/>
      <c r="G216" s="37"/>
      <c r="H216" s="37"/>
      <c r="I216" s="37"/>
      <c r="J216" s="37"/>
      <c r="K216" s="37"/>
      <c r="L216" s="37"/>
      <c r="M216" s="37"/>
      <c r="N216" s="37"/>
      <c r="O216" s="37"/>
    </row>
    <row r="217" spans="1:27" s="39" customFormat="1" ht="51">
      <c r="B217" s="49" t="s">
        <v>165</v>
      </c>
      <c r="C217" s="38"/>
      <c r="D217" s="40"/>
      <c r="E217" s="574" t="s">
        <v>682</v>
      </c>
      <c r="F217" s="41"/>
      <c r="G217" s="37"/>
      <c r="H217" s="37"/>
      <c r="I217" s="37"/>
      <c r="J217" s="37"/>
      <c r="K217" s="37"/>
      <c r="L217" s="37"/>
      <c r="M217" s="37"/>
      <c r="N217" s="37"/>
      <c r="O217" s="37"/>
    </row>
    <row r="218" spans="1:27" s="37" customFormat="1" ht="15.75">
      <c r="B218" s="50" t="s">
        <v>166</v>
      </c>
      <c r="C218" s="42"/>
      <c r="D218" s="43"/>
      <c r="E218" s="480">
        <v>0</v>
      </c>
      <c r="F218" s="50" t="s">
        <v>190</v>
      </c>
    </row>
    <row r="219" spans="1:27" s="73" customFormat="1">
      <c r="B219" s="198" t="s">
        <v>771</v>
      </c>
      <c r="C219" s="198"/>
      <c r="D219" s="198"/>
      <c r="E219" s="480" t="s">
        <v>72</v>
      </c>
    </row>
    <row r="220" spans="1:27" s="484" customFormat="1" ht="11.25">
      <c r="B220" s="481"/>
      <c r="C220" s="481"/>
      <c r="D220" s="481"/>
      <c r="E220" s="481"/>
      <c r="F220" s="481"/>
    </row>
    <row r="221" spans="1:27" s="73" customFormat="1">
      <c r="B221" s="572" t="s">
        <v>729</v>
      </c>
      <c r="C221" s="198"/>
      <c r="D221" s="482"/>
      <c r="E221" s="632">
        <f>_xlfn.IFNA(VLOOKUP(E217,'CENOVNI RAZREDI'!$B$184:$K$242,10,FALSE),"")</f>
        <v>-10</v>
      </c>
      <c r="F221" s="490"/>
    </row>
    <row r="222" spans="1:27" s="73" customFormat="1">
      <c r="B222" s="512" t="s">
        <v>739</v>
      </c>
      <c r="C222" s="512"/>
      <c r="D222" s="534"/>
      <c r="E222" s="483"/>
      <c r="F222" s="382"/>
    </row>
    <row r="223" spans="1:27" s="580" customFormat="1" ht="12">
      <c r="A223" s="484"/>
      <c r="B223" s="535" t="s">
        <v>772</v>
      </c>
      <c r="C223" s="578"/>
      <c r="D223" s="536"/>
      <c r="E223" s="537" t="str">
        <f>_xlfn.IFNA(CONCATENATE(VLOOKUP(E217,'CENOVNI RAZREDI'!$B$184:$J$242,8,FALSE)," - ",VLOOKUP(E217,'CENOVNI RAZREDI'!$B$184:$J$242,9,FALSE)),"")</f>
        <v>78 - 156</v>
      </c>
      <c r="F223" s="538" t="s">
        <v>740</v>
      </c>
      <c r="G223" s="579"/>
      <c r="H223" s="579"/>
      <c r="I223" s="579"/>
      <c r="J223" s="579"/>
      <c r="K223" s="579"/>
      <c r="L223" s="579"/>
      <c r="M223" s="579"/>
      <c r="N223" s="579"/>
      <c r="O223" s="579"/>
    </row>
    <row r="224" spans="1:27" s="579" customFormat="1" ht="12">
      <c r="A224" s="484"/>
      <c r="B224" s="538" t="s">
        <v>773</v>
      </c>
      <c r="C224" s="539"/>
      <c r="D224" s="538"/>
      <c r="E224" s="581">
        <v>0</v>
      </c>
      <c r="F224" s="538" t="s">
        <v>740</v>
      </c>
      <c r="W224" s="545"/>
      <c r="X224" s="582"/>
      <c r="Y224" s="583"/>
      <c r="Z224" s="582"/>
      <c r="AA224" s="583"/>
    </row>
    <row r="225" spans="1:27" s="579" customFormat="1" ht="11.25">
      <c r="A225" s="484"/>
      <c r="B225" s="538" t="s">
        <v>738</v>
      </c>
      <c r="C225" s="539"/>
      <c r="D225" s="539"/>
      <c r="E225" s="584">
        <f>E218*E224</f>
        <v>0</v>
      </c>
      <c r="F225" s="541" t="s">
        <v>75</v>
      </c>
      <c r="W225" s="545"/>
    </row>
    <row r="226" spans="1:27" s="575" customFormat="1" ht="11.25">
      <c r="A226" s="484"/>
      <c r="B226" s="554" t="s">
        <v>59</v>
      </c>
      <c r="D226" s="935">
        <v>0</v>
      </c>
      <c r="E226" s="556">
        <f>D226*E225</f>
        <v>0</v>
      </c>
      <c r="F226" s="557" t="s">
        <v>75</v>
      </c>
      <c r="W226" s="576"/>
    </row>
    <row r="227" spans="1:27" s="575" customFormat="1" ht="11.25">
      <c r="B227" s="554" t="s">
        <v>61</v>
      </c>
      <c r="D227" s="935">
        <v>0</v>
      </c>
      <c r="E227" s="556">
        <f>D227*E225</f>
        <v>0</v>
      </c>
      <c r="F227" s="557" t="s">
        <v>75</v>
      </c>
      <c r="Y227" s="576"/>
      <c r="Z227" s="577"/>
      <c r="AA227" s="576"/>
    </row>
    <row r="228" spans="1:27" s="575" customFormat="1" ht="11.25">
      <c r="B228" s="554" t="s">
        <v>60</v>
      </c>
      <c r="D228" s="935">
        <v>0</v>
      </c>
      <c r="E228" s="556">
        <f>D228*E225</f>
        <v>0</v>
      </c>
      <c r="F228" s="557" t="s">
        <v>75</v>
      </c>
      <c r="W228" s="576"/>
    </row>
    <row r="229" spans="1:27" s="575" customFormat="1" ht="11.25">
      <c r="B229" s="558" t="s">
        <v>343</v>
      </c>
      <c r="C229" s="587"/>
      <c r="D229" s="936">
        <v>0</v>
      </c>
      <c r="E229" s="588">
        <f>D229*E225</f>
        <v>0</v>
      </c>
      <c r="F229" s="559" t="s">
        <v>75</v>
      </c>
      <c r="W229" s="576"/>
    </row>
    <row r="230" spans="1:27" s="488" customFormat="1" ht="11.25">
      <c r="B230" s="511"/>
      <c r="C230" s="511"/>
      <c r="D230" s="511"/>
      <c r="E230" s="511"/>
      <c r="F230" s="511"/>
      <c r="W230" s="521"/>
    </row>
    <row r="231" spans="1:27" s="73" customFormat="1">
      <c r="B231" s="81" t="s">
        <v>618</v>
      </c>
      <c r="C231" s="81"/>
      <c r="D231" s="80"/>
      <c r="E231" s="531">
        <f>'ODPRTI PROSTOR'!C23</f>
        <v>0</v>
      </c>
      <c r="F231" s="378" t="s">
        <v>723</v>
      </c>
    </row>
    <row r="232" spans="1:27" s="73" customFormat="1">
      <c r="B232" s="81" t="s">
        <v>619</v>
      </c>
      <c r="C232" s="81"/>
      <c r="D232" s="80"/>
      <c r="E232" s="531">
        <f>'ODPRTI PROSTOR'!C24</f>
        <v>0</v>
      </c>
      <c r="F232" s="378" t="s">
        <v>723</v>
      </c>
    </row>
    <row r="233" spans="1:27" s="37" customFormat="1" ht="15.75">
      <c r="A233" s="51"/>
      <c r="B233" s="184"/>
      <c r="C233" s="184"/>
      <c r="D233" s="184"/>
      <c r="E233" s="335"/>
      <c r="F233" s="68"/>
      <c r="W233" s="44"/>
    </row>
    <row r="234" spans="1:27" s="39" customFormat="1" ht="15.75">
      <c r="A234" s="225" t="s">
        <v>767</v>
      </c>
      <c r="B234" s="38"/>
      <c r="C234" s="38"/>
      <c r="D234" s="38"/>
      <c r="E234" s="933"/>
      <c r="F234" s="61"/>
      <c r="G234" s="37"/>
      <c r="H234" s="37"/>
      <c r="I234" s="37"/>
      <c r="J234" s="37"/>
      <c r="K234" s="37"/>
      <c r="L234" s="37"/>
      <c r="M234" s="37"/>
      <c r="N234" s="37"/>
      <c r="O234" s="37"/>
    </row>
    <row r="235" spans="1:27" s="39" customFormat="1" ht="51">
      <c r="B235" s="49" t="s">
        <v>165</v>
      </c>
      <c r="C235" s="38"/>
      <c r="D235" s="40"/>
      <c r="E235" s="574" t="s">
        <v>633</v>
      </c>
      <c r="F235" s="41"/>
      <c r="G235" s="37"/>
      <c r="H235" s="37"/>
      <c r="I235" s="37"/>
      <c r="J235" s="37"/>
      <c r="K235" s="37"/>
      <c r="L235" s="37"/>
      <c r="M235" s="37"/>
      <c r="N235" s="37"/>
      <c r="O235" s="37"/>
    </row>
    <row r="236" spans="1:27" s="37" customFormat="1" ht="15.75">
      <c r="B236" s="50" t="s">
        <v>166</v>
      </c>
      <c r="C236" s="42"/>
      <c r="D236" s="43"/>
      <c r="E236" s="480">
        <v>0</v>
      </c>
      <c r="F236" s="50" t="s">
        <v>190</v>
      </c>
    </row>
    <row r="237" spans="1:27" s="73" customFormat="1">
      <c r="A237" s="484"/>
      <c r="B237" s="198" t="s">
        <v>771</v>
      </c>
      <c r="C237" s="198"/>
      <c r="D237" s="198"/>
      <c r="E237" s="480" t="s">
        <v>72</v>
      </c>
    </row>
    <row r="238" spans="1:27" s="484" customFormat="1" ht="11.25">
      <c r="B238" s="481"/>
      <c r="C238" s="481"/>
      <c r="D238" s="481"/>
      <c r="E238" s="481"/>
      <c r="F238" s="481"/>
    </row>
    <row r="239" spans="1:27" s="73" customFormat="1">
      <c r="B239" s="572" t="s">
        <v>729</v>
      </c>
      <c r="C239" s="198"/>
      <c r="D239" s="482"/>
      <c r="E239" s="632">
        <f>_xlfn.IFNA(VLOOKUP(E235,'CENOVNI RAZREDI'!$B$184:$K$242,10,FALSE),"")</f>
        <v>-10</v>
      </c>
      <c r="F239" s="490"/>
    </row>
    <row r="240" spans="1:27" s="73" customFormat="1">
      <c r="A240" s="484"/>
      <c r="B240" s="512" t="s">
        <v>739</v>
      </c>
      <c r="C240" s="512"/>
      <c r="D240" s="534"/>
      <c r="E240" s="534"/>
      <c r="F240" s="382"/>
    </row>
    <row r="241" spans="1:27" s="580" customFormat="1" ht="12">
      <c r="A241" s="484"/>
      <c r="B241" s="535" t="s">
        <v>772</v>
      </c>
      <c r="C241" s="578"/>
      <c r="D241" s="536"/>
      <c r="E241" s="537" t="str">
        <f>_xlfn.IFNA(CONCATENATE(VLOOKUP(E235,'CENOVNI RAZREDI'!$B$184:$J$242,8,FALSE)," - ",VLOOKUP(E235,'CENOVNI RAZREDI'!$B$184:$J$242,9,FALSE)),"")</f>
        <v>78 - 156</v>
      </c>
      <c r="F241" s="538" t="s">
        <v>740</v>
      </c>
      <c r="G241" s="579"/>
      <c r="H241" s="579"/>
      <c r="I241" s="579"/>
      <c r="J241" s="579"/>
      <c r="K241" s="579"/>
      <c r="L241" s="579"/>
      <c r="M241" s="579"/>
      <c r="N241" s="579"/>
      <c r="O241" s="579"/>
    </row>
    <row r="242" spans="1:27" s="579" customFormat="1" ht="12">
      <c r="A242" s="484"/>
      <c r="B242" s="538" t="s">
        <v>773</v>
      </c>
      <c r="C242" s="539"/>
      <c r="D242" s="538"/>
      <c r="E242" s="581">
        <v>0</v>
      </c>
      <c r="F242" s="538" t="s">
        <v>740</v>
      </c>
      <c r="W242" s="545"/>
      <c r="X242" s="582"/>
      <c r="Y242" s="583"/>
      <c r="Z242" s="582"/>
      <c r="AA242" s="583"/>
    </row>
    <row r="243" spans="1:27" s="579" customFormat="1" ht="11.25">
      <c r="A243" s="484"/>
      <c r="B243" s="538" t="s">
        <v>738</v>
      </c>
      <c r="C243" s="539"/>
      <c r="D243" s="539"/>
      <c r="E243" s="584">
        <f>E236*E242</f>
        <v>0</v>
      </c>
      <c r="F243" s="541" t="s">
        <v>75</v>
      </c>
      <c r="W243" s="545"/>
    </row>
    <row r="244" spans="1:27" s="579" customFormat="1" ht="11.25">
      <c r="A244" s="484"/>
      <c r="B244" s="554" t="s">
        <v>59</v>
      </c>
      <c r="D244" s="937">
        <v>0</v>
      </c>
      <c r="E244" s="544">
        <f>D244*E243</f>
        <v>0</v>
      </c>
      <c r="F244" s="545" t="s">
        <v>75</v>
      </c>
      <c r="W244" s="583"/>
    </row>
    <row r="245" spans="1:27" s="579" customFormat="1" ht="11.25">
      <c r="B245" s="554" t="s">
        <v>61</v>
      </c>
      <c r="D245" s="937">
        <v>0</v>
      </c>
      <c r="E245" s="544">
        <f>D245*E243</f>
        <v>0</v>
      </c>
      <c r="F245" s="545" t="s">
        <v>75</v>
      </c>
      <c r="Y245" s="583"/>
      <c r="Z245" s="582"/>
      <c r="AA245" s="583"/>
    </row>
    <row r="246" spans="1:27" s="579" customFormat="1" ht="11.25">
      <c r="B246" s="554" t="s">
        <v>60</v>
      </c>
      <c r="D246" s="937">
        <v>0</v>
      </c>
      <c r="E246" s="544">
        <f>D246*E243</f>
        <v>0</v>
      </c>
      <c r="F246" s="545" t="s">
        <v>75</v>
      </c>
      <c r="W246" s="583"/>
    </row>
    <row r="247" spans="1:27" s="579" customFormat="1" ht="11.25">
      <c r="B247" s="558" t="s">
        <v>343</v>
      </c>
      <c r="C247" s="535"/>
      <c r="D247" s="938">
        <v>0</v>
      </c>
      <c r="E247" s="548">
        <f>D247*E243</f>
        <v>0</v>
      </c>
      <c r="F247" s="549" t="s">
        <v>75</v>
      </c>
      <c r="W247" s="583"/>
    </row>
    <row r="248" spans="1:27" s="488" customFormat="1" ht="11.25">
      <c r="B248" s="511"/>
      <c r="C248" s="511"/>
      <c r="D248" s="510"/>
      <c r="E248" s="508"/>
      <c r="F248" s="509"/>
      <c r="W248" s="521"/>
    </row>
    <row r="249" spans="1:27" s="73" customFormat="1">
      <c r="B249" s="81" t="s">
        <v>618</v>
      </c>
      <c r="C249" s="81"/>
      <c r="D249" s="80"/>
      <c r="E249" s="531">
        <f>'ODPRTI PROSTOR'!C41</f>
        <v>0</v>
      </c>
      <c r="F249" s="378" t="s">
        <v>723</v>
      </c>
    </row>
    <row r="250" spans="1:27" s="73" customFormat="1">
      <c r="B250" s="81" t="s">
        <v>619</v>
      </c>
      <c r="C250" s="81"/>
      <c r="D250" s="80"/>
      <c r="E250" s="531">
        <f>'ODPRTI PROSTOR'!C42</f>
        <v>0</v>
      </c>
      <c r="F250" s="378" t="s">
        <v>723</v>
      </c>
    </row>
    <row r="251" spans="1:27" s="37" customFormat="1" ht="15.75">
      <c r="A251" s="51"/>
      <c r="B251" s="184"/>
      <c r="C251" s="184"/>
      <c r="D251" s="184"/>
      <c r="E251" s="335"/>
      <c r="F251" s="68"/>
      <c r="W251" s="44"/>
    </row>
    <row r="252" spans="1:27" s="39" customFormat="1" ht="15.75">
      <c r="A252" s="225" t="s">
        <v>768</v>
      </c>
      <c r="B252" s="38"/>
      <c r="C252" s="38"/>
      <c r="D252" s="38"/>
      <c r="E252" s="933"/>
      <c r="F252" s="61"/>
      <c r="G252" s="37"/>
      <c r="H252" s="37"/>
      <c r="I252" s="37"/>
      <c r="J252" s="37"/>
      <c r="K252" s="37"/>
      <c r="L252" s="37"/>
      <c r="M252" s="37"/>
      <c r="N252" s="37"/>
      <c r="O252" s="37"/>
    </row>
    <row r="253" spans="1:27" s="39" customFormat="1" ht="25.5">
      <c r="B253" s="49" t="s">
        <v>165</v>
      </c>
      <c r="C253" s="38"/>
      <c r="D253" s="40"/>
      <c r="E253" s="574" t="s">
        <v>515</v>
      </c>
      <c r="F253" s="41"/>
      <c r="G253" s="37"/>
      <c r="H253" s="37"/>
      <c r="I253" s="37"/>
      <c r="J253" s="37"/>
      <c r="K253" s="37"/>
      <c r="L253" s="37"/>
      <c r="M253" s="37"/>
      <c r="N253" s="37"/>
      <c r="O253" s="37"/>
    </row>
    <row r="254" spans="1:27" s="37" customFormat="1" ht="15.75">
      <c r="B254" s="50" t="s">
        <v>76</v>
      </c>
      <c r="C254" s="42"/>
      <c r="D254" s="43"/>
      <c r="E254" s="480">
        <v>0</v>
      </c>
      <c r="F254" s="50" t="s">
        <v>190</v>
      </c>
    </row>
    <row r="255" spans="1:27" s="73" customFormat="1">
      <c r="A255" s="484"/>
      <c r="B255" s="198" t="s">
        <v>771</v>
      </c>
      <c r="C255" s="198"/>
      <c r="D255" s="198"/>
      <c r="E255" s="480" t="s">
        <v>72</v>
      </c>
    </row>
    <row r="256" spans="1:27" s="484" customFormat="1" ht="11.25">
      <c r="B256" s="481"/>
      <c r="C256" s="481"/>
      <c r="D256" s="481"/>
      <c r="E256" s="481"/>
      <c r="F256" s="481"/>
    </row>
    <row r="257" spans="1:27" s="73" customFormat="1">
      <c r="B257" s="572" t="s">
        <v>729</v>
      </c>
      <c r="C257" s="198"/>
      <c r="D257" s="482"/>
      <c r="E257" s="632">
        <f>_xlfn.IFNA(VLOOKUP(E253,'CENOVNI RAZREDI'!$B$184:$K$242,10,FALSE),"")</f>
        <v>85</v>
      </c>
      <c r="F257" s="490"/>
    </row>
    <row r="258" spans="1:27" s="73" customFormat="1">
      <c r="A258" s="484"/>
      <c r="B258" s="512" t="s">
        <v>739</v>
      </c>
      <c r="C258" s="512"/>
      <c r="D258" s="534"/>
      <c r="E258" s="534"/>
      <c r="F258" s="382"/>
    </row>
    <row r="259" spans="1:27" s="580" customFormat="1" ht="12">
      <c r="A259" s="586"/>
      <c r="B259" s="535" t="s">
        <v>772</v>
      </c>
      <c r="C259" s="578"/>
      <c r="D259" s="536"/>
      <c r="E259" s="537" t="str">
        <f>_xlfn.IFNA(CONCATENATE(VLOOKUP(E253,'CENOVNI RAZREDI'!$B$184:$J$242,8,FALSE)," - ",VLOOKUP(E253,'CENOVNI RAZREDI'!$B$184:$J$242,9,FALSE)),"")</f>
        <v>156 - 325</v>
      </c>
      <c r="F259" s="538" t="s">
        <v>740</v>
      </c>
      <c r="G259" s="579"/>
      <c r="H259" s="579"/>
      <c r="I259" s="579"/>
      <c r="J259" s="579"/>
      <c r="K259" s="579"/>
      <c r="L259" s="579"/>
      <c r="M259" s="579"/>
      <c r="N259" s="579"/>
      <c r="O259" s="579"/>
    </row>
    <row r="260" spans="1:27" s="579" customFormat="1" ht="12">
      <c r="A260" s="586"/>
      <c r="B260" s="538" t="s">
        <v>773</v>
      </c>
      <c r="C260" s="539"/>
      <c r="D260" s="538"/>
      <c r="E260" s="581">
        <v>0</v>
      </c>
      <c r="F260" s="538" t="s">
        <v>740</v>
      </c>
      <c r="W260" s="545"/>
      <c r="X260" s="582"/>
      <c r="Y260" s="583"/>
      <c r="Z260" s="582"/>
      <c r="AA260" s="583"/>
    </row>
    <row r="261" spans="1:27" s="579" customFormat="1" ht="11.25">
      <c r="A261" s="586"/>
      <c r="B261" s="538" t="s">
        <v>738</v>
      </c>
      <c r="C261" s="539"/>
      <c r="D261" s="539"/>
      <c r="E261" s="585">
        <f>E254*E260</f>
        <v>0</v>
      </c>
      <c r="F261" s="541" t="s">
        <v>75</v>
      </c>
      <c r="W261" s="545"/>
    </row>
    <row r="262" spans="1:27" s="579" customFormat="1" ht="11.25">
      <c r="A262" s="586"/>
      <c r="B262" s="554" t="s">
        <v>59</v>
      </c>
      <c r="D262" s="937">
        <v>0</v>
      </c>
      <c r="E262" s="544">
        <f>D262*E261</f>
        <v>0</v>
      </c>
      <c r="F262" s="545" t="s">
        <v>75</v>
      </c>
      <c r="W262" s="583"/>
    </row>
    <row r="263" spans="1:27" s="579" customFormat="1" ht="11.25">
      <c r="B263" s="554" t="s">
        <v>61</v>
      </c>
      <c r="D263" s="937">
        <v>0</v>
      </c>
      <c r="E263" s="544">
        <f>D263*E261</f>
        <v>0</v>
      </c>
      <c r="F263" s="545" t="s">
        <v>75</v>
      </c>
      <c r="Y263" s="583"/>
      <c r="Z263" s="582"/>
      <c r="AA263" s="583"/>
    </row>
    <row r="264" spans="1:27" s="579" customFormat="1" ht="11.25">
      <c r="B264" s="554" t="s">
        <v>60</v>
      </c>
      <c r="D264" s="937">
        <v>0</v>
      </c>
      <c r="E264" s="544">
        <f>D264*E261</f>
        <v>0</v>
      </c>
      <c r="F264" s="545" t="s">
        <v>75</v>
      </c>
      <c r="W264" s="583"/>
    </row>
    <row r="265" spans="1:27" s="579" customFormat="1" ht="11.25">
      <c r="B265" s="558" t="s">
        <v>343</v>
      </c>
      <c r="C265" s="535"/>
      <c r="D265" s="938">
        <v>0</v>
      </c>
      <c r="E265" s="548">
        <f>D265*E261</f>
        <v>0</v>
      </c>
      <c r="F265" s="549" t="s">
        <v>75</v>
      </c>
      <c r="W265" s="583"/>
    </row>
    <row r="266" spans="1:27" s="488" customFormat="1" ht="11.25">
      <c r="B266" s="511"/>
      <c r="C266" s="511"/>
      <c r="D266" s="510"/>
      <c r="E266" s="508"/>
      <c r="F266" s="509"/>
      <c r="W266" s="521"/>
    </row>
    <row r="267" spans="1:27" s="73" customFormat="1">
      <c r="B267" s="81" t="s">
        <v>618</v>
      </c>
      <c r="C267" s="81"/>
      <c r="D267" s="80"/>
      <c r="E267" s="531">
        <f>'ODPRTI PROSTOR'!C59</f>
        <v>0</v>
      </c>
      <c r="F267" s="378" t="s">
        <v>723</v>
      </c>
    </row>
    <row r="268" spans="1:27" s="73" customFormat="1">
      <c r="B268" s="81" t="s">
        <v>619</v>
      </c>
      <c r="C268" s="81"/>
      <c r="D268" s="80"/>
      <c r="E268" s="531">
        <f>'ODPRTI PROSTOR'!C60</f>
        <v>0</v>
      </c>
      <c r="F268" s="378" t="s">
        <v>723</v>
      </c>
    </row>
    <row r="269" spans="1:27" s="37" customFormat="1" ht="15.75">
      <c r="A269" s="51"/>
      <c r="B269" s="184"/>
      <c r="C269" s="184"/>
      <c r="D269" s="184"/>
      <c r="E269" s="335"/>
      <c r="F269" s="68"/>
      <c r="W269" s="44"/>
    </row>
    <row r="270" spans="1:27" s="39" customFormat="1" ht="15.75">
      <c r="A270" s="225" t="s">
        <v>769</v>
      </c>
      <c r="B270" s="38"/>
      <c r="C270" s="38"/>
      <c r="D270" s="38"/>
      <c r="E270" s="933"/>
      <c r="F270" s="61"/>
      <c r="G270" s="37"/>
      <c r="H270" s="37"/>
      <c r="I270" s="37"/>
      <c r="J270" s="37"/>
      <c r="K270" s="37"/>
      <c r="L270" s="37"/>
      <c r="M270" s="37"/>
      <c r="N270" s="37"/>
      <c r="O270" s="37"/>
    </row>
    <row r="271" spans="1:27" s="39" customFormat="1" ht="25.5">
      <c r="B271" s="49" t="s">
        <v>165</v>
      </c>
      <c r="C271" s="38"/>
      <c r="D271" s="40"/>
      <c r="E271" s="574" t="s">
        <v>508</v>
      </c>
      <c r="F271" s="41"/>
      <c r="G271" s="37"/>
      <c r="H271" s="37"/>
      <c r="I271" s="37"/>
      <c r="J271" s="37"/>
      <c r="K271" s="37"/>
      <c r="L271" s="37"/>
      <c r="M271" s="37"/>
      <c r="N271" s="37"/>
      <c r="O271" s="37"/>
    </row>
    <row r="272" spans="1:27" s="37" customFormat="1" ht="15.75">
      <c r="B272" s="50" t="s">
        <v>76</v>
      </c>
      <c r="C272" s="42"/>
      <c r="D272" s="43"/>
      <c r="E272" s="480">
        <v>0</v>
      </c>
      <c r="F272" s="50" t="s">
        <v>190</v>
      </c>
    </row>
    <row r="273" spans="1:27" s="73" customFormat="1">
      <c r="A273" s="484"/>
      <c r="B273" s="198" t="s">
        <v>771</v>
      </c>
      <c r="C273" s="198"/>
      <c r="D273" s="198"/>
      <c r="E273" s="480" t="s">
        <v>72</v>
      </c>
    </row>
    <row r="274" spans="1:27" s="484" customFormat="1" ht="11.25">
      <c r="B274" s="481"/>
      <c r="C274" s="481"/>
      <c r="D274" s="481"/>
      <c r="E274" s="481"/>
      <c r="F274" s="481"/>
    </row>
    <row r="275" spans="1:27" s="73" customFormat="1">
      <c r="B275" s="572" t="s">
        <v>729</v>
      </c>
      <c r="C275" s="198"/>
      <c r="D275" s="482"/>
      <c r="E275" s="632">
        <f>_xlfn.IFNA(VLOOKUP(E271,'CENOVNI RAZREDI'!$B$184:$K$242,10,FALSE),"")</f>
        <v>-10</v>
      </c>
      <c r="F275" s="490"/>
    </row>
    <row r="276" spans="1:27" s="73" customFormat="1">
      <c r="A276" s="484"/>
      <c r="B276" s="512" t="s">
        <v>739</v>
      </c>
      <c r="C276" s="512"/>
      <c r="D276" s="534"/>
      <c r="E276" s="534"/>
      <c r="F276" s="382"/>
    </row>
    <row r="277" spans="1:27" s="580" customFormat="1" ht="12">
      <c r="A277" s="586"/>
      <c r="B277" s="535" t="s">
        <v>772</v>
      </c>
      <c r="C277" s="578"/>
      <c r="D277" s="536"/>
      <c r="E277" s="537" t="str">
        <f>_xlfn.IFNA(CONCATENATE(VLOOKUP(E271,'CENOVNI RAZREDI'!$B$184:$J$242,8,FALSE)," - ",VLOOKUP(E271,'CENOVNI RAZREDI'!$B$184:$J$242,9,FALSE)),"")</f>
        <v>78 - 156</v>
      </c>
      <c r="F277" s="538" t="s">
        <v>740</v>
      </c>
      <c r="G277" s="579"/>
      <c r="H277" s="579"/>
      <c r="I277" s="579"/>
      <c r="J277" s="579"/>
      <c r="K277" s="579"/>
      <c r="L277" s="579"/>
      <c r="M277" s="579"/>
      <c r="N277" s="579"/>
      <c r="O277" s="579"/>
    </row>
    <row r="278" spans="1:27" s="579" customFormat="1" ht="12">
      <c r="A278" s="586"/>
      <c r="B278" s="538" t="s">
        <v>773</v>
      </c>
      <c r="C278" s="539"/>
      <c r="D278" s="538"/>
      <c r="E278" s="581">
        <v>0</v>
      </c>
      <c r="F278" s="538" t="s">
        <v>740</v>
      </c>
      <c r="W278" s="545"/>
      <c r="X278" s="582"/>
      <c r="Y278" s="583"/>
      <c r="Z278" s="582"/>
      <c r="AA278" s="583"/>
    </row>
    <row r="279" spans="1:27" s="579" customFormat="1" ht="11.25">
      <c r="A279" s="586"/>
      <c r="B279" s="538" t="s">
        <v>738</v>
      </c>
      <c r="C279" s="539"/>
      <c r="D279" s="539"/>
      <c r="E279" s="585">
        <f>E272*E278</f>
        <v>0</v>
      </c>
      <c r="F279" s="541" t="s">
        <v>75</v>
      </c>
      <c r="W279" s="545"/>
    </row>
    <row r="280" spans="1:27" s="579" customFormat="1" ht="11.25">
      <c r="A280" s="586"/>
      <c r="B280" s="554" t="s">
        <v>59</v>
      </c>
      <c r="D280" s="937">
        <v>0</v>
      </c>
      <c r="E280" s="544">
        <f>D280*E279</f>
        <v>0</v>
      </c>
      <c r="F280" s="545" t="s">
        <v>75</v>
      </c>
      <c r="W280" s="583"/>
    </row>
    <row r="281" spans="1:27" s="579" customFormat="1" ht="11.25">
      <c r="B281" s="554" t="s">
        <v>61</v>
      </c>
      <c r="D281" s="937">
        <v>0</v>
      </c>
      <c r="E281" s="544">
        <f>D281*E279</f>
        <v>0</v>
      </c>
      <c r="F281" s="545" t="s">
        <v>75</v>
      </c>
      <c r="Y281" s="583"/>
      <c r="Z281" s="582"/>
      <c r="AA281" s="583"/>
    </row>
    <row r="282" spans="1:27" s="579" customFormat="1" ht="11.25">
      <c r="B282" s="554" t="s">
        <v>60</v>
      </c>
      <c r="D282" s="937">
        <v>0</v>
      </c>
      <c r="E282" s="544">
        <f>D282*E279</f>
        <v>0</v>
      </c>
      <c r="F282" s="545" t="s">
        <v>75</v>
      </c>
      <c r="W282" s="583"/>
    </row>
    <row r="283" spans="1:27" s="579" customFormat="1" ht="11.25">
      <c r="B283" s="558" t="s">
        <v>343</v>
      </c>
      <c r="C283" s="535"/>
      <c r="D283" s="938">
        <v>0</v>
      </c>
      <c r="E283" s="548">
        <f>D283*E279</f>
        <v>0</v>
      </c>
      <c r="F283" s="549" t="s">
        <v>75</v>
      </c>
      <c r="W283" s="583"/>
    </row>
    <row r="284" spans="1:27" s="488" customFormat="1" ht="11.25">
      <c r="B284" s="511"/>
      <c r="C284" s="511"/>
      <c r="D284" s="510"/>
      <c r="E284" s="508"/>
      <c r="F284" s="509"/>
      <c r="W284" s="521"/>
    </row>
    <row r="285" spans="1:27" s="73" customFormat="1">
      <c r="B285" s="81" t="s">
        <v>618</v>
      </c>
      <c r="C285" s="81"/>
      <c r="D285" s="80"/>
      <c r="E285" s="531">
        <f>'ODPRTI PROSTOR'!C77</f>
        <v>0</v>
      </c>
      <c r="F285" s="378" t="s">
        <v>723</v>
      </c>
    </row>
    <row r="286" spans="1:27" s="73" customFormat="1">
      <c r="B286" s="81" t="s">
        <v>619</v>
      </c>
      <c r="C286" s="81"/>
      <c r="D286" s="80"/>
      <c r="E286" s="531">
        <f>'ODPRTI PROSTOR'!C78</f>
        <v>0</v>
      </c>
      <c r="F286" s="378" t="s">
        <v>723</v>
      </c>
    </row>
    <row r="287" spans="1:27" s="37" customFormat="1" ht="15.75">
      <c r="A287" s="51"/>
      <c r="B287" s="184"/>
      <c r="C287" s="184"/>
      <c r="D287" s="184"/>
      <c r="E287" s="335"/>
      <c r="F287" s="68"/>
      <c r="W287" s="44"/>
    </row>
    <row r="288" spans="1:27" s="39" customFormat="1" ht="15.75">
      <c r="A288" s="225" t="s">
        <v>770</v>
      </c>
      <c r="B288" s="38"/>
      <c r="C288" s="38"/>
      <c r="D288" s="38"/>
      <c r="E288" s="933"/>
      <c r="F288" s="61"/>
      <c r="G288" s="37"/>
      <c r="H288" s="37"/>
      <c r="I288" s="37"/>
      <c r="J288" s="37"/>
      <c r="K288" s="37"/>
      <c r="L288" s="37"/>
      <c r="M288" s="37"/>
      <c r="N288" s="37"/>
      <c r="O288" s="37"/>
    </row>
    <row r="289" spans="1:27" s="39" customFormat="1" ht="38.25">
      <c r="B289" s="49" t="s">
        <v>165</v>
      </c>
      <c r="C289" s="38"/>
      <c r="D289" s="40"/>
      <c r="E289" s="574" t="s">
        <v>630</v>
      </c>
      <c r="F289" s="41"/>
      <c r="G289" s="37"/>
      <c r="H289" s="37"/>
      <c r="I289" s="37"/>
      <c r="J289" s="37"/>
      <c r="K289" s="37"/>
      <c r="L289" s="37"/>
      <c r="M289" s="37"/>
      <c r="N289" s="37"/>
      <c r="O289" s="37"/>
    </row>
    <row r="290" spans="1:27" s="37" customFormat="1" ht="15.75">
      <c r="B290" s="50" t="s">
        <v>76</v>
      </c>
      <c r="C290" s="42"/>
      <c r="D290" s="43"/>
      <c r="E290" s="480">
        <v>0</v>
      </c>
      <c r="F290" s="50" t="s">
        <v>190</v>
      </c>
    </row>
    <row r="291" spans="1:27" s="73" customFormat="1">
      <c r="A291" s="484"/>
      <c r="B291" s="198" t="s">
        <v>771</v>
      </c>
      <c r="C291" s="198"/>
      <c r="D291" s="198"/>
      <c r="E291" s="480" t="s">
        <v>72</v>
      </c>
    </row>
    <row r="292" spans="1:27" s="484" customFormat="1" ht="11.25">
      <c r="B292" s="481"/>
      <c r="C292" s="481"/>
      <c r="D292" s="481"/>
      <c r="E292" s="481"/>
      <c r="F292" s="481"/>
    </row>
    <row r="293" spans="1:27" s="73" customFormat="1">
      <c r="B293" s="572" t="s">
        <v>729</v>
      </c>
      <c r="C293" s="198"/>
      <c r="D293" s="482"/>
      <c r="E293" s="632">
        <f>_xlfn.IFNA(VLOOKUP(E289,'CENOVNI RAZREDI'!$B$184:$K$242,10,FALSE),"")</f>
        <v>-40</v>
      </c>
      <c r="F293" s="490"/>
    </row>
    <row r="294" spans="1:27" s="73" customFormat="1">
      <c r="A294" s="484"/>
      <c r="B294" s="512" t="s">
        <v>739</v>
      </c>
      <c r="C294" s="512"/>
      <c r="D294" s="534"/>
      <c r="E294" s="534"/>
      <c r="F294" s="382"/>
    </row>
    <row r="295" spans="1:27" s="580" customFormat="1" ht="12">
      <c r="A295" s="586"/>
      <c r="B295" s="535" t="s">
        <v>772</v>
      </c>
      <c r="C295" s="578"/>
      <c r="D295" s="536"/>
      <c r="E295" s="537" t="str">
        <f>_xlfn.IFNA(CONCATENATE(VLOOKUP(E289,'CENOVNI RAZREDI'!$B$184:$J$242,8,FALSE)," - ",VLOOKUP(E289,'CENOVNI RAZREDI'!$B$184:$J$242,9,FALSE)),"")</f>
        <v>52 - 104</v>
      </c>
      <c r="F295" s="538" t="s">
        <v>740</v>
      </c>
      <c r="G295" s="579"/>
      <c r="H295" s="579"/>
      <c r="I295" s="579"/>
      <c r="J295" s="579"/>
      <c r="K295" s="579"/>
      <c r="L295" s="579"/>
      <c r="M295" s="579"/>
      <c r="N295" s="579"/>
      <c r="O295" s="579"/>
    </row>
    <row r="296" spans="1:27" s="579" customFormat="1" ht="12">
      <c r="A296" s="586"/>
      <c r="B296" s="538" t="s">
        <v>773</v>
      </c>
      <c r="C296" s="539"/>
      <c r="D296" s="538"/>
      <c r="E296" s="581">
        <v>0</v>
      </c>
      <c r="F296" s="538" t="s">
        <v>740</v>
      </c>
      <c r="W296" s="545"/>
      <c r="X296" s="582"/>
      <c r="Y296" s="583"/>
      <c r="Z296" s="582"/>
      <c r="AA296" s="583"/>
    </row>
    <row r="297" spans="1:27" s="579" customFormat="1" ht="11.25">
      <c r="A297" s="586"/>
      <c r="B297" s="538" t="s">
        <v>738</v>
      </c>
      <c r="C297" s="539"/>
      <c r="D297" s="539"/>
      <c r="E297" s="585">
        <f>E290*E296</f>
        <v>0</v>
      </c>
      <c r="F297" s="541" t="s">
        <v>75</v>
      </c>
      <c r="W297" s="545"/>
    </row>
    <row r="298" spans="1:27" s="579" customFormat="1" ht="11.25">
      <c r="A298" s="586"/>
      <c r="B298" s="554" t="s">
        <v>59</v>
      </c>
      <c r="D298" s="937">
        <v>0</v>
      </c>
      <c r="E298" s="544">
        <f>D298*E297</f>
        <v>0</v>
      </c>
      <c r="F298" s="545" t="s">
        <v>75</v>
      </c>
      <c r="W298" s="583"/>
    </row>
    <row r="299" spans="1:27" s="579" customFormat="1" ht="11.25">
      <c r="B299" s="554" t="s">
        <v>61</v>
      </c>
      <c r="D299" s="937">
        <v>0</v>
      </c>
      <c r="E299" s="544">
        <f>D299*E297</f>
        <v>0</v>
      </c>
      <c r="F299" s="545" t="s">
        <v>75</v>
      </c>
      <c r="Y299" s="583"/>
      <c r="Z299" s="582"/>
      <c r="AA299" s="583"/>
    </row>
    <row r="300" spans="1:27" s="579" customFormat="1" ht="11.25">
      <c r="B300" s="554" t="s">
        <v>60</v>
      </c>
      <c r="D300" s="937">
        <v>0</v>
      </c>
      <c r="E300" s="544">
        <f>D300*E297</f>
        <v>0</v>
      </c>
      <c r="F300" s="545" t="s">
        <v>75</v>
      </c>
      <c r="W300" s="583"/>
    </row>
    <row r="301" spans="1:27" s="579" customFormat="1" ht="11.25">
      <c r="B301" s="558" t="s">
        <v>343</v>
      </c>
      <c r="C301" s="535"/>
      <c r="D301" s="938">
        <v>0</v>
      </c>
      <c r="E301" s="548">
        <f>D301*E297</f>
        <v>0</v>
      </c>
      <c r="F301" s="549" t="s">
        <v>75</v>
      </c>
      <c r="W301" s="583"/>
    </row>
    <row r="302" spans="1:27" s="488" customFormat="1" ht="11.25">
      <c r="B302" s="511"/>
      <c r="C302" s="511"/>
      <c r="D302" s="510"/>
      <c r="E302" s="508"/>
      <c r="F302" s="509"/>
      <c r="W302" s="521"/>
    </row>
    <row r="303" spans="1:27" s="73" customFormat="1">
      <c r="B303" s="81" t="s">
        <v>618</v>
      </c>
      <c r="C303" s="81"/>
      <c r="D303" s="80"/>
      <c r="E303" s="531">
        <f>'ODPRTI PROSTOR'!C95</f>
        <v>0</v>
      </c>
      <c r="F303" s="378" t="s">
        <v>723</v>
      </c>
    </row>
    <row r="304" spans="1:27" s="73" customFormat="1">
      <c r="B304" s="81" t="s">
        <v>619</v>
      </c>
      <c r="C304" s="81"/>
      <c r="D304" s="80"/>
      <c r="E304" s="531">
        <f>'ODPRTI PROSTOR'!C96</f>
        <v>0</v>
      </c>
      <c r="F304" s="378" t="s">
        <v>723</v>
      </c>
    </row>
    <row r="305" spans="1:27" s="12" customFormat="1" ht="18.75">
      <c r="A305" s="185"/>
      <c r="B305" s="185"/>
      <c r="C305" s="185"/>
      <c r="D305" s="185"/>
      <c r="E305" s="336"/>
      <c r="F305" s="185"/>
      <c r="J305" s="13"/>
      <c r="P305" s="14"/>
    </row>
    <row r="306" spans="1:27" s="12" customFormat="1" ht="19.5" thickBot="1">
      <c r="A306" s="737"/>
      <c r="B306" s="737"/>
      <c r="C306" s="737"/>
      <c r="D306" s="737"/>
      <c r="E306" s="738"/>
      <c r="F306" s="737"/>
      <c r="J306" s="13"/>
      <c r="P306" s="14"/>
    </row>
    <row r="307" spans="1:27" s="39" customFormat="1" ht="15.75">
      <c r="A307" s="223" t="s">
        <v>1002</v>
      </c>
      <c r="B307" s="224"/>
      <c r="C307" s="224"/>
      <c r="D307" s="224"/>
      <c r="E307" s="224"/>
      <c r="F307" s="224"/>
      <c r="G307" s="37"/>
      <c r="H307" s="37"/>
      <c r="I307" s="37"/>
      <c r="J307" s="37"/>
      <c r="K307" s="37"/>
      <c r="L307" s="37"/>
      <c r="M307" s="37"/>
      <c r="N307" s="37"/>
      <c r="O307" s="37"/>
    </row>
    <row r="308" spans="1:27" s="37" customFormat="1" ht="15.75">
      <c r="B308" s="550" t="s">
        <v>77</v>
      </c>
      <c r="C308" s="550"/>
      <c r="D308" s="551"/>
      <c r="E308" s="552">
        <f>+E17+E43+E69+E95+E121</f>
        <v>0</v>
      </c>
      <c r="F308" s="550" t="s">
        <v>743</v>
      </c>
    </row>
    <row r="309" spans="1:27" s="37" customFormat="1" ht="15.75">
      <c r="B309" s="550" t="s">
        <v>741</v>
      </c>
      <c r="C309" s="550"/>
      <c r="D309" s="551"/>
      <c r="E309" s="560">
        <f>+E38+E64+E90+E116+E142</f>
        <v>0</v>
      </c>
      <c r="F309" s="550" t="s">
        <v>723</v>
      </c>
    </row>
    <row r="310" spans="1:27" s="37" customFormat="1" ht="15.75">
      <c r="B310" s="550" t="s">
        <v>742</v>
      </c>
      <c r="C310" s="550"/>
      <c r="D310" s="551"/>
      <c r="E310" s="560">
        <f>+E39+E65+E91+E117+E143</f>
        <v>0</v>
      </c>
      <c r="F310" s="550" t="s">
        <v>723</v>
      </c>
    </row>
    <row r="311" spans="1:27" s="73" customFormat="1">
      <c r="B311" s="553" t="s">
        <v>744</v>
      </c>
      <c r="C311" s="553"/>
      <c r="D311" s="561"/>
      <c r="E311" s="562">
        <f>+E32+E58+E84+E110+E136</f>
        <v>0</v>
      </c>
      <c r="F311" s="563" t="s">
        <v>75</v>
      </c>
    </row>
    <row r="312" spans="1:27" s="488" customFormat="1" ht="11.25">
      <c r="B312" s="554" t="s">
        <v>59</v>
      </c>
      <c r="C312" s="554"/>
      <c r="D312" s="555">
        <f>IFERROR(E312/$E$311,0)</f>
        <v>0</v>
      </c>
      <c r="E312" s="556">
        <f>+E33+E59+E85+E111+E137</f>
        <v>0</v>
      </c>
      <c r="F312" s="557" t="s">
        <v>75</v>
      </c>
      <c r="W312" s="521"/>
    </row>
    <row r="313" spans="1:27" s="488" customFormat="1" ht="11.25">
      <c r="B313" s="554" t="s">
        <v>61</v>
      </c>
      <c r="C313" s="554"/>
      <c r="D313" s="555">
        <f t="shared" ref="D313:D315" si="0">IFERROR(E313/$E$311,0)</f>
        <v>0</v>
      </c>
      <c r="E313" s="556">
        <f>+E34+E60+E86+E112+E138</f>
        <v>0</v>
      </c>
      <c r="F313" s="557" t="s">
        <v>75</v>
      </c>
      <c r="Y313" s="521"/>
      <c r="Z313" s="520"/>
      <c r="AA313" s="521"/>
    </row>
    <row r="314" spans="1:27" s="488" customFormat="1" ht="11.25">
      <c r="B314" s="554" t="s">
        <v>60</v>
      </c>
      <c r="C314" s="554"/>
      <c r="D314" s="555">
        <f t="shared" si="0"/>
        <v>0</v>
      </c>
      <c r="E314" s="556">
        <f>+E35+E61+E87+E113+E139</f>
        <v>0</v>
      </c>
      <c r="F314" s="557" t="s">
        <v>75</v>
      </c>
      <c r="W314" s="521"/>
    </row>
    <row r="315" spans="1:27" s="488" customFormat="1" ht="11.25">
      <c r="B315" s="558" t="s">
        <v>343</v>
      </c>
      <c r="C315" s="554"/>
      <c r="D315" s="555">
        <f t="shared" si="0"/>
        <v>0</v>
      </c>
      <c r="E315" s="556">
        <f>+E36+E62+E88+E114+E140</f>
        <v>0</v>
      </c>
      <c r="F315" s="559" t="s">
        <v>75</v>
      </c>
      <c r="W315" s="521"/>
    </row>
    <row r="316" spans="1:27" s="30" customFormat="1">
      <c r="B316" s="553" t="s">
        <v>82</v>
      </c>
      <c r="C316" s="553"/>
      <c r="D316" s="553"/>
      <c r="E316" s="564">
        <f>IFERROR(+E311/E308,0)</f>
        <v>0</v>
      </c>
      <c r="F316" s="553" t="s">
        <v>745</v>
      </c>
      <c r="W316" s="31"/>
      <c r="X316" s="32"/>
      <c r="Y316" s="33"/>
      <c r="Z316" s="32"/>
      <c r="AA316" s="33"/>
    </row>
    <row r="317" spans="1:27" s="37" customFormat="1" ht="16.5" thickBot="1">
      <c r="A317" s="63"/>
      <c r="B317" s="63"/>
      <c r="C317" s="63"/>
      <c r="D317" s="64"/>
      <c r="E317" s="334"/>
      <c r="F317" s="65"/>
      <c r="Y317" s="46"/>
      <c r="Z317" s="45"/>
      <c r="AA317" s="46"/>
    </row>
    <row r="318" spans="1:27" s="39" customFormat="1" ht="15.75" collapsed="1">
      <c r="A318" s="223" t="s">
        <v>197</v>
      </c>
      <c r="B318" s="224"/>
      <c r="C318" s="224"/>
      <c r="D318" s="224"/>
      <c r="E318" s="224"/>
      <c r="F318" s="224"/>
      <c r="G318" s="37"/>
      <c r="H318" s="37"/>
      <c r="I318" s="37"/>
      <c r="J318" s="37"/>
      <c r="K318" s="37"/>
      <c r="L318" s="37"/>
      <c r="M318" s="37"/>
      <c r="N318" s="37"/>
      <c r="O318" s="37"/>
    </row>
    <row r="319" spans="1:27" s="37" customFormat="1" ht="15.75">
      <c r="B319" s="50" t="s">
        <v>83</v>
      </c>
      <c r="C319" s="42"/>
      <c r="D319" s="43"/>
      <c r="E319" s="552">
        <f>+E153+E165+E177+E189+E201</f>
        <v>0</v>
      </c>
      <c r="F319" s="50" t="s">
        <v>190</v>
      </c>
    </row>
    <row r="320" spans="1:27" s="37" customFormat="1" ht="15.75">
      <c r="B320" s="550" t="s">
        <v>741</v>
      </c>
      <c r="C320" s="550"/>
      <c r="D320" s="551"/>
      <c r="E320" s="560">
        <f>+E160+E172+E184+E196+E208</f>
        <v>0</v>
      </c>
      <c r="F320" s="550" t="s">
        <v>723</v>
      </c>
    </row>
    <row r="321" spans="1:27" s="37" customFormat="1" ht="15.75">
      <c r="B321" s="550" t="s">
        <v>742</v>
      </c>
      <c r="C321" s="550"/>
      <c r="D321" s="551"/>
      <c r="E321" s="560">
        <f>+E161+E173+E185+E197+E209</f>
        <v>0</v>
      </c>
      <c r="F321" s="550" t="s">
        <v>723</v>
      </c>
    </row>
    <row r="322" spans="1:27" s="37" customFormat="1" ht="15.75">
      <c r="B322" s="721" t="s">
        <v>744</v>
      </c>
      <c r="C322" s="722"/>
      <c r="D322" s="722"/>
      <c r="E322" s="723">
        <f>+E158+E170+E182+E194+E206</f>
        <v>0</v>
      </c>
      <c r="F322" s="724" t="s">
        <v>75</v>
      </c>
      <c r="W322" s="44"/>
    </row>
    <row r="323" spans="1:27" s="37" customFormat="1" ht="15.75">
      <c r="B323" s="721" t="s">
        <v>84</v>
      </c>
      <c r="C323" s="722"/>
      <c r="D323" s="721"/>
      <c r="E323" s="723">
        <f>IFERROR(E322/E319,0)</f>
        <v>0</v>
      </c>
      <c r="F323" s="721" t="s">
        <v>886</v>
      </c>
      <c r="W323" s="44"/>
      <c r="X323" s="45"/>
      <c r="Y323" s="46"/>
      <c r="Z323" s="45"/>
      <c r="AA323" s="46"/>
    </row>
    <row r="324" spans="1:27" s="37" customFormat="1" ht="16.5" thickBot="1">
      <c r="A324" s="63"/>
      <c r="B324" s="63"/>
      <c r="C324" s="63"/>
      <c r="D324" s="64"/>
      <c r="E324" s="334"/>
      <c r="F324" s="65"/>
      <c r="Y324" s="46"/>
      <c r="Z324" s="45"/>
      <c r="AA324" s="46"/>
    </row>
    <row r="325" spans="1:27" s="39" customFormat="1" ht="15.75" collapsed="1">
      <c r="A325" s="223" t="s">
        <v>199</v>
      </c>
      <c r="B325" s="224"/>
      <c r="C325" s="224"/>
      <c r="D325" s="224"/>
      <c r="E325" s="224"/>
      <c r="F325" s="224"/>
      <c r="G325" s="37"/>
      <c r="H325" s="37"/>
      <c r="I325" s="37"/>
      <c r="J325" s="37"/>
      <c r="K325" s="37"/>
      <c r="L325" s="37"/>
      <c r="M325" s="37"/>
      <c r="N325" s="37"/>
      <c r="O325" s="37"/>
    </row>
    <row r="326" spans="1:27" s="37" customFormat="1" ht="15.75">
      <c r="B326" s="50" t="s">
        <v>167</v>
      </c>
      <c r="C326" s="42"/>
      <c r="D326" s="43"/>
      <c r="E326" s="699">
        <f>+E218+E236+E254+E272+E290</f>
        <v>0</v>
      </c>
      <c r="F326" s="550" t="s">
        <v>743</v>
      </c>
    </row>
    <row r="327" spans="1:27" s="37" customFormat="1" ht="15.75">
      <c r="B327" s="550" t="s">
        <v>741</v>
      </c>
      <c r="C327" s="550"/>
      <c r="D327" s="551"/>
      <c r="E327" s="560">
        <f>+E231+E249+E267+E285+E303</f>
        <v>0</v>
      </c>
      <c r="F327" s="550" t="s">
        <v>723</v>
      </c>
    </row>
    <row r="328" spans="1:27" s="37" customFormat="1" ht="15.75">
      <c r="B328" s="550" t="s">
        <v>742</v>
      </c>
      <c r="C328" s="550"/>
      <c r="D328" s="551"/>
      <c r="E328" s="560">
        <f>+E232+E250+E268+E286+E304</f>
        <v>0</v>
      </c>
      <c r="F328" s="550" t="s">
        <v>723</v>
      </c>
    </row>
    <row r="329" spans="1:27" s="37" customFormat="1" ht="15.75">
      <c r="A329" s="73"/>
      <c r="B329" s="553" t="s">
        <v>744</v>
      </c>
      <c r="C329" s="553"/>
      <c r="D329" s="561"/>
      <c r="E329" s="562">
        <f>+E225+E243+E261+E279+E297</f>
        <v>0</v>
      </c>
      <c r="F329" s="563" t="s">
        <v>75</v>
      </c>
      <c r="W329" s="44"/>
    </row>
    <row r="330" spans="1:27" s="575" customFormat="1" ht="11.25">
      <c r="B330" s="554" t="s">
        <v>59</v>
      </c>
      <c r="D330" s="555">
        <f>IFERROR(E330/$E$311,0)</f>
        <v>0</v>
      </c>
      <c r="E330" s="556">
        <f>E226+E244+E262+E280+E298</f>
        <v>0</v>
      </c>
      <c r="F330" s="557" t="s">
        <v>75</v>
      </c>
      <c r="W330" s="576"/>
    </row>
    <row r="331" spans="1:27" s="575" customFormat="1" ht="11.25">
      <c r="B331" s="554" t="s">
        <v>61</v>
      </c>
      <c r="D331" s="555">
        <f t="shared" ref="D331:D333" si="1">IFERROR(E331/$E$311,0)</f>
        <v>0</v>
      </c>
      <c r="E331" s="556">
        <f>E227+E245+E263+E281+E299</f>
        <v>0</v>
      </c>
      <c r="F331" s="557" t="s">
        <v>75</v>
      </c>
      <c r="Y331" s="576"/>
      <c r="Z331" s="577"/>
      <c r="AA331" s="576"/>
    </row>
    <row r="332" spans="1:27" s="575" customFormat="1" ht="11.25">
      <c r="B332" s="554" t="s">
        <v>60</v>
      </c>
      <c r="D332" s="555">
        <f t="shared" si="1"/>
        <v>0</v>
      </c>
      <c r="E332" s="556">
        <f>E228+E246+E264+E282+E300</f>
        <v>0</v>
      </c>
      <c r="F332" s="557" t="s">
        <v>75</v>
      </c>
      <c r="W332" s="576"/>
    </row>
    <row r="333" spans="1:27" s="575" customFormat="1" ht="11.25">
      <c r="B333" s="558" t="s">
        <v>343</v>
      </c>
      <c r="D333" s="555">
        <f t="shared" si="1"/>
        <v>0</v>
      </c>
      <c r="E333" s="556">
        <f>E229+E247+E265+E283+E301</f>
        <v>0</v>
      </c>
      <c r="F333" s="557" t="s">
        <v>75</v>
      </c>
      <c r="W333" s="576"/>
    </row>
    <row r="334" spans="1:27" s="579" customFormat="1" ht="12">
      <c r="B334" s="538" t="s">
        <v>168</v>
      </c>
      <c r="C334" s="539"/>
      <c r="D334" s="538"/>
      <c r="E334" s="589">
        <f>IFERROR(E329/E326,0)</f>
        <v>0</v>
      </c>
      <c r="F334" s="553" t="s">
        <v>745</v>
      </c>
      <c r="W334" s="545"/>
      <c r="X334" s="582"/>
      <c r="Y334" s="583"/>
      <c r="Z334" s="582"/>
      <c r="AA334" s="583"/>
    </row>
    <row r="335" spans="1:27" s="37" customFormat="1" ht="16.5" thickBot="1">
      <c r="A335" s="739"/>
      <c r="B335" s="740"/>
      <c r="C335" s="740"/>
      <c r="D335" s="740"/>
      <c r="E335" s="741"/>
      <c r="F335" s="742"/>
      <c r="W335" s="44"/>
    </row>
    <row r="336" spans="1:27" s="39" customFormat="1" ht="15.75" hidden="1" collapsed="1">
      <c r="A336" s="223" t="s">
        <v>346</v>
      </c>
      <c r="B336" s="224"/>
      <c r="C336" s="224"/>
      <c r="D336" s="224"/>
      <c r="E336" s="224"/>
      <c r="F336" s="224"/>
      <c r="G336" s="37"/>
      <c r="H336" s="37"/>
      <c r="I336" s="37"/>
      <c r="J336" s="37"/>
      <c r="K336" s="37"/>
      <c r="L336" s="37"/>
      <c r="M336" s="37"/>
      <c r="N336" s="37"/>
      <c r="O336" s="37"/>
    </row>
    <row r="337" spans="1:23" s="37" customFormat="1" ht="15.75" hidden="1">
      <c r="A337" s="50" t="s">
        <v>344</v>
      </c>
      <c r="B337" s="42"/>
      <c r="C337" s="42"/>
      <c r="D337" s="42"/>
      <c r="E337" s="337">
        <f>SUM(E338:E341)</f>
        <v>0</v>
      </c>
      <c r="F337" s="186" t="s">
        <v>75</v>
      </c>
      <c r="W337" s="44"/>
    </row>
    <row r="338" spans="1:23" s="37" customFormat="1" ht="15.75" hidden="1">
      <c r="A338" s="30"/>
      <c r="B338" s="30" t="s">
        <v>59</v>
      </c>
      <c r="C338" s="30"/>
      <c r="D338" s="45"/>
      <c r="E338" s="590">
        <v>0</v>
      </c>
      <c r="F338" s="239" t="s">
        <v>75</v>
      </c>
      <c r="W338" s="44"/>
    </row>
    <row r="339" spans="1:23" s="37" customFormat="1" ht="15.75" hidden="1">
      <c r="A339" s="30"/>
      <c r="B339" s="30" t="s">
        <v>61</v>
      </c>
      <c r="C339" s="30"/>
      <c r="D339" s="45"/>
      <c r="E339" s="590">
        <v>0</v>
      </c>
      <c r="F339" s="31" t="s">
        <v>75</v>
      </c>
      <c r="W339" s="44"/>
    </row>
    <row r="340" spans="1:23" s="37" customFormat="1" ht="15.75" hidden="1">
      <c r="A340" s="30"/>
      <c r="B340" s="30" t="s">
        <v>60</v>
      </c>
      <c r="C340" s="30"/>
      <c r="D340" s="45"/>
      <c r="E340" s="590">
        <v>0</v>
      </c>
      <c r="F340" s="31" t="s">
        <v>75</v>
      </c>
      <c r="W340" s="44"/>
    </row>
    <row r="341" spans="1:23" s="30" customFormat="1" hidden="1">
      <c r="B341" s="30" t="s">
        <v>343</v>
      </c>
      <c r="D341" s="47"/>
      <c r="E341" s="590">
        <v>0</v>
      </c>
      <c r="F341" s="31" t="s">
        <v>75</v>
      </c>
      <c r="W341" s="33"/>
    </row>
    <row r="342" spans="1:23" s="37" customFormat="1" ht="15.75" hidden="1">
      <c r="A342" s="51"/>
      <c r="B342" s="184"/>
      <c r="C342" s="184"/>
      <c r="D342" s="184"/>
      <c r="E342" s="339"/>
      <c r="F342" s="68"/>
      <c r="W342" s="44"/>
    </row>
    <row r="343" spans="1:23" s="39" customFormat="1" ht="15.75" hidden="1" collapsed="1">
      <c r="A343" s="223" t="s">
        <v>348</v>
      </c>
      <c r="B343" s="224"/>
      <c r="C343" s="224"/>
      <c r="D343" s="224"/>
      <c r="E343" s="224"/>
      <c r="F343" s="224"/>
      <c r="G343" s="37"/>
      <c r="H343" s="37"/>
      <c r="I343" s="37"/>
      <c r="J343" s="37"/>
      <c r="K343" s="37"/>
      <c r="L343" s="37"/>
      <c r="M343" s="37"/>
      <c r="N343" s="37"/>
      <c r="O343" s="37"/>
    </row>
    <row r="344" spans="1:23" s="37" customFormat="1" ht="15.75" hidden="1">
      <c r="A344" s="50" t="s">
        <v>344</v>
      </c>
      <c r="B344" s="42"/>
      <c r="C344" s="42"/>
      <c r="D344" s="42"/>
      <c r="E344" s="337">
        <f>SUM(E345:E348)</f>
        <v>0</v>
      </c>
      <c r="F344" s="186" t="s">
        <v>75</v>
      </c>
      <c r="W344" s="44"/>
    </row>
    <row r="345" spans="1:23" s="37" customFormat="1" ht="15.75" hidden="1">
      <c r="A345" s="30"/>
      <c r="B345" s="30" t="s">
        <v>59</v>
      </c>
      <c r="C345" s="30"/>
      <c r="D345" s="45"/>
      <c r="E345" s="590">
        <v>0</v>
      </c>
      <c r="F345" s="239" t="s">
        <v>75</v>
      </c>
      <c r="W345" s="44"/>
    </row>
    <row r="346" spans="1:23" s="37" customFormat="1" ht="15.75" hidden="1">
      <c r="A346" s="30"/>
      <c r="B346" s="30" t="s">
        <v>61</v>
      </c>
      <c r="C346" s="30"/>
      <c r="D346" s="45"/>
      <c r="E346" s="590">
        <v>0</v>
      </c>
      <c r="F346" s="31" t="s">
        <v>75</v>
      </c>
      <c r="W346" s="44"/>
    </row>
    <row r="347" spans="1:23" s="37" customFormat="1" ht="15.75" hidden="1">
      <c r="A347" s="30"/>
      <c r="B347" s="30" t="s">
        <v>60</v>
      </c>
      <c r="C347" s="30"/>
      <c r="D347" s="45"/>
      <c r="E347" s="590">
        <v>0</v>
      </c>
      <c r="F347" s="31" t="s">
        <v>75</v>
      </c>
      <c r="W347" s="44"/>
    </row>
    <row r="348" spans="1:23" s="37" customFormat="1" ht="15.75" hidden="1">
      <c r="A348" s="30"/>
      <c r="B348" s="30" t="s">
        <v>343</v>
      </c>
      <c r="C348" s="30"/>
      <c r="D348" s="47"/>
      <c r="E348" s="590">
        <v>0</v>
      </c>
      <c r="F348" s="31" t="s">
        <v>75</v>
      </c>
      <c r="W348" s="44"/>
    </row>
    <row r="349" spans="1:23" s="37" customFormat="1" ht="15.75">
      <c r="A349" s="51"/>
      <c r="B349" s="184"/>
      <c r="C349" s="184"/>
      <c r="D349" s="184"/>
      <c r="E349" s="339"/>
      <c r="F349" s="68"/>
      <c r="W349" s="44"/>
    </row>
    <row r="350" spans="1:23" s="39" customFormat="1" ht="15.75">
      <c r="A350" s="309" t="s">
        <v>502</v>
      </c>
      <c r="B350" s="310"/>
      <c r="C350" s="310"/>
      <c r="D350" s="54"/>
      <c r="E350" s="1262">
        <f>E311+E322+E329+E337+E344</f>
        <v>0</v>
      </c>
      <c r="F350" s="54" t="s">
        <v>75</v>
      </c>
      <c r="G350" s="37"/>
      <c r="H350" s="37"/>
      <c r="I350" s="37"/>
      <c r="J350" s="37"/>
      <c r="K350" s="37"/>
      <c r="L350" s="37"/>
      <c r="M350" s="37"/>
      <c r="N350" s="37"/>
      <c r="O350" s="37"/>
    </row>
    <row r="351" spans="1:23" s="39" customFormat="1" ht="15.75">
      <c r="A351" s="55"/>
      <c r="E351" s="56"/>
      <c r="G351" s="37"/>
      <c r="H351" s="37"/>
      <c r="I351" s="37"/>
      <c r="J351" s="37"/>
      <c r="K351" s="37"/>
      <c r="L351" s="37"/>
      <c r="M351" s="37"/>
      <c r="N351" s="37"/>
      <c r="O351" s="37"/>
    </row>
    <row r="352" spans="1:23" ht="15.75">
      <c r="A352" s="216"/>
      <c r="B352" s="35"/>
      <c r="C352" s="35"/>
      <c r="D352" s="37"/>
      <c r="E352" s="340"/>
      <c r="F352" s="23"/>
    </row>
    <row r="353" spans="1:19" s="60" customFormat="1" ht="18.75">
      <c r="A353" s="1" t="s">
        <v>375</v>
      </c>
      <c r="B353" s="58"/>
      <c r="C353" s="58"/>
      <c r="D353" s="58"/>
      <c r="E353" s="328"/>
      <c r="F353" s="58"/>
      <c r="H353" s="58"/>
      <c r="I353" s="58"/>
      <c r="J353" s="58"/>
      <c r="K353" s="58"/>
    </row>
    <row r="354" spans="1:19" s="70" customFormat="1" ht="36.4" customHeight="1">
      <c r="B354" s="1316" t="s">
        <v>963</v>
      </c>
      <c r="C354" s="1316"/>
      <c r="D354" s="1316"/>
      <c r="E354" s="1316"/>
      <c r="F354" s="1316"/>
    </row>
    <row r="355" spans="1:19" s="70" customFormat="1" ht="18.75">
      <c r="B355" s="1317" t="s">
        <v>620</v>
      </c>
      <c r="C355" s="1317"/>
      <c r="D355" s="1317"/>
      <c r="E355" s="1317"/>
      <c r="F355" s="1317"/>
    </row>
    <row r="356" spans="1:19" s="569" customFormat="1">
      <c r="A356" s="220"/>
      <c r="B356" s="220"/>
      <c r="C356" s="220"/>
      <c r="D356" s="220"/>
      <c r="E356" s="220"/>
      <c r="F356" s="220"/>
    </row>
    <row r="357" spans="1:19" s="12" customFormat="1" ht="39.75">
      <c r="A357" s="730" t="s">
        <v>700</v>
      </c>
      <c r="C357" s="379" t="s">
        <v>618</v>
      </c>
      <c r="D357" s="379" t="s">
        <v>619</v>
      </c>
      <c r="E357" s="731" t="s">
        <v>629</v>
      </c>
      <c r="F357" s="731" t="s">
        <v>724</v>
      </c>
      <c r="G357" s="372" t="s">
        <v>756</v>
      </c>
      <c r="H357" s="613" t="s">
        <v>746</v>
      </c>
      <c r="I357" s="372" t="s">
        <v>503</v>
      </c>
      <c r="N357" s="13"/>
      <c r="O357" s="13"/>
      <c r="P357" s="13"/>
      <c r="Q357" s="13"/>
      <c r="R357" s="14"/>
      <c r="S357" s="14"/>
    </row>
    <row r="358" spans="1:19" s="12" customFormat="1" ht="18.75">
      <c r="A358" s="939" t="b">
        <v>1</v>
      </c>
      <c r="B358" s="646" t="s">
        <v>801</v>
      </c>
      <c r="C358" s="650" t="s">
        <v>807</v>
      </c>
      <c r="D358" s="647"/>
      <c r="E358" s="648"/>
      <c r="F358" s="648"/>
      <c r="G358" s="648"/>
      <c r="H358" s="649"/>
      <c r="I358" s="648"/>
      <c r="N358" s="13"/>
      <c r="O358" s="13"/>
      <c r="P358" s="13"/>
      <c r="Q358" s="13"/>
      <c r="R358" s="14"/>
      <c r="S358" s="14"/>
    </row>
    <row r="359" spans="1:19" s="12" customFormat="1" ht="18.75">
      <c r="A359" s="379"/>
      <c r="B359" s="591" t="s">
        <v>763</v>
      </c>
      <c r="C359" s="379"/>
      <c r="D359" s="379"/>
      <c r="E359" s="372"/>
      <c r="F359" s="372"/>
      <c r="G359" s="372"/>
      <c r="H359" s="613"/>
      <c r="I359" s="372"/>
      <c r="N359" s="13"/>
      <c r="O359" s="13"/>
      <c r="P359" s="13"/>
      <c r="Q359" s="13"/>
      <c r="R359" s="14"/>
      <c r="S359" s="14"/>
    </row>
    <row r="360" spans="1:19" s="14" customFormat="1" ht="15.75">
      <c r="A360" s="940" t="b">
        <v>1</v>
      </c>
      <c r="B360" s="565" t="s">
        <v>347</v>
      </c>
      <c r="C360" s="380">
        <f>IFERROR(IF(A360=TRUE,E309,""),"")</f>
        <v>0</v>
      </c>
      <c r="D360" s="380">
        <f>IFERROR(IF(A360=TRUE,E310,""),"")</f>
        <v>0</v>
      </c>
      <c r="E360" s="943" t="b">
        <v>1</v>
      </c>
      <c r="F360" s="948"/>
      <c r="G360" s="566">
        <f t="shared" ref="G360:G362" si="2">IFERROR(IF(E360=TRUE,(C360+D360)/2, F360),0)</f>
        <v>0</v>
      </c>
      <c r="H360" s="380">
        <f>G360*'ARHIGRAM 6'!$I$16</f>
        <v>0</v>
      </c>
      <c r="I360" s="380">
        <f>STAVBE!X172</f>
        <v>0</v>
      </c>
    </row>
    <row r="361" spans="1:19" s="14" customFormat="1" ht="15.75">
      <c r="A361" s="941" t="b">
        <v>1</v>
      </c>
      <c r="B361" s="567" t="s">
        <v>2</v>
      </c>
      <c r="C361" s="645">
        <f>IFERROR(IF(A361=TRUE,E320,""),"")</f>
        <v>0</v>
      </c>
      <c r="D361" s="645">
        <f>IFERROR(IF(A361=TRUE,E321,""),"")</f>
        <v>0</v>
      </c>
      <c r="E361" s="944" t="b">
        <v>1</v>
      </c>
      <c r="F361" s="949"/>
      <c r="G361" s="568">
        <f t="shared" si="2"/>
        <v>0</v>
      </c>
      <c r="H361" s="381">
        <f>G361*'ARHIGRAM 6'!$I$16</f>
        <v>0</v>
      </c>
      <c r="I361" s="381">
        <f>+'NOTRANJA OPREMA'!X151</f>
        <v>0</v>
      </c>
    </row>
    <row r="362" spans="1:19" s="14" customFormat="1" ht="15.75">
      <c r="A362" s="941" t="b">
        <v>1</v>
      </c>
      <c r="B362" s="567" t="s">
        <v>195</v>
      </c>
      <c r="C362" s="645">
        <f>IFERROR(IF(A362=TRUE,E327,""),"")</f>
        <v>0</v>
      </c>
      <c r="D362" s="645">
        <f>IFERROR(IF(A362=TRUE,E328,""),"")</f>
        <v>0</v>
      </c>
      <c r="E362" s="944" t="b">
        <v>1</v>
      </c>
      <c r="F362" s="949"/>
      <c r="G362" s="568">
        <f t="shared" si="2"/>
        <v>0</v>
      </c>
      <c r="H362" s="381">
        <f>G362*'ARHIGRAM 6'!$I$16</f>
        <v>0</v>
      </c>
      <c r="I362" s="381">
        <f>'ODPRTI PROSTOR'!X172</f>
        <v>0</v>
      </c>
    </row>
    <row r="363" spans="1:19" s="14" customFormat="1" ht="15.75">
      <c r="A363" s="17"/>
      <c r="B363" s="592" t="s">
        <v>764</v>
      </c>
      <c r="C363" s="570"/>
      <c r="D363" s="570"/>
      <c r="E363" s="384"/>
      <c r="F363" s="384"/>
      <c r="G363" s="383"/>
      <c r="H363" s="383"/>
      <c r="I363" s="383"/>
    </row>
    <row r="364" spans="1:19" s="14" customFormat="1" ht="15.75">
      <c r="A364" s="940" t="b">
        <v>1</v>
      </c>
      <c r="B364" s="651" t="s">
        <v>349</v>
      </c>
      <c r="C364" s="652">
        <f>IFERROR(IF(A364=TRUE,('GRADBENE KONSTRUKCIJE'!C27+'GRADBENE KONSTRUKCIJE'!C49+'GRADBENE KONSTRUKCIJE'!C71+'GRADBENE KONSTRUKCIJE'!C93+'GRADBENE KONSTRUKCIJE'!C115),""),"")</f>
        <v>0</v>
      </c>
      <c r="D364" s="652">
        <f>IFERROR(IF(A364=TRUE,('GRADBENE KONSTRUKCIJE'!C28+'GRADBENE KONSTRUKCIJE'!C50+'GRADBENE KONSTRUKCIJE'!C72+'GRADBENE KONSTRUKCIJE'!C94+'GRADBENE KONSTRUKCIJE'!C116),""),"")</f>
        <v>0</v>
      </c>
      <c r="E364" s="945" t="b">
        <v>1</v>
      </c>
      <c r="F364" s="950"/>
      <c r="G364" s="653">
        <f>IFERROR(IF(E364=TRUE,(C364+D364)/2, F364),0)</f>
        <v>0</v>
      </c>
      <c r="H364" s="654">
        <f>G364*'ARHIGRAM 6'!$I$16</f>
        <v>0</v>
      </c>
      <c r="I364" s="655">
        <f>'GRADBENE KONSTRUKCIJE'!H162</f>
        <v>0</v>
      </c>
    </row>
    <row r="365" spans="1:19" s="14" customFormat="1" ht="15.75">
      <c r="A365" s="941" t="b">
        <v>1</v>
      </c>
      <c r="B365" s="656" t="s">
        <v>350</v>
      </c>
      <c r="C365" s="657">
        <f>IFERROR(IF(A365=TRUE,('TEHNIČNA OPREMA'!C27+'TEHNIČNA OPREMA'!C49+'TEHNIČNA OPREMA'!C71+'TEHNIČNA OPREMA'!C93+'TEHNIČNA OPREMA'!C115),""),"")</f>
        <v>0</v>
      </c>
      <c r="D365" s="657" cm="1">
        <f t="array" ref="D365">IFERROR(IF(A365=TRUE,('TEHNIČNA OPREMA'!C28+'TEHNIČNA OPREMA'!C50+'TEHNIČNA OPREMA'!C72+'TEHNIČNA OPREMA'!C94+'TEHNIČNA OPREMA'!C116:C116),""),"")</f>
        <v>0</v>
      </c>
      <c r="E365" s="946" t="b">
        <v>1</v>
      </c>
      <c r="F365" s="951"/>
      <c r="G365" s="658">
        <f>IFERROR(IF(E365=TRUE,(C365+D365)/2, F365),0)</f>
        <v>0</v>
      </c>
      <c r="H365" s="659">
        <f>G365*'ARHIGRAM 6'!$I$16</f>
        <v>0</v>
      </c>
      <c r="I365" s="659">
        <f>'TEHNIČNA OPREMA'!H167</f>
        <v>0</v>
      </c>
    </row>
    <row r="366" spans="1:19" s="14" customFormat="1" ht="15.75">
      <c r="A366" s="941" t="b">
        <v>1</v>
      </c>
      <c r="B366" s="656" t="s">
        <v>351</v>
      </c>
      <c r="C366" s="657">
        <f>IFERROR(IF(A366=TRUE,('TEHNIČNA OPREMA'!G27+'TEHNIČNA OPREMA'!G49+'TEHNIČNA OPREMA'!G71+'TEHNIČNA OPREMA'!G93+'TEHNIČNA OPREMA'!G115),""),"")</f>
        <v>0</v>
      </c>
      <c r="D366" s="657">
        <f>IFERROR(IF(A366=TRUE,('TEHNIČNA OPREMA'!G28+'TEHNIČNA OPREMA'!G50+'TEHNIČNA OPREMA'!G72+'TEHNIČNA OPREMA'!G94+'TEHNIČNA OPREMA'!G116),""),"")</f>
        <v>0</v>
      </c>
      <c r="E366" s="946" t="b">
        <v>1</v>
      </c>
      <c r="F366" s="951"/>
      <c r="G366" s="658">
        <f t="shared" ref="G366:G371" si="3">IFERROR(IF(E366=TRUE,(C366+D366)/2, F366),0)</f>
        <v>0</v>
      </c>
      <c r="H366" s="659">
        <f>G366*'ARHIGRAM 6'!$I$16</f>
        <v>0</v>
      </c>
      <c r="I366" s="659">
        <f>'TEHNIČNA OPREMA'!H219</f>
        <v>0</v>
      </c>
    </row>
    <row r="367" spans="1:19" s="14" customFormat="1" ht="15.75">
      <c r="A367" s="941" t="b">
        <v>1</v>
      </c>
      <c r="B367" s="656" t="s">
        <v>342</v>
      </c>
      <c r="C367" s="657">
        <f>IFERROR(IF(A367=TRUE,('TEHNIČNA OPREMA'!K27+'TEHNIČNA OPREMA'!K49+'TEHNIČNA OPREMA'!K71+'TEHNIČNA OPREMA'!K93+'TEHNIČNA OPREMA'!K115),""),"")</f>
        <v>0</v>
      </c>
      <c r="D367" s="657">
        <f>IFERROR(IF(A367=TRUE,('TEHNIČNA OPREMA'!K28+'TEHNIČNA OPREMA'!K50+'TEHNIČNA OPREMA'!K72+'TEHNIČNA OPREMA'!K94+'TEHNIČNA OPREMA'!K116),""),"")</f>
        <v>0</v>
      </c>
      <c r="E367" s="946" t="b">
        <v>1</v>
      </c>
      <c r="F367" s="951"/>
      <c r="G367" s="658">
        <f t="shared" si="3"/>
        <v>0</v>
      </c>
      <c r="H367" s="659">
        <f>G367*'ARHIGRAM 6'!$I$16</f>
        <v>0</v>
      </c>
      <c r="I367" s="659">
        <f>'TEHNIČNA OPREMA'!H268</f>
        <v>0</v>
      </c>
    </row>
    <row r="368" spans="1:19" s="14" customFormat="1" ht="15.75">
      <c r="A368" s="941" t="b">
        <v>1</v>
      </c>
      <c r="B368" s="656" t="s">
        <v>354</v>
      </c>
      <c r="C368" s="657">
        <f>IFERROR(IF(A368=TRUE,('POŽARNA VARNOST'!C28+'POŽARNA VARNOST'!C51+'POŽARNA VARNOST'!C74+'POŽARNA VARNOST'!C97+'POŽARNA VARNOST'!C120),""),"")</f>
        <v>0</v>
      </c>
      <c r="D368" s="657">
        <f>IFERROR(IF(A368=TRUE,('POŽARNA VARNOST'!C29+'POŽARNA VARNOST'!C52+'POŽARNA VARNOST'!C75+'POŽARNA VARNOST'!C98+'POŽARNA VARNOST'!C121),""),"")</f>
        <v>0</v>
      </c>
      <c r="E368" s="946" t="b">
        <v>1</v>
      </c>
      <c r="F368" s="951"/>
      <c r="G368" s="658">
        <f t="shared" si="3"/>
        <v>0</v>
      </c>
      <c r="H368" s="659">
        <f>G368*'ARHIGRAM 6'!$I$16</f>
        <v>0</v>
      </c>
      <c r="I368" s="659">
        <f>'POŽARNA VARNOST'!H182</f>
        <v>0</v>
      </c>
    </row>
    <row r="369" spans="1:23" s="14" customFormat="1" ht="15.75">
      <c r="A369" s="941" t="b">
        <v>1</v>
      </c>
      <c r="B369" s="660" t="s">
        <v>352</v>
      </c>
      <c r="C369" s="661">
        <f>IFERROR(IF(A369=TRUE,('GRADBENA FIZIKA'!C28+'GRADBENA FIZIKA'!C50+'GRADBENA FIZIKA'!C72+'GRADBENA FIZIKA'!C94+'GRADBENA FIZIKA'!C116),""),"")</f>
        <v>0</v>
      </c>
      <c r="D369" s="661">
        <f>IFERROR(IF(A369=TRUE,('GRADBENA FIZIKA'!C29+'GRADBENA FIZIKA'!C51+'GRADBENA FIZIKA'!C73+'GRADBENA FIZIKA'!C95+'GRADBENA FIZIKA'!C117),""),"")</f>
        <v>0</v>
      </c>
      <c r="E369" s="946" t="b">
        <v>1</v>
      </c>
      <c r="F369" s="951"/>
      <c r="G369" s="658">
        <f t="shared" si="3"/>
        <v>0</v>
      </c>
      <c r="H369" s="659">
        <f>G369*'ARHIGRAM 6'!$I$16</f>
        <v>0</v>
      </c>
      <c r="I369" s="659">
        <f>'GRADBENA FIZIKA'!H167</f>
        <v>0</v>
      </c>
    </row>
    <row r="370" spans="1:23" s="14" customFormat="1" ht="15.75">
      <c r="A370" s="941" t="b">
        <v>1</v>
      </c>
      <c r="B370" s="662" t="s">
        <v>66</v>
      </c>
      <c r="C370" s="663">
        <f>IFERROR(IF(A370=TRUE,('GRADBENA FIZIKA'!G28+'GRADBENA FIZIKA'!G50+'GRADBENA FIZIKA'!G72+'GRADBENA FIZIKA'!G94+'GRADBENA FIZIKA'!G116),""),"")</f>
        <v>0</v>
      </c>
      <c r="D370" s="663">
        <f>IFERROR(IF(A370=TRUE,('GRADBENA FIZIKA'!G29+'GRADBENA FIZIKA'!G51+'GRADBENA FIZIKA'!G73+'GRADBENA FIZIKA'!G95+'GRADBENA FIZIKA'!G117),""),"")</f>
        <v>0</v>
      </c>
      <c r="E370" s="946" t="b">
        <v>1</v>
      </c>
      <c r="F370" s="951"/>
      <c r="G370" s="658">
        <f t="shared" si="3"/>
        <v>0</v>
      </c>
      <c r="H370" s="659">
        <f>G370*'ARHIGRAM 6'!$I$16</f>
        <v>0</v>
      </c>
      <c r="I370" s="659">
        <f>'GRADBENA FIZIKA'!H213</f>
        <v>0</v>
      </c>
    </row>
    <row r="371" spans="1:23" s="14" customFormat="1" ht="15.75">
      <c r="A371" s="942" t="b">
        <v>1</v>
      </c>
      <c r="B371" s="664" t="s">
        <v>353</v>
      </c>
      <c r="C371" s="665">
        <f>IFERROR(IF(A371=TRUE,IF(E308&gt;50000,"NI DOLOČENO",('GRADBENA FIZIKA'!K28+'GRADBENA FIZIKA'!K50+'GRADBENA FIZIKA'!K72+'GRADBENA FIZIKA'!K94+'GRADBENA FIZIKA'!K116)),""),"")</f>
        <v>0</v>
      </c>
      <c r="D371" s="665">
        <f>IFERROR(IF(A371=TRUE,IF(E308&gt;50000,"NI DOLOČENO",('GRADBENA FIZIKA'!K29+'GRADBENA FIZIKA'!K51+'GRADBENA FIZIKA'!K73+'GRADBENA FIZIKA'!K95+'GRADBENA FIZIKA'!K117)),""),"")</f>
        <v>0</v>
      </c>
      <c r="E371" s="947" t="b">
        <v>1</v>
      </c>
      <c r="F371" s="952"/>
      <c r="G371" s="666">
        <f t="shared" si="3"/>
        <v>0</v>
      </c>
      <c r="H371" s="659">
        <f>G371*'ARHIGRAM 6'!$I$16</f>
        <v>0</v>
      </c>
      <c r="I371" s="667">
        <f>'GRADBENA FIZIKA'!H259</f>
        <v>0</v>
      </c>
    </row>
    <row r="372" spans="1:23" s="14" customFormat="1" ht="15.75">
      <c r="A372" s="17"/>
      <c r="B372" s="18"/>
      <c r="C372" s="18"/>
      <c r="D372" s="19"/>
      <c r="E372" s="19"/>
      <c r="F372" s="19"/>
      <c r="G372" s="19"/>
      <c r="H372" s="286">
        <f>SUM(H360:H371)</f>
        <v>0</v>
      </c>
      <c r="I372" s="286">
        <f>SUM(I360:I371)</f>
        <v>0</v>
      </c>
      <c r="J372" s="20"/>
      <c r="K372" s="20"/>
    </row>
    <row r="373" spans="1:23" s="14" customFormat="1" ht="18.75">
      <c r="A373" s="1" t="s">
        <v>765</v>
      </c>
      <c r="B373" s="58"/>
      <c r="C373" s="58"/>
      <c r="D373" s="58"/>
      <c r="E373" s="328"/>
      <c r="F373" s="58"/>
      <c r="L373" s="287"/>
      <c r="M373" s="287"/>
    </row>
    <row r="374" spans="1:23" s="14" customFormat="1" ht="15.75" customHeight="1">
      <c r="B374" s="30" t="s">
        <v>899</v>
      </c>
      <c r="C374" s="30"/>
      <c r="D374" s="220"/>
      <c r="E374" s="220"/>
      <c r="F374" s="220"/>
    </row>
    <row r="375" spans="1:23" ht="15.75">
      <c r="A375" s="14"/>
      <c r="B375" s="370"/>
      <c r="C375" s="370"/>
      <c r="D375" s="371"/>
      <c r="E375" s="372"/>
      <c r="F375" s="370"/>
      <c r="G375" s="370" t="s">
        <v>623</v>
      </c>
      <c r="H375" s="370"/>
      <c r="I375" s="370"/>
      <c r="J375" s="370"/>
      <c r="K375" s="370"/>
      <c r="L375" s="370"/>
    </row>
    <row r="376" spans="1:23" s="30" customFormat="1" ht="39" customHeight="1">
      <c r="A376" s="14"/>
      <c r="B376" s="373" t="s">
        <v>383</v>
      </c>
      <c r="C376" s="373"/>
      <c r="D376" s="374"/>
      <c r="E376" s="375" t="s">
        <v>377</v>
      </c>
      <c r="F376" s="953">
        <v>0</v>
      </c>
      <c r="G376" s="1312" t="s">
        <v>1069</v>
      </c>
      <c r="H376" s="1312"/>
      <c r="I376" s="1312"/>
      <c r="J376" s="1312"/>
      <c r="K376" s="1312"/>
      <c r="L376" s="1312"/>
      <c r="W376" s="33"/>
    </row>
    <row r="377" spans="1:23" ht="15.75">
      <c r="A377" s="14"/>
      <c r="B377" s="637" t="s">
        <v>919</v>
      </c>
      <c r="C377" s="637"/>
      <c r="D377" s="378"/>
      <c r="E377" s="789" t="s">
        <v>378</v>
      </c>
      <c r="F377" s="954"/>
      <c r="G377" s="790" t="s">
        <v>1070</v>
      </c>
      <c r="H377" s="743"/>
      <c r="I377" s="743"/>
      <c r="J377" s="743"/>
      <c r="K377" s="743"/>
      <c r="L377" s="743"/>
    </row>
    <row r="378" spans="1:23" s="30" customFormat="1" ht="30.75" customHeight="1">
      <c r="A378" s="14"/>
      <c r="B378" s="376" t="s">
        <v>621</v>
      </c>
      <c r="C378" s="376"/>
      <c r="D378" s="377"/>
      <c r="E378" s="788" t="s">
        <v>622</v>
      </c>
      <c r="F378" s="955">
        <v>1</v>
      </c>
      <c r="G378" s="1314" t="s">
        <v>812</v>
      </c>
      <c r="H378" s="1315"/>
      <c r="I378" s="1315"/>
      <c r="J378" s="1315"/>
      <c r="K378" s="1315"/>
      <c r="L378" s="1315"/>
      <c r="W378" s="33"/>
    </row>
    <row r="379" spans="1:23" ht="15.75">
      <c r="A379" s="14"/>
      <c r="B379" s="388"/>
      <c r="C379" s="388"/>
      <c r="D379" s="389"/>
      <c r="E379" s="390"/>
      <c r="F379" s="700"/>
      <c r="G379" s="391"/>
      <c r="H379" s="391"/>
      <c r="I379" s="391"/>
      <c r="J379" s="391"/>
      <c r="K379" s="391"/>
      <c r="L379" s="391"/>
    </row>
    <row r="380" spans="1:23" ht="25.5">
      <c r="A380" s="14"/>
      <c r="B380" s="386" t="s">
        <v>380</v>
      </c>
      <c r="C380" s="386"/>
      <c r="D380" s="387"/>
      <c r="E380" s="387"/>
      <c r="F380" s="1239" t="b">
        <v>1</v>
      </c>
      <c r="G380" s="825" t="s">
        <v>1071</v>
      </c>
      <c r="H380" s="385"/>
      <c r="I380" s="385"/>
      <c r="J380" s="385"/>
      <c r="K380" s="385"/>
      <c r="L380" s="385"/>
    </row>
    <row r="381" spans="1:23" s="30" customFormat="1" ht="15.75">
      <c r="A381" s="14"/>
      <c r="B381" s="369" t="s">
        <v>381</v>
      </c>
      <c r="C381" s="369"/>
      <c r="D381" s="368"/>
      <c r="E381" s="368"/>
      <c r="F381" s="1240" t="b">
        <v>1</v>
      </c>
      <c r="G381" s="369" t="s">
        <v>1072</v>
      </c>
      <c r="H381" s="281"/>
      <c r="W381" s="33"/>
    </row>
    <row r="382" spans="1:23" s="30" customFormat="1" ht="25.5">
      <c r="A382" s="14"/>
      <c r="B382" s="1236" t="s">
        <v>382</v>
      </c>
      <c r="C382" s="1236"/>
      <c r="D382" s="1237"/>
      <c r="E382" s="1237"/>
      <c r="F382" s="1241" t="b">
        <v>1</v>
      </c>
      <c r="G382" s="369" t="s">
        <v>1072</v>
      </c>
      <c r="H382" s="1238"/>
      <c r="I382" s="1238"/>
      <c r="J382" s="1238"/>
      <c r="K382" s="1238"/>
      <c r="L382" s="1238"/>
      <c r="W382" s="33"/>
    </row>
    <row r="383" spans="1:23" ht="15.75">
      <c r="A383" s="14"/>
      <c r="B383" s="35"/>
      <c r="C383" s="35"/>
      <c r="D383" s="37"/>
      <c r="E383" s="340"/>
      <c r="F383" s="23"/>
    </row>
    <row r="384" spans="1:23" ht="15.75">
      <c r="A384" s="216"/>
      <c r="B384" s="35"/>
      <c r="C384" s="35"/>
      <c r="D384" s="37"/>
      <c r="E384" s="340"/>
      <c r="F384" s="23"/>
    </row>
    <row r="385" spans="1:12">
      <c r="A385" s="30"/>
      <c r="B385" s="30"/>
      <c r="C385" s="30"/>
      <c r="D385" s="47"/>
      <c r="E385" s="332"/>
    </row>
    <row r="386" spans="1:12" ht="15.75">
      <c r="A386" s="27"/>
      <c r="B386" s="213" t="s">
        <v>1062</v>
      </c>
      <c r="C386" s="213"/>
      <c r="D386" s="214"/>
      <c r="E386" s="341"/>
      <c r="F386" s="215"/>
      <c r="G386" s="215"/>
      <c r="H386" s="215"/>
      <c r="I386" s="215"/>
      <c r="J386" s="215"/>
      <c r="K386" s="215"/>
      <c r="L386" s="215"/>
    </row>
    <row r="388" spans="1:12" s="8" customFormat="1" ht="14.25">
      <c r="A388" s="842" t="s">
        <v>980</v>
      </c>
      <c r="B388" s="840"/>
      <c r="C388" s="841"/>
      <c r="D388" s="840"/>
      <c r="E388" s="840"/>
      <c r="F388" s="840"/>
      <c r="G388" s="840"/>
      <c r="H388" s="837"/>
    </row>
    <row r="389" spans="1:12" s="8" customFormat="1" ht="29.25" customHeight="1">
      <c r="A389" s="1313" t="s">
        <v>1067</v>
      </c>
      <c r="B389" s="1313"/>
      <c r="C389" s="1313"/>
      <c r="D389" s="1313"/>
      <c r="E389" s="1313"/>
      <c r="F389" s="1313"/>
      <c r="G389" s="1313"/>
      <c r="H389" s="1313"/>
      <c r="I389" s="1313"/>
    </row>
    <row r="390" spans="1:12" s="8" customFormat="1" ht="39" customHeight="1">
      <c r="A390" s="1313" t="s">
        <v>1066</v>
      </c>
      <c r="B390" s="1313"/>
      <c r="C390" s="1313"/>
      <c r="D390" s="1313"/>
      <c r="E390" s="1313"/>
      <c r="F390" s="1313"/>
      <c r="G390" s="1313"/>
      <c r="H390" s="1313"/>
      <c r="I390" s="1313"/>
    </row>
    <row r="391" spans="1:12" s="8" customFormat="1" ht="39" customHeight="1">
      <c r="A391" s="1313" t="s">
        <v>1068</v>
      </c>
      <c r="B391" s="1313"/>
      <c r="C391" s="1313"/>
      <c r="D391" s="1313"/>
      <c r="E391" s="1313"/>
      <c r="F391" s="1313"/>
      <c r="G391" s="1313"/>
      <c r="H391" s="1313"/>
      <c r="I391" s="1313"/>
    </row>
  </sheetData>
  <dataConsolidate/>
  <mergeCells count="27">
    <mergeCell ref="G376:L376"/>
    <mergeCell ref="A389:I389"/>
    <mergeCell ref="A390:I390"/>
    <mergeCell ref="A391:I391"/>
    <mergeCell ref="E164:F164"/>
    <mergeCell ref="E176:F176"/>
    <mergeCell ref="G378:L378"/>
    <mergeCell ref="B354:F354"/>
    <mergeCell ref="B355:F355"/>
    <mergeCell ref="E200:F200"/>
    <mergeCell ref="E199:F199"/>
    <mergeCell ref="E15:F15"/>
    <mergeCell ref="E42:F42"/>
    <mergeCell ref="E41:F41"/>
    <mergeCell ref="E67:F67"/>
    <mergeCell ref="E68:F68"/>
    <mergeCell ref="E16:F16"/>
    <mergeCell ref="E93:F93"/>
    <mergeCell ref="E94:F94"/>
    <mergeCell ref="E120:F120"/>
    <mergeCell ref="E119:F119"/>
    <mergeCell ref="E151:F151"/>
    <mergeCell ref="E152:F152"/>
    <mergeCell ref="E163:F163"/>
    <mergeCell ref="E175:F175"/>
    <mergeCell ref="E187:F187"/>
    <mergeCell ref="E188:F188"/>
  </mergeCells>
  <phoneticPr fontId="66" type="noConversion"/>
  <pageMargins left="0.7" right="0.7" top="0.75" bottom="0.75" header="0.3" footer="0.3"/>
  <pageSetup paperSize="8" scale="7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57" r:id="rId4" name="Check Box 13">
              <controlPr defaultSize="0" autoFill="0" autoLine="0" autoPict="0">
                <anchor moveWithCells="1">
                  <from>
                    <xdr:col>5</xdr:col>
                    <xdr:colOff>38100</xdr:colOff>
                    <xdr:row>381</xdr:row>
                    <xdr:rowOff>47625</xdr:rowOff>
                  </from>
                  <to>
                    <xdr:col>5</xdr:col>
                    <xdr:colOff>342900</xdr:colOff>
                    <xdr:row>382</xdr:row>
                    <xdr:rowOff>0</xdr:rowOff>
                  </to>
                </anchor>
              </controlPr>
            </control>
          </mc:Choice>
        </mc:AlternateContent>
        <mc:AlternateContent xmlns:mc="http://schemas.openxmlformats.org/markup-compatibility/2006">
          <mc:Choice Requires="x14">
            <control shapeId="31761" r:id="rId5" name="Check Box 17">
              <controlPr defaultSize="0" autoFill="0" autoLine="0" autoPict="0">
                <anchor moveWithCells="1">
                  <from>
                    <xdr:col>5</xdr:col>
                    <xdr:colOff>38100</xdr:colOff>
                    <xdr:row>379</xdr:row>
                    <xdr:rowOff>304800</xdr:rowOff>
                  </from>
                  <to>
                    <xdr:col>5</xdr:col>
                    <xdr:colOff>342900</xdr:colOff>
                    <xdr:row>381</xdr:row>
                    <xdr:rowOff>0</xdr:rowOff>
                  </to>
                </anchor>
              </controlPr>
            </control>
          </mc:Choice>
        </mc:AlternateContent>
        <mc:AlternateContent xmlns:mc="http://schemas.openxmlformats.org/markup-compatibility/2006">
          <mc:Choice Requires="x14">
            <control shapeId="31762" r:id="rId6" name="Check Box 18">
              <controlPr defaultSize="0" autoFill="0" autoLine="0" autoPict="0">
                <anchor moveWithCells="1">
                  <from>
                    <xdr:col>5</xdr:col>
                    <xdr:colOff>38100</xdr:colOff>
                    <xdr:row>379</xdr:row>
                    <xdr:rowOff>9525</xdr:rowOff>
                  </from>
                  <to>
                    <xdr:col>5</xdr:col>
                    <xdr:colOff>342900</xdr:colOff>
                    <xdr:row>380</xdr:row>
                    <xdr:rowOff>0</xdr:rowOff>
                  </to>
                </anchor>
              </controlPr>
            </control>
          </mc:Choice>
        </mc:AlternateContent>
        <mc:AlternateContent xmlns:mc="http://schemas.openxmlformats.org/markup-compatibility/2006">
          <mc:Choice Requires="x14">
            <control shapeId="31788" r:id="rId7" name="Check Box 44">
              <controlPr defaultSize="0" autoFill="0" autoLine="0" autoPict="0">
                <anchor moveWithCells="1">
                  <from>
                    <xdr:col>4</xdr:col>
                    <xdr:colOff>76200</xdr:colOff>
                    <xdr:row>359</xdr:row>
                    <xdr:rowOff>19050</xdr:rowOff>
                  </from>
                  <to>
                    <xdr:col>4</xdr:col>
                    <xdr:colOff>323850</xdr:colOff>
                    <xdr:row>359</xdr:row>
                    <xdr:rowOff>180975</xdr:rowOff>
                  </to>
                </anchor>
              </controlPr>
            </control>
          </mc:Choice>
        </mc:AlternateContent>
        <mc:AlternateContent xmlns:mc="http://schemas.openxmlformats.org/markup-compatibility/2006">
          <mc:Choice Requires="x14">
            <control shapeId="31789" r:id="rId8" name="Check Box 45">
              <controlPr defaultSize="0" autoFill="0" autoLine="0" autoPict="0">
                <anchor moveWithCells="1">
                  <from>
                    <xdr:col>4</xdr:col>
                    <xdr:colOff>76200</xdr:colOff>
                    <xdr:row>360</xdr:row>
                    <xdr:rowOff>19050</xdr:rowOff>
                  </from>
                  <to>
                    <xdr:col>4</xdr:col>
                    <xdr:colOff>323850</xdr:colOff>
                    <xdr:row>360</xdr:row>
                    <xdr:rowOff>180975</xdr:rowOff>
                  </to>
                </anchor>
              </controlPr>
            </control>
          </mc:Choice>
        </mc:AlternateContent>
        <mc:AlternateContent xmlns:mc="http://schemas.openxmlformats.org/markup-compatibility/2006">
          <mc:Choice Requires="x14">
            <control shapeId="31790" r:id="rId9" name="Check Box 46">
              <controlPr defaultSize="0" autoFill="0" autoLine="0" autoPict="0">
                <anchor moveWithCells="1">
                  <from>
                    <xdr:col>4</xdr:col>
                    <xdr:colOff>76200</xdr:colOff>
                    <xdr:row>361</xdr:row>
                    <xdr:rowOff>19050</xdr:rowOff>
                  </from>
                  <to>
                    <xdr:col>4</xdr:col>
                    <xdr:colOff>323850</xdr:colOff>
                    <xdr:row>361</xdr:row>
                    <xdr:rowOff>180975</xdr:rowOff>
                  </to>
                </anchor>
              </controlPr>
            </control>
          </mc:Choice>
        </mc:AlternateContent>
        <mc:AlternateContent xmlns:mc="http://schemas.openxmlformats.org/markup-compatibility/2006">
          <mc:Choice Requires="x14">
            <control shapeId="31791" r:id="rId10" name="Check Box 47">
              <controlPr defaultSize="0" autoFill="0" autoLine="0" autoPict="0">
                <anchor moveWithCells="1">
                  <from>
                    <xdr:col>4</xdr:col>
                    <xdr:colOff>76200</xdr:colOff>
                    <xdr:row>363</xdr:row>
                    <xdr:rowOff>19050</xdr:rowOff>
                  </from>
                  <to>
                    <xdr:col>4</xdr:col>
                    <xdr:colOff>323850</xdr:colOff>
                    <xdr:row>363</xdr:row>
                    <xdr:rowOff>180975</xdr:rowOff>
                  </to>
                </anchor>
              </controlPr>
            </control>
          </mc:Choice>
        </mc:AlternateContent>
        <mc:AlternateContent xmlns:mc="http://schemas.openxmlformats.org/markup-compatibility/2006">
          <mc:Choice Requires="x14">
            <control shapeId="31792" r:id="rId11" name="Check Box 48">
              <controlPr defaultSize="0" autoFill="0" autoLine="0" autoPict="0">
                <anchor moveWithCells="1">
                  <from>
                    <xdr:col>4</xdr:col>
                    <xdr:colOff>76200</xdr:colOff>
                    <xdr:row>364</xdr:row>
                    <xdr:rowOff>19050</xdr:rowOff>
                  </from>
                  <to>
                    <xdr:col>4</xdr:col>
                    <xdr:colOff>323850</xdr:colOff>
                    <xdr:row>364</xdr:row>
                    <xdr:rowOff>180975</xdr:rowOff>
                  </to>
                </anchor>
              </controlPr>
            </control>
          </mc:Choice>
        </mc:AlternateContent>
        <mc:AlternateContent xmlns:mc="http://schemas.openxmlformats.org/markup-compatibility/2006">
          <mc:Choice Requires="x14">
            <control shapeId="31793" r:id="rId12" name="Check Box 49">
              <controlPr defaultSize="0" autoFill="0" autoLine="0" autoPict="0">
                <anchor moveWithCells="1">
                  <from>
                    <xdr:col>4</xdr:col>
                    <xdr:colOff>76200</xdr:colOff>
                    <xdr:row>365</xdr:row>
                    <xdr:rowOff>19050</xdr:rowOff>
                  </from>
                  <to>
                    <xdr:col>4</xdr:col>
                    <xdr:colOff>323850</xdr:colOff>
                    <xdr:row>365</xdr:row>
                    <xdr:rowOff>180975</xdr:rowOff>
                  </to>
                </anchor>
              </controlPr>
            </control>
          </mc:Choice>
        </mc:AlternateContent>
        <mc:AlternateContent xmlns:mc="http://schemas.openxmlformats.org/markup-compatibility/2006">
          <mc:Choice Requires="x14">
            <control shapeId="31794" r:id="rId13" name="Check Box 50">
              <controlPr defaultSize="0" autoFill="0" autoLine="0" autoPict="0">
                <anchor moveWithCells="1">
                  <from>
                    <xdr:col>4</xdr:col>
                    <xdr:colOff>76200</xdr:colOff>
                    <xdr:row>366</xdr:row>
                    <xdr:rowOff>19050</xdr:rowOff>
                  </from>
                  <to>
                    <xdr:col>4</xdr:col>
                    <xdr:colOff>323850</xdr:colOff>
                    <xdr:row>366</xdr:row>
                    <xdr:rowOff>180975</xdr:rowOff>
                  </to>
                </anchor>
              </controlPr>
            </control>
          </mc:Choice>
        </mc:AlternateContent>
        <mc:AlternateContent xmlns:mc="http://schemas.openxmlformats.org/markup-compatibility/2006">
          <mc:Choice Requires="x14">
            <control shapeId="31795" r:id="rId14" name="Check Box 51">
              <controlPr defaultSize="0" autoFill="0" autoLine="0" autoPict="0">
                <anchor moveWithCells="1">
                  <from>
                    <xdr:col>4</xdr:col>
                    <xdr:colOff>76200</xdr:colOff>
                    <xdr:row>367</xdr:row>
                    <xdr:rowOff>19050</xdr:rowOff>
                  </from>
                  <to>
                    <xdr:col>4</xdr:col>
                    <xdr:colOff>323850</xdr:colOff>
                    <xdr:row>367</xdr:row>
                    <xdr:rowOff>180975</xdr:rowOff>
                  </to>
                </anchor>
              </controlPr>
            </control>
          </mc:Choice>
        </mc:AlternateContent>
        <mc:AlternateContent xmlns:mc="http://schemas.openxmlformats.org/markup-compatibility/2006">
          <mc:Choice Requires="x14">
            <control shapeId="31798" r:id="rId15" name="Check Box 54">
              <controlPr defaultSize="0" autoFill="0" autoLine="0" autoPict="0">
                <anchor moveWithCells="1">
                  <from>
                    <xdr:col>4</xdr:col>
                    <xdr:colOff>76200</xdr:colOff>
                    <xdr:row>368</xdr:row>
                    <xdr:rowOff>19050</xdr:rowOff>
                  </from>
                  <to>
                    <xdr:col>4</xdr:col>
                    <xdr:colOff>323850</xdr:colOff>
                    <xdr:row>368</xdr:row>
                    <xdr:rowOff>180975</xdr:rowOff>
                  </to>
                </anchor>
              </controlPr>
            </control>
          </mc:Choice>
        </mc:AlternateContent>
        <mc:AlternateContent xmlns:mc="http://schemas.openxmlformats.org/markup-compatibility/2006">
          <mc:Choice Requires="x14">
            <control shapeId="31799" r:id="rId16" name="Check Box 55">
              <controlPr defaultSize="0" autoFill="0" autoLine="0" autoPict="0">
                <anchor moveWithCells="1">
                  <from>
                    <xdr:col>4</xdr:col>
                    <xdr:colOff>76200</xdr:colOff>
                    <xdr:row>369</xdr:row>
                    <xdr:rowOff>19050</xdr:rowOff>
                  </from>
                  <to>
                    <xdr:col>4</xdr:col>
                    <xdr:colOff>323850</xdr:colOff>
                    <xdr:row>369</xdr:row>
                    <xdr:rowOff>180975</xdr:rowOff>
                  </to>
                </anchor>
              </controlPr>
            </control>
          </mc:Choice>
        </mc:AlternateContent>
        <mc:AlternateContent xmlns:mc="http://schemas.openxmlformats.org/markup-compatibility/2006">
          <mc:Choice Requires="x14">
            <control shapeId="31800" r:id="rId17" name="Check Box 56">
              <controlPr defaultSize="0" autoFill="0" autoLine="0" autoPict="0">
                <anchor moveWithCells="1">
                  <from>
                    <xdr:col>4</xdr:col>
                    <xdr:colOff>76200</xdr:colOff>
                    <xdr:row>370</xdr:row>
                    <xdr:rowOff>19050</xdr:rowOff>
                  </from>
                  <to>
                    <xdr:col>4</xdr:col>
                    <xdr:colOff>323850</xdr:colOff>
                    <xdr:row>370</xdr:row>
                    <xdr:rowOff>180975</xdr:rowOff>
                  </to>
                </anchor>
              </controlPr>
            </control>
          </mc:Choice>
        </mc:AlternateContent>
        <mc:AlternateContent xmlns:mc="http://schemas.openxmlformats.org/markup-compatibility/2006">
          <mc:Choice Requires="x14">
            <control shapeId="31816" r:id="rId18" name="Group Box 72">
              <controlPr defaultSize="0" autoFill="0" autoPict="0">
                <anchor moveWithCells="1">
                  <from>
                    <xdr:col>4</xdr:col>
                    <xdr:colOff>866775</xdr:colOff>
                    <xdr:row>9</xdr:row>
                    <xdr:rowOff>76200</xdr:rowOff>
                  </from>
                  <to>
                    <xdr:col>4</xdr:col>
                    <xdr:colOff>2181225</xdr:colOff>
                    <xdr:row>11</xdr:row>
                    <xdr:rowOff>85725</xdr:rowOff>
                  </to>
                </anchor>
              </controlPr>
            </control>
          </mc:Choice>
        </mc:AlternateContent>
        <mc:AlternateContent xmlns:mc="http://schemas.openxmlformats.org/markup-compatibility/2006">
          <mc:Choice Requires="x14">
            <control shapeId="31828" r:id="rId19" name="Check Box 84">
              <controlPr defaultSize="0" autoFill="0" autoLine="0" autoPict="0">
                <anchor moveWithCells="1">
                  <from>
                    <xdr:col>0</xdr:col>
                    <xdr:colOff>76200</xdr:colOff>
                    <xdr:row>359</xdr:row>
                    <xdr:rowOff>19050</xdr:rowOff>
                  </from>
                  <to>
                    <xdr:col>0</xdr:col>
                    <xdr:colOff>323850</xdr:colOff>
                    <xdr:row>359</xdr:row>
                    <xdr:rowOff>180975</xdr:rowOff>
                  </to>
                </anchor>
              </controlPr>
            </control>
          </mc:Choice>
        </mc:AlternateContent>
        <mc:AlternateContent xmlns:mc="http://schemas.openxmlformats.org/markup-compatibility/2006">
          <mc:Choice Requires="x14">
            <control shapeId="31829" r:id="rId20" name="Check Box 85">
              <controlPr defaultSize="0" autoFill="0" autoLine="0" autoPict="0">
                <anchor moveWithCells="1">
                  <from>
                    <xdr:col>0</xdr:col>
                    <xdr:colOff>76200</xdr:colOff>
                    <xdr:row>360</xdr:row>
                    <xdr:rowOff>19050</xdr:rowOff>
                  </from>
                  <to>
                    <xdr:col>0</xdr:col>
                    <xdr:colOff>323850</xdr:colOff>
                    <xdr:row>360</xdr:row>
                    <xdr:rowOff>180975</xdr:rowOff>
                  </to>
                </anchor>
              </controlPr>
            </control>
          </mc:Choice>
        </mc:AlternateContent>
        <mc:AlternateContent xmlns:mc="http://schemas.openxmlformats.org/markup-compatibility/2006">
          <mc:Choice Requires="x14">
            <control shapeId="31830" r:id="rId21" name="Check Box 86">
              <controlPr defaultSize="0" autoFill="0" autoLine="0" autoPict="0">
                <anchor moveWithCells="1">
                  <from>
                    <xdr:col>0</xdr:col>
                    <xdr:colOff>76200</xdr:colOff>
                    <xdr:row>361</xdr:row>
                    <xdr:rowOff>19050</xdr:rowOff>
                  </from>
                  <to>
                    <xdr:col>0</xdr:col>
                    <xdr:colOff>323850</xdr:colOff>
                    <xdr:row>361</xdr:row>
                    <xdr:rowOff>180975</xdr:rowOff>
                  </to>
                </anchor>
              </controlPr>
            </control>
          </mc:Choice>
        </mc:AlternateContent>
        <mc:AlternateContent xmlns:mc="http://schemas.openxmlformats.org/markup-compatibility/2006">
          <mc:Choice Requires="x14">
            <control shapeId="31833" r:id="rId22" name="Check Box 89">
              <controlPr defaultSize="0" autoFill="0" autoLine="0" autoPict="0">
                <anchor moveWithCells="1">
                  <from>
                    <xdr:col>0</xdr:col>
                    <xdr:colOff>76200</xdr:colOff>
                    <xdr:row>363</xdr:row>
                    <xdr:rowOff>19050</xdr:rowOff>
                  </from>
                  <to>
                    <xdr:col>0</xdr:col>
                    <xdr:colOff>323850</xdr:colOff>
                    <xdr:row>363</xdr:row>
                    <xdr:rowOff>180975</xdr:rowOff>
                  </to>
                </anchor>
              </controlPr>
            </control>
          </mc:Choice>
        </mc:AlternateContent>
        <mc:AlternateContent xmlns:mc="http://schemas.openxmlformats.org/markup-compatibility/2006">
          <mc:Choice Requires="x14">
            <control shapeId="31834" r:id="rId23" name="Check Box 90">
              <controlPr defaultSize="0" autoFill="0" autoLine="0" autoPict="0">
                <anchor moveWithCells="1">
                  <from>
                    <xdr:col>0</xdr:col>
                    <xdr:colOff>76200</xdr:colOff>
                    <xdr:row>364</xdr:row>
                    <xdr:rowOff>19050</xdr:rowOff>
                  </from>
                  <to>
                    <xdr:col>0</xdr:col>
                    <xdr:colOff>323850</xdr:colOff>
                    <xdr:row>364</xdr:row>
                    <xdr:rowOff>180975</xdr:rowOff>
                  </to>
                </anchor>
              </controlPr>
            </control>
          </mc:Choice>
        </mc:AlternateContent>
        <mc:AlternateContent xmlns:mc="http://schemas.openxmlformats.org/markup-compatibility/2006">
          <mc:Choice Requires="x14">
            <control shapeId="31835" r:id="rId24" name="Check Box 91">
              <controlPr defaultSize="0" autoFill="0" autoLine="0" autoPict="0">
                <anchor moveWithCells="1">
                  <from>
                    <xdr:col>0</xdr:col>
                    <xdr:colOff>76200</xdr:colOff>
                    <xdr:row>365</xdr:row>
                    <xdr:rowOff>19050</xdr:rowOff>
                  </from>
                  <to>
                    <xdr:col>0</xdr:col>
                    <xdr:colOff>323850</xdr:colOff>
                    <xdr:row>365</xdr:row>
                    <xdr:rowOff>180975</xdr:rowOff>
                  </to>
                </anchor>
              </controlPr>
            </control>
          </mc:Choice>
        </mc:AlternateContent>
        <mc:AlternateContent xmlns:mc="http://schemas.openxmlformats.org/markup-compatibility/2006">
          <mc:Choice Requires="x14">
            <control shapeId="31836" r:id="rId25" name="Check Box 92">
              <controlPr defaultSize="0" autoFill="0" autoLine="0" autoPict="0">
                <anchor moveWithCells="1">
                  <from>
                    <xdr:col>0</xdr:col>
                    <xdr:colOff>76200</xdr:colOff>
                    <xdr:row>366</xdr:row>
                    <xdr:rowOff>19050</xdr:rowOff>
                  </from>
                  <to>
                    <xdr:col>0</xdr:col>
                    <xdr:colOff>323850</xdr:colOff>
                    <xdr:row>366</xdr:row>
                    <xdr:rowOff>180975</xdr:rowOff>
                  </to>
                </anchor>
              </controlPr>
            </control>
          </mc:Choice>
        </mc:AlternateContent>
        <mc:AlternateContent xmlns:mc="http://schemas.openxmlformats.org/markup-compatibility/2006">
          <mc:Choice Requires="x14">
            <control shapeId="31837" r:id="rId26" name="Check Box 93">
              <controlPr defaultSize="0" autoFill="0" autoLine="0" autoPict="0">
                <anchor moveWithCells="1">
                  <from>
                    <xdr:col>0</xdr:col>
                    <xdr:colOff>76200</xdr:colOff>
                    <xdr:row>367</xdr:row>
                    <xdr:rowOff>19050</xdr:rowOff>
                  </from>
                  <to>
                    <xdr:col>0</xdr:col>
                    <xdr:colOff>323850</xdr:colOff>
                    <xdr:row>367</xdr:row>
                    <xdr:rowOff>180975</xdr:rowOff>
                  </to>
                </anchor>
              </controlPr>
            </control>
          </mc:Choice>
        </mc:AlternateContent>
        <mc:AlternateContent xmlns:mc="http://schemas.openxmlformats.org/markup-compatibility/2006">
          <mc:Choice Requires="x14">
            <control shapeId="31838" r:id="rId27" name="Check Box 94">
              <controlPr defaultSize="0" autoFill="0" autoLine="0" autoPict="0">
                <anchor moveWithCells="1">
                  <from>
                    <xdr:col>0</xdr:col>
                    <xdr:colOff>76200</xdr:colOff>
                    <xdr:row>368</xdr:row>
                    <xdr:rowOff>19050</xdr:rowOff>
                  </from>
                  <to>
                    <xdr:col>0</xdr:col>
                    <xdr:colOff>323850</xdr:colOff>
                    <xdr:row>368</xdr:row>
                    <xdr:rowOff>180975</xdr:rowOff>
                  </to>
                </anchor>
              </controlPr>
            </control>
          </mc:Choice>
        </mc:AlternateContent>
        <mc:AlternateContent xmlns:mc="http://schemas.openxmlformats.org/markup-compatibility/2006">
          <mc:Choice Requires="x14">
            <control shapeId="31839" r:id="rId28" name="Check Box 95">
              <controlPr defaultSize="0" autoFill="0" autoLine="0" autoPict="0">
                <anchor moveWithCells="1">
                  <from>
                    <xdr:col>0</xdr:col>
                    <xdr:colOff>76200</xdr:colOff>
                    <xdr:row>369</xdr:row>
                    <xdr:rowOff>19050</xdr:rowOff>
                  </from>
                  <to>
                    <xdr:col>0</xdr:col>
                    <xdr:colOff>323850</xdr:colOff>
                    <xdr:row>369</xdr:row>
                    <xdr:rowOff>180975</xdr:rowOff>
                  </to>
                </anchor>
              </controlPr>
            </control>
          </mc:Choice>
        </mc:AlternateContent>
        <mc:AlternateContent xmlns:mc="http://schemas.openxmlformats.org/markup-compatibility/2006">
          <mc:Choice Requires="x14">
            <control shapeId="31840" r:id="rId29" name="Check Box 96">
              <controlPr defaultSize="0" autoFill="0" autoLine="0" autoPict="0">
                <anchor moveWithCells="1">
                  <from>
                    <xdr:col>0</xdr:col>
                    <xdr:colOff>76200</xdr:colOff>
                    <xdr:row>370</xdr:row>
                    <xdr:rowOff>19050</xdr:rowOff>
                  </from>
                  <to>
                    <xdr:col>0</xdr:col>
                    <xdr:colOff>323850</xdr:colOff>
                    <xdr:row>370</xdr:row>
                    <xdr:rowOff>180975</xdr:rowOff>
                  </to>
                </anchor>
              </controlPr>
            </control>
          </mc:Choice>
        </mc:AlternateContent>
        <mc:AlternateContent xmlns:mc="http://schemas.openxmlformats.org/markup-compatibility/2006">
          <mc:Choice Requires="x14">
            <control shapeId="31841" r:id="rId30" name="Check Box 97">
              <controlPr defaultSize="0" autoFill="0" autoLine="0" autoPict="0">
                <anchor moveWithCells="1">
                  <from>
                    <xdr:col>0</xdr:col>
                    <xdr:colOff>76200</xdr:colOff>
                    <xdr:row>357</xdr:row>
                    <xdr:rowOff>19050</xdr:rowOff>
                  </from>
                  <to>
                    <xdr:col>0</xdr:col>
                    <xdr:colOff>323850</xdr:colOff>
                    <xdr:row>357</xdr:row>
                    <xdr:rowOff>180975</xdr:rowOff>
                  </to>
                </anchor>
              </controlPr>
            </control>
          </mc:Choice>
        </mc:AlternateContent>
        <mc:AlternateContent xmlns:mc="http://schemas.openxmlformats.org/markup-compatibility/2006">
          <mc:Choice Requires="x14">
            <control shapeId="31871" r:id="rId31" name="Option Button 127">
              <controlPr defaultSize="0" autoFill="0" autoLine="0" autoPict="0">
                <anchor moveWithCells="1">
                  <from>
                    <xdr:col>5</xdr:col>
                    <xdr:colOff>104775</xdr:colOff>
                    <xdr:row>212</xdr:row>
                    <xdr:rowOff>104775</xdr:rowOff>
                  </from>
                  <to>
                    <xdr:col>5</xdr:col>
                    <xdr:colOff>409575</xdr:colOff>
                    <xdr:row>212</xdr:row>
                    <xdr:rowOff>266700</xdr:rowOff>
                  </to>
                </anchor>
              </controlPr>
            </control>
          </mc:Choice>
        </mc:AlternateContent>
        <mc:AlternateContent xmlns:mc="http://schemas.openxmlformats.org/markup-compatibility/2006">
          <mc:Choice Requires="x14">
            <control shapeId="31872" r:id="rId32" name="Option Button 128">
              <controlPr defaultSize="0" autoFill="0" autoLine="0" autoPict="0">
                <anchor moveWithCells="1">
                  <from>
                    <xdr:col>5</xdr:col>
                    <xdr:colOff>114300</xdr:colOff>
                    <xdr:row>213</xdr:row>
                    <xdr:rowOff>95250</xdr:rowOff>
                  </from>
                  <to>
                    <xdr:col>5</xdr:col>
                    <xdr:colOff>466725</xdr:colOff>
                    <xdr:row>213</xdr:row>
                    <xdr:rowOff>295275</xdr:rowOff>
                  </to>
                </anchor>
              </controlPr>
            </control>
          </mc:Choice>
        </mc:AlternateContent>
        <mc:AlternateContent xmlns:mc="http://schemas.openxmlformats.org/markup-compatibility/2006">
          <mc:Choice Requires="x14">
            <control shapeId="31874" r:id="rId33" name="Group Box 130">
              <controlPr defaultSize="0" autoFill="0" autoPict="0">
                <anchor moveWithCells="1">
                  <from>
                    <xdr:col>4</xdr:col>
                    <xdr:colOff>895350</xdr:colOff>
                    <xdr:row>146</xdr:row>
                    <xdr:rowOff>38100</xdr:rowOff>
                  </from>
                  <to>
                    <xdr:col>4</xdr:col>
                    <xdr:colOff>2219325</xdr:colOff>
                    <xdr:row>147</xdr:row>
                    <xdr:rowOff>247650</xdr:rowOff>
                  </to>
                </anchor>
              </controlPr>
            </control>
          </mc:Choice>
        </mc:AlternateContent>
        <mc:AlternateContent xmlns:mc="http://schemas.openxmlformats.org/markup-compatibility/2006">
          <mc:Choice Requires="x14">
            <control shapeId="31875" r:id="rId34" name="Group Box 131">
              <controlPr defaultSize="0" autoFill="0" autoPict="0">
                <anchor moveWithCells="1">
                  <from>
                    <xdr:col>4</xdr:col>
                    <xdr:colOff>1000125</xdr:colOff>
                    <xdr:row>212</xdr:row>
                    <xdr:rowOff>28575</xdr:rowOff>
                  </from>
                  <to>
                    <xdr:col>4</xdr:col>
                    <xdr:colOff>2257425</xdr:colOff>
                    <xdr:row>214</xdr:row>
                    <xdr:rowOff>85725</xdr:rowOff>
                  </to>
                </anchor>
              </controlPr>
            </control>
          </mc:Choice>
        </mc:AlternateContent>
        <mc:AlternateContent xmlns:mc="http://schemas.openxmlformats.org/markup-compatibility/2006">
          <mc:Choice Requires="x14">
            <control shapeId="31879" r:id="rId35" name="Group Box 135">
              <controlPr defaultSize="0" autoFill="0" autoPict="0">
                <anchor moveWithCells="1">
                  <from>
                    <xdr:col>5</xdr:col>
                    <xdr:colOff>0</xdr:colOff>
                    <xdr:row>211</xdr:row>
                    <xdr:rowOff>190500</xdr:rowOff>
                  </from>
                  <to>
                    <xdr:col>6</xdr:col>
                    <xdr:colOff>9525</xdr:colOff>
                    <xdr:row>214</xdr:row>
                    <xdr:rowOff>0</xdr:rowOff>
                  </to>
                </anchor>
              </controlPr>
            </control>
          </mc:Choice>
        </mc:AlternateContent>
        <mc:AlternateContent xmlns:mc="http://schemas.openxmlformats.org/markup-compatibility/2006">
          <mc:Choice Requires="x14">
            <control shapeId="31887" r:id="rId36" name="Option Button 143">
              <controlPr defaultSize="0" autoFill="0" autoLine="0" autoPict="0">
                <anchor moveWithCells="1">
                  <from>
                    <xdr:col>5</xdr:col>
                    <xdr:colOff>57150</xdr:colOff>
                    <xdr:row>10</xdr:row>
                    <xdr:rowOff>95250</xdr:rowOff>
                  </from>
                  <to>
                    <xdr:col>5</xdr:col>
                    <xdr:colOff>523875</xdr:colOff>
                    <xdr:row>10</xdr:row>
                    <xdr:rowOff>314325</xdr:rowOff>
                  </to>
                </anchor>
              </controlPr>
            </control>
          </mc:Choice>
        </mc:AlternateContent>
        <mc:AlternateContent xmlns:mc="http://schemas.openxmlformats.org/markup-compatibility/2006">
          <mc:Choice Requires="x14">
            <control shapeId="31888" r:id="rId37" name="Option Button 144">
              <controlPr defaultSize="0" autoFill="0" autoLine="0" autoPict="0">
                <anchor moveWithCells="1">
                  <from>
                    <xdr:col>5</xdr:col>
                    <xdr:colOff>47625</xdr:colOff>
                    <xdr:row>11</xdr:row>
                    <xdr:rowOff>104775</xdr:rowOff>
                  </from>
                  <to>
                    <xdr:col>5</xdr:col>
                    <xdr:colOff>504825</xdr:colOff>
                    <xdr:row>11</xdr:row>
                    <xdr:rowOff>295275</xdr:rowOff>
                  </to>
                </anchor>
              </controlPr>
            </control>
          </mc:Choice>
        </mc:AlternateContent>
        <mc:AlternateContent xmlns:mc="http://schemas.openxmlformats.org/markup-compatibility/2006">
          <mc:Choice Requires="x14">
            <control shapeId="31889" r:id="rId38" name="Option Button 145">
              <controlPr defaultSize="0" autoFill="0" autoLine="0" autoPict="0">
                <anchor moveWithCells="1">
                  <from>
                    <xdr:col>5</xdr:col>
                    <xdr:colOff>47625</xdr:colOff>
                    <xdr:row>146</xdr:row>
                    <xdr:rowOff>76200</xdr:rowOff>
                  </from>
                  <to>
                    <xdr:col>5</xdr:col>
                    <xdr:colOff>600075</xdr:colOff>
                    <xdr:row>146</xdr:row>
                    <xdr:rowOff>295275</xdr:rowOff>
                  </to>
                </anchor>
              </controlPr>
            </control>
          </mc:Choice>
        </mc:AlternateContent>
        <mc:AlternateContent xmlns:mc="http://schemas.openxmlformats.org/markup-compatibility/2006">
          <mc:Choice Requires="x14">
            <control shapeId="31890" r:id="rId39" name="Option Button 146">
              <controlPr defaultSize="0" autoFill="0" autoLine="0" autoPict="0">
                <anchor moveWithCells="1">
                  <from>
                    <xdr:col>5</xdr:col>
                    <xdr:colOff>28575</xdr:colOff>
                    <xdr:row>147</xdr:row>
                    <xdr:rowOff>85725</xdr:rowOff>
                  </from>
                  <to>
                    <xdr:col>5</xdr:col>
                    <xdr:colOff>590550</xdr:colOff>
                    <xdr:row>147</xdr:row>
                    <xdr:rowOff>304800</xdr:rowOff>
                  </to>
                </anchor>
              </controlPr>
            </control>
          </mc:Choice>
        </mc:AlternateContent>
        <mc:AlternateContent xmlns:mc="http://schemas.openxmlformats.org/markup-compatibility/2006">
          <mc:Choice Requires="x14">
            <control shapeId="31891" r:id="rId40" name="Group Box 147">
              <controlPr defaultSize="0" print="0" autoFill="0" autoPict="0">
                <anchor moveWithCells="1">
                  <from>
                    <xdr:col>4</xdr:col>
                    <xdr:colOff>2371725</xdr:colOff>
                    <xdr:row>10</xdr:row>
                    <xdr:rowOff>0</xdr:rowOff>
                  </from>
                  <to>
                    <xdr:col>6</xdr:col>
                    <xdr:colOff>0</xdr:colOff>
                    <xdr:row>12</xdr:row>
                    <xdr:rowOff>0</xdr:rowOff>
                  </to>
                </anchor>
              </controlPr>
            </control>
          </mc:Choice>
        </mc:AlternateContent>
        <mc:AlternateContent xmlns:mc="http://schemas.openxmlformats.org/markup-compatibility/2006">
          <mc:Choice Requires="x14">
            <control shapeId="31892" r:id="rId41" name="Group Box 148">
              <controlPr defaultSize="0" autoFill="0" autoPict="0">
                <anchor moveWithCells="1">
                  <from>
                    <xdr:col>4</xdr:col>
                    <xdr:colOff>2362200</xdr:colOff>
                    <xdr:row>146</xdr:row>
                    <xdr:rowOff>0</xdr:rowOff>
                  </from>
                  <to>
                    <xdr:col>6</xdr:col>
                    <xdr:colOff>9525</xdr:colOff>
                    <xdr:row>148</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15EF01EB-C237-4964-94F3-B5CCC6919BFA}">
          <x14:formula1>
            <xm:f>'CENOVNI RAZREDI'!$B$7:$B$93</xm:f>
          </x14:formula1>
          <xm:sqref>E68 E94 E16 E42 E120</xm:sqref>
        </x14:dataValidation>
        <x14:dataValidation type="list" allowBlank="1" showInputMessage="1" showErrorMessage="1" xr:uid="{037F4E00-D1C2-46E5-961E-54AFA38638B1}">
          <x14:formula1>
            <xm:f>'CENOVNI RAZREDI'!$I$96:$I$100</xm:f>
          </x14:formula1>
          <xm:sqref>E52 E78 E26 E178 E18:E19 E190 E273 E291 E96:E97 E44:E45 E122:E123 E255 E219 E237 E70:E71 E130 E154 E166 E104 E202</xm:sqref>
        </x14:dataValidation>
        <x14:dataValidation type="list" allowBlank="1" showInputMessage="1" showErrorMessage="1" xr:uid="{D5C7D1B1-BF81-42D6-A4FD-445C82D55735}">
          <x14:formula1>
            <xm:f>'CENOVNI RAZREDI'!$B$184:$B$243</xm:f>
          </x14:formula1>
          <xm:sqref>E235 E217 E271 E253 E289</xm:sqref>
        </x14:dataValidation>
        <x14:dataValidation type="list" allowBlank="1" showInputMessage="1" showErrorMessage="1" xr:uid="{4EBBAD55-7988-45F6-84BB-1A5D3B838CAC}">
          <x14:formula1>
            <xm:f>'CENOVNI RAZREDI'!$I$96:$I$98</xm:f>
          </x14:formula1>
          <xm:sqref>E20:E23 E25 E98:E101 E103 E72:E75 E77 E46:E49 E51 E124:E127 E129</xm:sqref>
        </x14:dataValidation>
        <x14:dataValidation type="list" allowBlank="1" showInputMessage="1" showErrorMessage="1" xr:uid="{D7C9262D-ED11-45E8-B509-D9AD46B3764C}">
          <x14:formula1>
            <xm:f>'CENOVNI RAZREDI'!$B$109:$B$170</xm:f>
          </x14:formula1>
          <xm:sqref>E152:F152 E164:F164 E176:F176 E188:F188 E200:F200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E266D-EBC6-4DEF-86EF-0F4169E51259}">
  <sheetPr codeName="Sheet5">
    <tabColor rgb="FF00B0F0"/>
    <outlinePr summaryBelow="0"/>
  </sheetPr>
  <dimension ref="A1:Z673"/>
  <sheetViews>
    <sheetView workbookViewId="0">
      <selection activeCell="B16" sqref="B16"/>
    </sheetView>
    <sheetView topLeftCell="A226" workbookViewId="1">
      <selection activeCell="B258" sqref="B258"/>
    </sheetView>
  </sheetViews>
  <sheetFormatPr defaultRowHeight="12.75"/>
  <cols>
    <col min="2" max="2" width="72" customWidth="1"/>
    <col min="3" max="7" width="9.140625" style="246"/>
    <col min="8" max="8" width="3.7109375" customWidth="1"/>
    <col min="9" max="9" width="15.5703125" customWidth="1"/>
    <col min="10" max="10" width="15.28515625" customWidth="1"/>
    <col min="11" max="14" width="10" customWidth="1"/>
    <col min="15" max="15" width="8.7109375" customWidth="1"/>
    <col min="16" max="16" width="3.5703125" customWidth="1"/>
    <col min="17" max="18" width="13.28515625" customWidth="1"/>
    <col min="19" max="19" width="14.28515625" customWidth="1"/>
  </cols>
  <sheetData>
    <row r="1" spans="1:19" ht="23.25">
      <c r="B1" s="1265" t="s">
        <v>358</v>
      </c>
      <c r="Q1" s="228"/>
      <c r="R1" s="228"/>
      <c r="S1" s="367">
        <f>0.84*R2</f>
        <v>1.0920000000000001</v>
      </c>
    </row>
    <row r="2" spans="1:19" ht="47.25">
      <c r="B2" s="255"/>
      <c r="C2" s="290" t="s">
        <v>200</v>
      </c>
      <c r="D2" s="290" t="s">
        <v>201</v>
      </c>
      <c r="E2" s="290" t="s">
        <v>202</v>
      </c>
      <c r="F2" s="290" t="s">
        <v>203</v>
      </c>
      <c r="G2" s="290" t="s">
        <v>204</v>
      </c>
      <c r="I2" s="255" t="s">
        <v>704</v>
      </c>
      <c r="J2" s="255" t="s">
        <v>705</v>
      </c>
      <c r="K2" s="290" t="s">
        <v>717</v>
      </c>
      <c r="L2" s="290" t="s">
        <v>714</v>
      </c>
      <c r="M2" s="290" t="s">
        <v>715</v>
      </c>
      <c r="N2" s="290" t="s">
        <v>716</v>
      </c>
      <c r="O2" s="290"/>
      <c r="P2" s="594"/>
      <c r="Q2" s="228" t="s">
        <v>986</v>
      </c>
      <c r="R2" s="366">
        <v>1.3</v>
      </c>
    </row>
    <row r="3" spans="1:19">
      <c r="B3" s="229"/>
      <c r="C3" s="248"/>
      <c r="D3" s="248"/>
      <c r="E3" s="248"/>
      <c r="F3" s="248"/>
      <c r="G3" s="248"/>
    </row>
    <row r="4" spans="1:19" ht="54" customHeight="1">
      <c r="B4" s="1319" t="s">
        <v>813</v>
      </c>
      <c r="C4" s="1319"/>
      <c r="D4" s="1319"/>
      <c r="E4" s="1319"/>
      <c r="F4" s="1319"/>
      <c r="G4" s="1319"/>
      <c r="Q4" s="1284"/>
    </row>
    <row r="6" spans="1:19" ht="51">
      <c r="B6" s="223" t="s">
        <v>347</v>
      </c>
      <c r="C6" s="289" t="s">
        <v>200</v>
      </c>
      <c r="D6" s="289" t="s">
        <v>201</v>
      </c>
      <c r="E6" s="289" t="s">
        <v>202</v>
      </c>
      <c r="F6" s="289" t="s">
        <v>203</v>
      </c>
      <c r="G6" s="289" t="s">
        <v>204</v>
      </c>
      <c r="H6" s="235"/>
      <c r="I6" s="354" t="s">
        <v>706</v>
      </c>
      <c r="J6" s="354" t="s">
        <v>707</v>
      </c>
      <c r="K6" s="290" t="s">
        <v>717</v>
      </c>
      <c r="L6" s="290" t="s">
        <v>714</v>
      </c>
      <c r="M6" s="290" t="s">
        <v>715</v>
      </c>
      <c r="N6" s="290" t="s">
        <v>716</v>
      </c>
      <c r="O6" s="289"/>
      <c r="P6" s="235"/>
      <c r="Q6" s="354" t="s">
        <v>718</v>
      </c>
    </row>
    <row r="7" spans="1:19" ht="15.75">
      <c r="B7" s="253" t="s">
        <v>648</v>
      </c>
      <c r="C7" s="254"/>
      <c r="D7" s="254"/>
      <c r="E7" s="254"/>
      <c r="F7" s="254"/>
      <c r="G7" s="254"/>
      <c r="H7" s="236"/>
      <c r="I7" s="1267">
        <f t="shared" ref="I7:N7" si="0">AVERAGE(I8:I20)</f>
        <v>1166.088</v>
      </c>
      <c r="J7" s="1267">
        <f t="shared" si="0"/>
        <v>1647.7440000000001</v>
      </c>
      <c r="K7" s="364">
        <f t="shared" si="0"/>
        <v>0.80046153846153834</v>
      </c>
      <c r="L7" s="364">
        <f t="shared" si="0"/>
        <v>0.137907</v>
      </c>
      <c r="M7" s="364">
        <f t="shared" si="0"/>
        <v>4.9840415384615394E-2</v>
      </c>
      <c r="N7" s="364">
        <f t="shared" si="0"/>
        <v>1.1825307692307692E-2</v>
      </c>
      <c r="O7" s="365"/>
      <c r="P7" s="236"/>
      <c r="Q7" s="617">
        <f t="shared" ref="Q7" si="1">AVERAGE(Q8:Q20)</f>
        <v>82.243076923076899</v>
      </c>
    </row>
    <row r="8" spans="1:19">
      <c r="A8" s="1308"/>
      <c r="B8" s="249" t="s">
        <v>1087</v>
      </c>
      <c r="C8" s="250" t="s">
        <v>205</v>
      </c>
      <c r="D8" s="250"/>
      <c r="E8" s="250"/>
      <c r="F8" s="250"/>
      <c r="G8" s="250"/>
      <c r="I8" s="1268">
        <f>820*$S$1*0.6</f>
        <v>537.26400000000001</v>
      </c>
      <c r="J8" s="1268">
        <f>1110*$S$1*0.6</f>
        <v>727.27200000000005</v>
      </c>
      <c r="K8" s="361">
        <v>0.81</v>
      </c>
      <c r="L8" s="361">
        <f>(37.6+32+4.8)/100*19.1/100</f>
        <v>0.14210399999999998</v>
      </c>
      <c r="M8" s="361">
        <f>(21.7+3.3)/100*19.1/100</f>
        <v>4.7750000000000001E-2</v>
      </c>
      <c r="N8" s="361">
        <v>0</v>
      </c>
      <c r="O8" s="362">
        <f t="shared" ref="O8" si="2">SUM(K8:N8)</f>
        <v>0.99985400000000002</v>
      </c>
      <c r="Q8" s="616">
        <v>-513.6400000000001</v>
      </c>
    </row>
    <row r="9" spans="1:19">
      <c r="A9" s="1308"/>
      <c r="B9" s="249" t="s">
        <v>1088</v>
      </c>
      <c r="C9" s="250"/>
      <c r="D9" s="250" t="s">
        <v>205</v>
      </c>
      <c r="E9" s="250"/>
      <c r="F9" s="250"/>
      <c r="G9" s="250"/>
      <c r="I9" s="1268">
        <f>900*$S$1</f>
        <v>982.80000000000007</v>
      </c>
      <c r="J9" s="1268">
        <f>1060*$S$1</f>
        <v>1157.52</v>
      </c>
      <c r="K9" s="361">
        <v>0.86</v>
      </c>
      <c r="L9" s="361">
        <f>(36+40.7+0.1)/100*14.1/100</f>
        <v>0.108288</v>
      </c>
      <c r="M9" s="361">
        <f>(19.2+3.6)/100*14.1/100</f>
        <v>3.2147999999999996E-2</v>
      </c>
      <c r="N9" s="361">
        <v>0</v>
      </c>
      <c r="O9" s="362">
        <f t="shared" ref="O9:O19" si="3">SUM(K9:N9)</f>
        <v>1.0004360000000001</v>
      </c>
      <c r="Q9" s="616">
        <v>-176.79999999999995</v>
      </c>
    </row>
    <row r="10" spans="1:19">
      <c r="A10" s="1308"/>
      <c r="B10" s="249" t="s">
        <v>1089</v>
      </c>
      <c r="C10" s="250"/>
      <c r="D10" s="250"/>
      <c r="E10" s="250" t="s">
        <v>205</v>
      </c>
      <c r="F10" s="250"/>
      <c r="G10" s="250"/>
      <c r="I10" s="1268">
        <f>1120*$S$1</f>
        <v>1223.0400000000002</v>
      </c>
      <c r="J10" s="1268">
        <f>1540*$S$1</f>
        <v>1681.68</v>
      </c>
      <c r="K10" s="361">
        <v>0.82</v>
      </c>
      <c r="L10" s="361">
        <f>(29.1+41.5+4.6)/100*18/100</f>
        <v>0.13535999999999998</v>
      </c>
      <c r="M10" s="361">
        <f>(20.6+3.5)/100*18/100</f>
        <v>4.3380000000000002E-2</v>
      </c>
      <c r="N10" s="361">
        <f>(0.5)/100*18/100</f>
        <v>8.9999999999999998E-4</v>
      </c>
      <c r="O10" s="362">
        <f t="shared" si="3"/>
        <v>0.99963999999999997</v>
      </c>
      <c r="Q10" s="616">
        <v>117.19999999999982</v>
      </c>
    </row>
    <row r="11" spans="1:19">
      <c r="A11" s="1308"/>
      <c r="B11" s="249" t="s">
        <v>1090</v>
      </c>
      <c r="C11" s="250"/>
      <c r="D11" s="250"/>
      <c r="E11" s="250"/>
      <c r="F11" s="250" t="s">
        <v>205</v>
      </c>
      <c r="G11" s="250"/>
      <c r="I11" s="1268">
        <f>1360*$S$1</f>
        <v>1485.1200000000001</v>
      </c>
      <c r="J11" s="1268">
        <f>1940*$S$1</f>
        <v>2118.48</v>
      </c>
      <c r="K11" s="361">
        <v>0.80900000000000005</v>
      </c>
      <c r="L11" s="361">
        <f>(24.4+43+5.7)/100*19.1/100</f>
        <v>0.13962100000000002</v>
      </c>
      <c r="M11" s="361">
        <f>(19.1+5.1)/100*19.1/100</f>
        <v>4.6222000000000006E-2</v>
      </c>
      <c r="N11" s="361">
        <f>(2.7)/100*19.1/100</f>
        <v>5.1570000000000001E-3</v>
      </c>
      <c r="O11" s="362">
        <f t="shared" si="3"/>
        <v>1</v>
      </c>
      <c r="Q11" s="616">
        <v>386</v>
      </c>
    </row>
    <row r="12" spans="1:19">
      <c r="A12" s="1308"/>
      <c r="B12" s="249" t="s">
        <v>1091</v>
      </c>
      <c r="C12" s="250"/>
      <c r="D12" s="250" t="s">
        <v>205</v>
      </c>
      <c r="E12" s="250"/>
      <c r="F12" s="250"/>
      <c r="G12" s="250"/>
      <c r="I12" s="1268">
        <f>910*$S$1</f>
        <v>993.72</v>
      </c>
      <c r="J12" s="1268">
        <f>1220*$S$1</f>
        <v>1332.24</v>
      </c>
      <c r="K12" s="361">
        <v>0.81699999999999995</v>
      </c>
      <c r="L12" s="361">
        <f>(32.4+42.6+6)/100*18.3/100</f>
        <v>0.14823000000000003</v>
      </c>
      <c r="M12" s="361">
        <f>(15.6+3.2)/100*18.38/100</f>
        <v>3.4554399999999999E-2</v>
      </c>
      <c r="N12" s="361">
        <v>0</v>
      </c>
      <c r="O12" s="362">
        <f t="shared" si="3"/>
        <v>0.99978440000000002</v>
      </c>
      <c r="Q12" s="616">
        <v>-105.40000000000009</v>
      </c>
    </row>
    <row r="13" spans="1:19">
      <c r="A13" s="1308"/>
      <c r="B13" s="249" t="s">
        <v>1092</v>
      </c>
      <c r="C13" s="250"/>
      <c r="D13" s="250"/>
      <c r="E13" s="250" t="s">
        <v>205</v>
      </c>
      <c r="F13" s="250"/>
      <c r="G13" s="250"/>
      <c r="I13" s="1268">
        <f>1200*$S$1</f>
        <v>1310.4000000000001</v>
      </c>
      <c r="J13" s="1268">
        <f>1730*$S$1</f>
        <v>1889.16</v>
      </c>
      <c r="K13" s="361">
        <v>0.80800000000000005</v>
      </c>
      <c r="L13" s="361">
        <f>(32+40.1+4.8)/100*19.2/100</f>
        <v>0.14764799999999997</v>
      </c>
      <c r="M13" s="361">
        <f>(18.6+4.6)/100*19.2/100</f>
        <v>4.4544000000000007E-2</v>
      </c>
      <c r="N13" s="361">
        <v>0</v>
      </c>
      <c r="O13" s="362">
        <f t="shared" si="3"/>
        <v>1.000192</v>
      </c>
      <c r="Q13" s="616">
        <v>230.59999999999991</v>
      </c>
    </row>
    <row r="14" spans="1:19">
      <c r="A14" s="1308"/>
      <c r="B14" s="249" t="s">
        <v>1093</v>
      </c>
      <c r="C14" s="250"/>
      <c r="D14" s="250"/>
      <c r="E14" s="250"/>
      <c r="F14" s="250" t="s">
        <v>205</v>
      </c>
      <c r="G14" s="250"/>
      <c r="I14" s="1268">
        <f>1470*$S$1</f>
        <v>1605.24</v>
      </c>
      <c r="J14" s="1268">
        <f>2100*$S$1</f>
        <v>2293.2000000000003</v>
      </c>
      <c r="K14" s="361">
        <v>0.80900000000000005</v>
      </c>
      <c r="L14" s="361">
        <f>(24.4+43+5.7)/100*19.1/100</f>
        <v>0.13962100000000002</v>
      </c>
      <c r="M14" s="361">
        <f>(19.1+5.1)/100*19.1/100</f>
        <v>4.6222000000000006E-2</v>
      </c>
      <c r="N14" s="361">
        <f>(2.7)/100*19.1/100</f>
        <v>5.1570000000000001E-3</v>
      </c>
      <c r="O14" s="362">
        <f t="shared" si="3"/>
        <v>1</v>
      </c>
      <c r="Q14" s="616">
        <v>499.40000000000009</v>
      </c>
    </row>
    <row r="15" spans="1:19" ht="25.5">
      <c r="A15" s="1308"/>
      <c r="B15" s="249" t="s">
        <v>1094</v>
      </c>
      <c r="C15" s="250"/>
      <c r="D15" s="250" t="s">
        <v>205</v>
      </c>
      <c r="E15" s="250"/>
      <c r="F15" s="250"/>
      <c r="G15" s="250"/>
      <c r="I15" s="1268">
        <f>820*$S$1</f>
        <v>895.44</v>
      </c>
      <c r="J15" s="1268">
        <f>1110*$S$1</f>
        <v>1212.1200000000001</v>
      </c>
      <c r="K15" s="361">
        <v>0.81</v>
      </c>
      <c r="L15" s="361">
        <f>(37.6+32+4.8)/100*19.1/100</f>
        <v>0.14210399999999998</v>
      </c>
      <c r="M15" s="361">
        <f>(21.7+3.3)/100*19.1/100</f>
        <v>4.7750000000000001E-2</v>
      </c>
      <c r="N15" s="363">
        <f>(0.2)/100*19.1/100</f>
        <v>3.8200000000000007E-4</v>
      </c>
      <c r="O15" s="362">
        <f t="shared" si="3"/>
        <v>1.0002360000000001</v>
      </c>
      <c r="Q15" s="616">
        <v>-189.40000000000009</v>
      </c>
    </row>
    <row r="16" spans="1:19" ht="25.5">
      <c r="A16" s="1308"/>
      <c r="B16" s="249" t="s">
        <v>1095</v>
      </c>
      <c r="C16" s="250"/>
      <c r="D16" s="250"/>
      <c r="E16" s="250" t="s">
        <v>205</v>
      </c>
      <c r="F16" s="250"/>
      <c r="G16" s="250"/>
      <c r="I16" s="1268">
        <f>960*$S$1</f>
        <v>1048.3200000000002</v>
      </c>
      <c r="J16" s="1268">
        <f>1390*$S$1</f>
        <v>1517.88</v>
      </c>
      <c r="K16" s="361">
        <v>0.79500000000000004</v>
      </c>
      <c r="L16" s="361">
        <f>(32.9+29.2+4.1)/100*20.5/100</f>
        <v>0.13570999999999997</v>
      </c>
      <c r="M16" s="361">
        <f>(23.8+3)/100*20.5/100</f>
        <v>5.494000000000001E-2</v>
      </c>
      <c r="N16" s="361">
        <f>(6.9)/100*20.5/100</f>
        <v>1.4145000000000001E-2</v>
      </c>
      <c r="O16" s="362">
        <f t="shared" si="3"/>
        <v>0.99979499999999999</v>
      </c>
      <c r="Q16" s="616">
        <v>-13</v>
      </c>
    </row>
    <row r="17" spans="1:24" ht="25.5">
      <c r="A17" s="1308"/>
      <c r="B17" s="249" t="s">
        <v>1096</v>
      </c>
      <c r="C17" s="250"/>
      <c r="D17" s="250"/>
      <c r="E17" s="250"/>
      <c r="F17" s="250" t="s">
        <v>205</v>
      </c>
      <c r="G17" s="250"/>
      <c r="I17" s="1268">
        <f>1130*$S$1</f>
        <v>1233.96</v>
      </c>
      <c r="J17" s="1268">
        <f>1580*$S$1</f>
        <v>1725.3600000000001</v>
      </c>
      <c r="K17" s="361">
        <v>0.79700000000000004</v>
      </c>
      <c r="L17" s="361">
        <f>(33+24.5+5)/100*20.3/100</f>
        <v>0.12687499999999999</v>
      </c>
      <c r="M17" s="361">
        <f>(15.8+4.5)/100*20.3/100</f>
        <v>4.120900000000001E-2</v>
      </c>
      <c r="N17" s="361">
        <f>(17.2)/100*20.3/100</f>
        <v>3.4916000000000003E-2</v>
      </c>
      <c r="O17" s="362">
        <f t="shared" si="3"/>
        <v>1</v>
      </c>
      <c r="Q17" s="616">
        <v>138.20000000000005</v>
      </c>
    </row>
    <row r="18" spans="1:24">
      <c r="A18" s="1308"/>
      <c r="B18" s="249" t="s">
        <v>1097</v>
      </c>
      <c r="C18" s="250"/>
      <c r="D18" s="250"/>
      <c r="E18" s="250" t="s">
        <v>205</v>
      </c>
      <c r="F18" s="250"/>
      <c r="G18" s="250"/>
      <c r="I18" s="1268">
        <f>1030*$S$1</f>
        <v>1124.76</v>
      </c>
      <c r="J18" s="1268">
        <f>1510*$S$1</f>
        <v>1648.92</v>
      </c>
      <c r="K18" s="361">
        <v>0.753</v>
      </c>
      <c r="L18" s="361">
        <f>(30.9+20.6+3.9)/100*24.8/100</f>
        <v>0.13739199999999999</v>
      </c>
      <c r="M18" s="361">
        <f>(22.8+6)/100*24.8/100</f>
        <v>7.1424000000000015E-2</v>
      </c>
      <c r="N18" s="361">
        <f>(14.9+0.6)/100*24.8/100</f>
        <v>3.8440000000000002E-2</v>
      </c>
      <c r="O18" s="362">
        <f t="shared" si="3"/>
        <v>1.000256</v>
      </c>
      <c r="Q18" s="616">
        <v>66.799999999999955</v>
      </c>
      <c r="X18" s="1285"/>
    </row>
    <row r="19" spans="1:24">
      <c r="A19" s="1308"/>
      <c r="B19" s="249" t="s">
        <v>1098</v>
      </c>
      <c r="C19" s="250"/>
      <c r="D19" s="250"/>
      <c r="E19" s="250"/>
      <c r="F19" s="250" t="s">
        <v>205</v>
      </c>
      <c r="G19" s="250"/>
      <c r="I19" s="1268">
        <f>1100*$S$1</f>
        <v>1201.2</v>
      </c>
      <c r="J19" s="1268">
        <f>1770*$S$1</f>
        <v>1932.8400000000001</v>
      </c>
      <c r="K19" s="361">
        <v>0.748</v>
      </c>
      <c r="L19" s="361">
        <f>(27.1+35.3+0.5)/100*25.2/100</f>
        <v>0.15850799999999998</v>
      </c>
      <c r="M19" s="361">
        <f>(19.6+4.5)/100*25.2/100</f>
        <v>6.0732000000000001E-2</v>
      </c>
      <c r="N19" s="361">
        <f>(12.9+0.2)/100*25.2/100</f>
        <v>3.3012E-2</v>
      </c>
      <c r="O19" s="362">
        <f t="shared" si="3"/>
        <v>1.0002519999999999</v>
      </c>
      <c r="Q19" s="616">
        <v>205.40000000000009</v>
      </c>
    </row>
    <row r="20" spans="1:24">
      <c r="A20" s="1308"/>
      <c r="B20" s="249" t="s">
        <v>1099</v>
      </c>
      <c r="C20" s="250"/>
      <c r="D20" s="250"/>
      <c r="E20" s="250" t="s">
        <v>205</v>
      </c>
      <c r="F20" s="250" t="s">
        <v>205</v>
      </c>
      <c r="G20" s="250"/>
      <c r="I20" s="1268">
        <f>1390*$S$1</f>
        <v>1517.88</v>
      </c>
      <c r="J20" s="1268">
        <f>2000*$S$1</f>
        <v>2184</v>
      </c>
      <c r="K20" s="361">
        <v>0.77</v>
      </c>
      <c r="L20" s="361">
        <f>(24.4+25.8+6.9)/100*23/100</f>
        <v>0.13133</v>
      </c>
      <c r="M20" s="361">
        <f>(27.3+6.2)/100*23/100</f>
        <v>7.7050000000000007E-2</v>
      </c>
      <c r="N20" s="361">
        <f>(4.1+3.3+1.5+0.5)/100*23/100</f>
        <v>2.1619999999999993E-2</v>
      </c>
      <c r="O20" s="362">
        <f>SUM(K20:N20)</f>
        <v>1</v>
      </c>
      <c r="Q20" s="616">
        <v>423.79999999999995</v>
      </c>
    </row>
    <row r="21" spans="1:24" ht="15.75">
      <c r="B21" s="258" t="s">
        <v>654</v>
      </c>
      <c r="C21" s="252"/>
      <c r="D21" s="252"/>
      <c r="E21" s="252"/>
      <c r="F21" s="252"/>
      <c r="G21" s="252"/>
      <c r="H21" s="237"/>
      <c r="I21" s="1267">
        <f>AVERAGE(I22:I27)</f>
        <v>1832.74</v>
      </c>
      <c r="J21" s="1267">
        <f>AVERAGE(J22:J27)</f>
        <v>2693.6000000000004</v>
      </c>
      <c r="K21" s="364">
        <f>AVERAGE(K22:K27)</f>
        <v>0.73099999999999998</v>
      </c>
      <c r="L21" s="364">
        <f>AVERAGE(L22:L27)</f>
        <v>0.13594933333333334</v>
      </c>
      <c r="M21" s="364">
        <f t="shared" ref="M21:N21" si="4">AVERAGE(M22:M27)</f>
        <v>9.1583166666666674E-2</v>
      </c>
      <c r="N21" s="364">
        <f t="shared" si="4"/>
        <v>4.1590500000000009E-2</v>
      </c>
      <c r="O21" s="362"/>
      <c r="P21" s="237"/>
      <c r="Q21" s="617">
        <f>AVERAGE(Q22:Q27)</f>
        <v>740.9</v>
      </c>
    </row>
    <row r="22" spans="1:24">
      <c r="A22" s="1308"/>
      <c r="B22" s="249" t="s">
        <v>1100</v>
      </c>
      <c r="C22" s="250" t="s">
        <v>205</v>
      </c>
      <c r="D22" s="250"/>
      <c r="E22" s="250"/>
      <c r="F22" s="250"/>
      <c r="G22" s="250"/>
      <c r="I22" s="1268">
        <f>1500*$S$1</f>
        <v>1638.0000000000002</v>
      </c>
      <c r="J22" s="1268">
        <f>2050*$S$1</f>
        <v>2238.6000000000004</v>
      </c>
      <c r="K22" s="361">
        <v>0.76600000000000001</v>
      </c>
      <c r="L22" s="361">
        <f>(26.6+18.5+13.4)/100*23.4/100</f>
        <v>0.13688999999999998</v>
      </c>
      <c r="M22" s="361">
        <f>(36.7+3.2)/100*23.4/100</f>
        <v>9.3366000000000005E-2</v>
      </c>
      <c r="N22" s="361">
        <f>(0.1+1.6)/100*23.4/100</f>
        <v>3.9779999999999998E-3</v>
      </c>
      <c r="O22" s="362">
        <f t="shared" ref="O22" si="5">SUM(K22:N22)</f>
        <v>1.0002340000000001</v>
      </c>
      <c r="Q22" s="616">
        <v>491</v>
      </c>
    </row>
    <row r="23" spans="1:24" ht="15.75">
      <c r="A23" s="1308"/>
      <c r="B23" s="249" t="s">
        <v>1101</v>
      </c>
      <c r="C23" s="250"/>
      <c r="D23" s="250"/>
      <c r="E23" s="250" t="s">
        <v>205</v>
      </c>
      <c r="F23" s="250"/>
      <c r="G23" s="250"/>
      <c r="H23" s="236"/>
      <c r="I23" s="1268">
        <f>1480*$S$1</f>
        <v>1616.16</v>
      </c>
      <c r="J23" s="1268">
        <f>2180*$S$1</f>
        <v>2380.5600000000004</v>
      </c>
      <c r="K23" s="361">
        <v>0.77200000000000002</v>
      </c>
      <c r="L23" s="361">
        <f>(14.8+18.8+11.4)/100*22.8/100</f>
        <v>0.1026</v>
      </c>
      <c r="M23" s="361">
        <f>(34.5+6.8)/100*22.8/100</f>
        <v>9.4163999999999998E-2</v>
      </c>
      <c r="N23" s="361">
        <f>(3+5.6+3.5+1.6)/100*22.8/100</f>
        <v>3.1235999999999996E-2</v>
      </c>
      <c r="O23" s="362">
        <f t="shared" ref="O23" si="6">SUM(K23:N23)</f>
        <v>1</v>
      </c>
      <c r="P23" s="236"/>
      <c r="Q23" s="616">
        <v>537.20000000000005</v>
      </c>
      <c r="R23" s="59"/>
      <c r="T23" s="59"/>
      <c r="U23" s="59"/>
      <c r="V23" s="59"/>
      <c r="W23" s="59"/>
    </row>
    <row r="24" spans="1:24" ht="15.75">
      <c r="A24" s="1308"/>
      <c r="B24" s="249" t="s">
        <v>1102</v>
      </c>
      <c r="C24" s="250"/>
      <c r="D24" s="250"/>
      <c r="E24" s="250" t="s">
        <v>205</v>
      </c>
      <c r="F24" s="250"/>
      <c r="G24" s="250"/>
      <c r="H24" s="236"/>
      <c r="I24" s="1268">
        <f>1400*$S$1</f>
        <v>1528.8000000000002</v>
      </c>
      <c r="J24" s="1268">
        <f>2290*$S$1</f>
        <v>2500.6800000000003</v>
      </c>
      <c r="K24" s="361">
        <v>0.71399999999999997</v>
      </c>
      <c r="L24" s="361">
        <f>(13.1+13.6+12.7)/100*28.6/100</f>
        <v>0.11268399999999999</v>
      </c>
      <c r="M24" s="361">
        <f>(31.4+8.1)/100*28.6/100</f>
        <v>0.11297</v>
      </c>
      <c r="N24" s="361">
        <f>(3.3+12.2+5.6+0.1)/100*28.6/100</f>
        <v>6.0632000000000012E-2</v>
      </c>
      <c r="O24" s="362">
        <f t="shared" ref="O24" si="7">SUM(K24:N24)</f>
        <v>1.000286</v>
      </c>
      <c r="P24" s="236"/>
      <c r="Q24" s="616">
        <v>549.79999999999995</v>
      </c>
      <c r="R24" s="59"/>
      <c r="T24" s="59"/>
      <c r="U24" s="59"/>
      <c r="V24" s="59"/>
      <c r="W24" s="59"/>
    </row>
    <row r="25" spans="1:24" ht="25.5">
      <c r="A25" s="1308"/>
      <c r="B25" s="249" t="s">
        <v>1103</v>
      </c>
      <c r="C25" s="250"/>
      <c r="D25" s="250"/>
      <c r="E25" s="250"/>
      <c r="F25" s="250" t="s">
        <v>205</v>
      </c>
      <c r="G25" s="250"/>
      <c r="H25" s="236"/>
      <c r="I25" s="1268">
        <f>1850*$S$1</f>
        <v>2020.2</v>
      </c>
      <c r="J25" s="1268">
        <f>2400*$S$1</f>
        <v>2620.8000000000002</v>
      </c>
      <c r="K25" s="361">
        <v>0.76200000000000001</v>
      </c>
      <c r="L25" s="361">
        <f>(21.7+16.7+11.5)/100*23.8/100</f>
        <v>0.11876200000000001</v>
      </c>
      <c r="M25" s="361">
        <f>(28.7+4.8)/100*23.8/100</f>
        <v>7.9730000000000009E-2</v>
      </c>
      <c r="N25" s="361">
        <f>(3.9+7.1+5.6+0)/100*23.8/100</f>
        <v>3.9508000000000008E-2</v>
      </c>
      <c r="O25" s="362">
        <f t="shared" ref="O25" si="8">SUM(K25:N25)</f>
        <v>1</v>
      </c>
      <c r="P25" s="236"/>
      <c r="Q25" s="616">
        <v>785</v>
      </c>
      <c r="R25" s="59"/>
      <c r="T25" s="59"/>
      <c r="U25" s="59"/>
      <c r="V25" s="59"/>
      <c r="W25" s="59"/>
    </row>
    <row r="26" spans="1:24">
      <c r="A26" s="1308"/>
      <c r="B26" s="249" t="s">
        <v>1104</v>
      </c>
      <c r="C26" s="250"/>
      <c r="D26" s="250"/>
      <c r="E26" s="250"/>
      <c r="F26" s="250" t="s">
        <v>205</v>
      </c>
      <c r="G26" s="250"/>
      <c r="H26" s="236"/>
      <c r="I26" s="1268">
        <f>1850*$S$1</f>
        <v>2020.2</v>
      </c>
      <c r="J26" s="1268">
        <f>2400*$S$1</f>
        <v>2620.8000000000002</v>
      </c>
      <c r="K26" s="361">
        <v>0.76200000000000001</v>
      </c>
      <c r="L26" s="361">
        <f>(21.7+16.7+11.5)/100*23.8/100</f>
        <v>0.11876200000000001</v>
      </c>
      <c r="M26" s="361">
        <f>(28.7+4.8)/100*23.8/100</f>
        <v>7.9730000000000009E-2</v>
      </c>
      <c r="N26" s="361">
        <f>(3.9+7.1+5.6+0)/100*23.8/100</f>
        <v>3.9508000000000008E-2</v>
      </c>
      <c r="O26" s="362">
        <f t="shared" ref="O26" si="9">SUM(K26:N26)</f>
        <v>1</v>
      </c>
      <c r="Q26" s="616">
        <v>785</v>
      </c>
    </row>
    <row r="27" spans="1:24">
      <c r="A27" s="1308"/>
      <c r="B27" s="249" t="s">
        <v>1105</v>
      </c>
      <c r="C27" s="250"/>
      <c r="D27" s="250"/>
      <c r="E27" s="250"/>
      <c r="F27" s="250" t="s">
        <v>205</v>
      </c>
      <c r="G27" s="250" t="s">
        <v>205</v>
      </c>
      <c r="H27" s="236"/>
      <c r="I27" s="1268">
        <f>1990*$S$1</f>
        <v>2173.0800000000004</v>
      </c>
      <c r="J27" s="1268">
        <f>3480*$S$1</f>
        <v>3800.1600000000003</v>
      </c>
      <c r="K27" s="361">
        <v>0.61</v>
      </c>
      <c r="L27" s="361">
        <f>(7.1+11.3+39.4)/100*39.1/100</f>
        <v>0.22599799999999998</v>
      </c>
      <c r="M27" s="361">
        <f>(17.4+5.5)/100*39.1/100</f>
        <v>8.9538999999999994E-2</v>
      </c>
      <c r="N27" s="361">
        <f>(0.5+13.5+4.6+0.5)/100*39.1/100</f>
        <v>7.4681000000000011E-2</v>
      </c>
      <c r="O27" s="362">
        <f t="shared" ref="O27" si="10">SUM(K27:N27)</f>
        <v>1.0002180000000001</v>
      </c>
      <c r="P27" s="236"/>
      <c r="Q27" s="616">
        <v>1297.3999999999996</v>
      </c>
    </row>
    <row r="28" spans="1:24" ht="15.75">
      <c r="B28" s="251" t="s">
        <v>656</v>
      </c>
      <c r="C28" s="252"/>
      <c r="D28" s="252"/>
      <c r="E28" s="252"/>
      <c r="F28" s="252"/>
      <c r="G28" s="252"/>
      <c r="H28" s="236"/>
      <c r="I28" s="1267">
        <f t="shared" ref="I28:N28" si="11">AVERAGE(I29:I36)</f>
        <v>1691.2350000000004</v>
      </c>
      <c r="J28" s="1267">
        <f t="shared" si="11"/>
        <v>2624.8950000000004</v>
      </c>
      <c r="K28" s="364">
        <f t="shared" si="11"/>
        <v>0.74800000000000011</v>
      </c>
      <c r="L28" s="364">
        <f t="shared" si="11"/>
        <v>0.114477</v>
      </c>
      <c r="M28" s="364">
        <f t="shared" si="11"/>
        <v>0.10927265000000001</v>
      </c>
      <c r="N28" s="364">
        <f t="shared" si="11"/>
        <v>2.8224750000000007E-2</v>
      </c>
      <c r="O28" s="362"/>
      <c r="P28" s="236"/>
      <c r="Q28" s="617">
        <f>AVERAGE(Q29:Q36)</f>
        <v>660.05</v>
      </c>
    </row>
    <row r="29" spans="1:24">
      <c r="A29" s="1308"/>
      <c r="B29" s="249" t="s">
        <v>1106</v>
      </c>
      <c r="C29" s="250"/>
      <c r="D29" s="250" t="s">
        <v>205</v>
      </c>
      <c r="E29" s="250"/>
      <c r="F29" s="250"/>
      <c r="G29" s="250"/>
      <c r="H29" s="236"/>
      <c r="I29" s="1268">
        <f>1020*$S$1</f>
        <v>1113.8400000000001</v>
      </c>
      <c r="J29" s="1268">
        <f>1390*$S$1</f>
        <v>1517.88</v>
      </c>
      <c r="K29" s="361">
        <v>0.81</v>
      </c>
      <c r="L29" s="361">
        <f>(16.1+24.9+7.2)/100*19/100</f>
        <v>9.1580000000000009E-2</v>
      </c>
      <c r="M29" s="361">
        <f>(36.8+7.4)/100*19/100</f>
        <v>8.3979999999999999E-2</v>
      </c>
      <c r="N29" s="361">
        <f>(5.6+0.4+1.6)/100*19/100</f>
        <v>1.444E-2</v>
      </c>
      <c r="O29" s="362">
        <f t="shared" ref="O29" si="12">SUM(K29:N29)</f>
        <v>1</v>
      </c>
      <c r="P29" s="236"/>
      <c r="Q29" s="616">
        <v>12.199999999999932</v>
      </c>
    </row>
    <row r="30" spans="1:24">
      <c r="A30" s="1308"/>
      <c r="B30" s="249" t="s">
        <v>1107</v>
      </c>
      <c r="C30" s="250"/>
      <c r="D30" s="250"/>
      <c r="E30" s="250" t="s">
        <v>205</v>
      </c>
      <c r="F30" s="250"/>
      <c r="G30" s="250"/>
      <c r="H30" s="236"/>
      <c r="I30" s="1268">
        <f>1480*$S$1</f>
        <v>1616.16</v>
      </c>
      <c r="J30" s="1268">
        <f>2010*$S$1</f>
        <v>2194.92</v>
      </c>
      <c r="K30" s="361">
        <v>0.76100000000000001</v>
      </c>
      <c r="L30" s="361">
        <f>(13.7+24+8.5)/100*23.9/100</f>
        <v>0.110418</v>
      </c>
      <c r="M30" s="361">
        <f>(32.9+14)/100*23.9/100</f>
        <v>0.112091</v>
      </c>
      <c r="N30" s="361">
        <f>(2.4+1.9+2.6+0)/100*23.9/100</f>
        <v>1.6490999999999999E-2</v>
      </c>
      <c r="O30" s="362">
        <f t="shared" ref="O30" si="13">SUM(K30:N30)</f>
        <v>1</v>
      </c>
      <c r="P30" s="236"/>
      <c r="Q30" s="616">
        <v>465.79999999999995</v>
      </c>
    </row>
    <row r="31" spans="1:24">
      <c r="A31" s="1308"/>
      <c r="B31" s="249" t="s">
        <v>1108</v>
      </c>
      <c r="C31" s="250"/>
      <c r="D31" s="250"/>
      <c r="E31" s="250"/>
      <c r="F31" s="250" t="s">
        <v>205</v>
      </c>
      <c r="G31" s="250"/>
      <c r="H31" s="236"/>
      <c r="I31" s="1268">
        <f>1840*$S$1</f>
        <v>2009.2800000000002</v>
      </c>
      <c r="J31" s="1268">
        <f>2900*$S$1</f>
        <v>3166.8</v>
      </c>
      <c r="K31" s="361">
        <v>0.73699999999999999</v>
      </c>
      <c r="L31" s="361">
        <f>(10.2+22.1+15)/100*26.3/100</f>
        <v>0.124399</v>
      </c>
      <c r="M31" s="361">
        <f>(31.5+11.2)/100*26.3/100</f>
        <v>0.11230100000000003</v>
      </c>
      <c r="N31" s="361">
        <f>(3.2+0.9+5.8+0.1)/100*26.3/100</f>
        <v>2.6300000000000004E-2</v>
      </c>
      <c r="O31" s="362">
        <f t="shared" ref="O31" si="14">SUM(K31:N31)</f>
        <v>1</v>
      </c>
      <c r="P31" s="236"/>
      <c r="Q31" s="616">
        <v>990.8</v>
      </c>
    </row>
    <row r="32" spans="1:24">
      <c r="A32" s="1308"/>
      <c r="B32" s="249" t="s">
        <v>1109</v>
      </c>
      <c r="C32" s="250"/>
      <c r="D32" s="250"/>
      <c r="E32" s="250"/>
      <c r="F32" s="250" t="s">
        <v>205</v>
      </c>
      <c r="G32" s="250"/>
      <c r="H32" s="238"/>
      <c r="I32" s="1268">
        <f>1840*$S$1</f>
        <v>2009.2800000000002</v>
      </c>
      <c r="J32" s="1268">
        <f>2900*$S$1</f>
        <v>3166.8</v>
      </c>
      <c r="K32" s="361">
        <v>0.73699999999999999</v>
      </c>
      <c r="L32" s="361">
        <f>(10.2+22.1+15)/100*26.3/100</f>
        <v>0.124399</v>
      </c>
      <c r="M32" s="361">
        <f>(31.5+11.2)/100*26.3/100</f>
        <v>0.11230100000000003</v>
      </c>
      <c r="N32" s="361">
        <f>(3.2+0.9+5.8+0.1)/100*26.3/100</f>
        <v>2.6300000000000004E-2</v>
      </c>
      <c r="O32" s="362">
        <f t="shared" ref="O32" si="15">SUM(K32:N32)</f>
        <v>1</v>
      </c>
      <c r="Q32" s="616">
        <v>990.8</v>
      </c>
    </row>
    <row r="33" spans="1:26">
      <c r="A33" s="1308"/>
      <c r="B33" s="249" t="s">
        <v>1110</v>
      </c>
      <c r="C33" s="250"/>
      <c r="D33" s="250"/>
      <c r="E33" s="250"/>
      <c r="F33" s="250" t="s">
        <v>205</v>
      </c>
      <c r="G33" s="250" t="s">
        <v>205</v>
      </c>
      <c r="H33" s="238"/>
      <c r="I33" s="1268">
        <f>1130*$S$1</f>
        <v>1233.96</v>
      </c>
      <c r="J33" s="1268">
        <f>1580*$S$1</f>
        <v>1725.3600000000001</v>
      </c>
      <c r="K33" s="361">
        <v>0.70399999999999996</v>
      </c>
      <c r="L33" s="361">
        <f>(14.8+8.4+17)/100*29.6/100</f>
        <v>0.118992</v>
      </c>
      <c r="M33" s="361">
        <f>(33.1+12.5)/100*29.62/100</f>
        <v>0.13506720000000003</v>
      </c>
      <c r="N33" s="361">
        <f>(7.1+2.5+4.2+0.3)/100*29.6/100</f>
        <v>4.1736000000000002E-2</v>
      </c>
      <c r="O33" s="362">
        <f t="shared" ref="O33" si="16">SUM(K33:N33)</f>
        <v>0.9997952</v>
      </c>
      <c r="Q33" s="616">
        <v>138.20000000000005</v>
      </c>
    </row>
    <row r="34" spans="1:26">
      <c r="A34" s="1308"/>
      <c r="B34" s="249" t="s">
        <v>1111</v>
      </c>
      <c r="C34" s="250"/>
      <c r="D34" s="250"/>
      <c r="E34" s="250" t="s">
        <v>205</v>
      </c>
      <c r="F34" s="250" t="s">
        <v>205</v>
      </c>
      <c r="G34" s="250"/>
      <c r="H34" s="238"/>
      <c r="I34" s="1268">
        <f>1420*$S$1</f>
        <v>1550.64</v>
      </c>
      <c r="J34" s="1268">
        <f>1980*$S$1</f>
        <v>2162.1600000000003</v>
      </c>
      <c r="K34" s="361">
        <v>0.753</v>
      </c>
      <c r="L34" s="361">
        <f>(18.4+14.6+11.2)/100*24.7/100</f>
        <v>0.10917400000000001</v>
      </c>
      <c r="M34" s="361">
        <f>(26.8+10.2)/100*24.7/100</f>
        <v>9.1389999999999999E-2</v>
      </c>
      <c r="N34" s="361">
        <f>(1.3+14+2.9+0.6)/100*24.7/100</f>
        <v>4.6436000000000005E-2</v>
      </c>
      <c r="O34" s="362">
        <f t="shared" ref="O34" si="17">SUM(K34:N34)</f>
        <v>1</v>
      </c>
      <c r="P34" s="238"/>
      <c r="Q34" s="616">
        <v>428</v>
      </c>
    </row>
    <row r="35" spans="1:26">
      <c r="A35" s="1308"/>
      <c r="B35" s="249" t="s">
        <v>1112</v>
      </c>
      <c r="C35" s="250"/>
      <c r="D35" s="250"/>
      <c r="E35" s="250" t="s">
        <v>205</v>
      </c>
      <c r="F35" s="250" t="s">
        <v>205</v>
      </c>
      <c r="G35" s="250"/>
      <c r="H35" s="238"/>
      <c r="I35" s="1268">
        <f>1840*$S$1</f>
        <v>2009.2800000000002</v>
      </c>
      <c r="J35" s="1268">
        <f>2900*$S$1</f>
        <v>3166.8</v>
      </c>
      <c r="K35" s="361">
        <v>0.73699999999999999</v>
      </c>
      <c r="L35" s="361">
        <f>(10.2+22.1+15)/100*26.3/100</f>
        <v>0.124399</v>
      </c>
      <c r="M35" s="361">
        <f>(31.5+11.2)/100*26.3/100</f>
        <v>0.11230100000000003</v>
      </c>
      <c r="N35" s="361">
        <f>(3.2+0.9+5.8+0.1)/100*26.3/100</f>
        <v>2.6300000000000004E-2</v>
      </c>
      <c r="O35" s="362">
        <f t="shared" ref="O35" si="18">SUM(K35:N35)</f>
        <v>1</v>
      </c>
      <c r="P35" s="238"/>
      <c r="Q35" s="616">
        <v>990.8</v>
      </c>
    </row>
    <row r="36" spans="1:26" ht="15.75">
      <c r="A36" s="1308"/>
      <c r="B36" s="249" t="s">
        <v>1113</v>
      </c>
      <c r="C36" s="250"/>
      <c r="D36" s="250"/>
      <c r="E36" s="250" t="s">
        <v>205</v>
      </c>
      <c r="F36" s="250" t="s">
        <v>205</v>
      </c>
      <c r="G36" s="250"/>
      <c r="H36" s="238"/>
      <c r="I36" s="1268">
        <f>1820*$S$1</f>
        <v>1987.44</v>
      </c>
      <c r="J36" s="1268">
        <f>3570*$S$1</f>
        <v>3898.4400000000005</v>
      </c>
      <c r="K36" s="361">
        <v>0.745</v>
      </c>
      <c r="L36" s="361">
        <f>(13.5+19.7+10.9)/100*25.5/100</f>
        <v>0.112455</v>
      </c>
      <c r="M36" s="361">
        <f>(37.2+7.8)/100*25.5/100</f>
        <v>0.11474999999999999</v>
      </c>
      <c r="N36" s="361">
        <f>(1.6+5.2+2.8+1.3)/100*25.5/100</f>
        <v>2.7795000000000004E-2</v>
      </c>
      <c r="O36" s="362">
        <f t="shared" ref="O36" si="19">SUM(K36:N36)</f>
        <v>1</v>
      </c>
      <c r="P36" s="238"/>
      <c r="Q36" s="616">
        <v>1263.7999999999997</v>
      </c>
      <c r="R36" s="37"/>
      <c r="T36" s="37"/>
      <c r="U36" s="37"/>
      <c r="V36" s="37"/>
      <c r="W36" s="37"/>
      <c r="X36" s="37"/>
      <c r="Y36" s="37"/>
      <c r="Z36" s="37"/>
    </row>
    <row r="37" spans="1:26" ht="15.75">
      <c r="B37" s="251" t="s">
        <v>693</v>
      </c>
      <c r="C37" s="252"/>
      <c r="D37" s="252"/>
      <c r="E37" s="252"/>
      <c r="F37" s="252"/>
      <c r="G37" s="252"/>
      <c r="H37" s="238"/>
      <c r="I37" s="1267">
        <f>AVERAGE(I38:I48)</f>
        <v>1637.0072727272729</v>
      </c>
      <c r="J37" s="1267">
        <f>AVERAGE(J38:J48)</f>
        <v>2404.3854545454546</v>
      </c>
      <c r="K37" s="364">
        <f>AVERAGE(K38:K48)</f>
        <v>0.72670000000000001</v>
      </c>
      <c r="L37" s="364">
        <f t="shared" ref="L37:N37" si="20">AVERAGE(L38:L48)</f>
        <v>0.13261972727272725</v>
      </c>
      <c r="M37" s="364">
        <f t="shared" si="20"/>
        <v>0.10934389090909093</v>
      </c>
      <c r="N37" s="364">
        <f t="shared" si="20"/>
        <v>3.1343181818181819E-2</v>
      </c>
      <c r="O37" s="362"/>
      <c r="P37" s="238"/>
      <c r="Q37" s="617">
        <f>AVERAGE(Q38:Q48)</f>
        <v>554.38181818181829</v>
      </c>
      <c r="R37" s="14"/>
      <c r="T37" s="14"/>
      <c r="U37" s="14"/>
      <c r="V37" s="14"/>
      <c r="W37" s="14"/>
      <c r="X37" s="14"/>
      <c r="Y37" s="14"/>
      <c r="Z37" s="14"/>
    </row>
    <row r="38" spans="1:26">
      <c r="A38" s="1308"/>
      <c r="B38" s="249" t="s">
        <v>1114</v>
      </c>
      <c r="C38" s="250" t="s">
        <v>205</v>
      </c>
      <c r="D38" s="250"/>
      <c r="E38" s="250"/>
      <c r="F38" s="250"/>
      <c r="G38" s="250"/>
      <c r="H38" s="238"/>
      <c r="I38" s="1268">
        <f>1500*$S$1</f>
        <v>1638.0000000000002</v>
      </c>
      <c r="J38" s="1268">
        <f>2050*$S$1</f>
        <v>2238.6000000000004</v>
      </c>
      <c r="K38" s="361">
        <v>0.76600000000000001</v>
      </c>
      <c r="L38" s="361">
        <f>(26.6+18.5+13.4)/100*23.4/100</f>
        <v>0.13688999999999998</v>
      </c>
      <c r="M38" s="361">
        <f>(36.7+3.2)/100*23.4/100</f>
        <v>9.3366000000000005E-2</v>
      </c>
      <c r="N38" s="361">
        <f>(0.1+1.6)/100*23.4/100</f>
        <v>3.9779999999999998E-3</v>
      </c>
      <c r="O38" s="362">
        <f t="shared" ref="O38" si="21">SUM(K38:N38)</f>
        <v>1.0002340000000001</v>
      </c>
      <c r="Q38" s="616">
        <v>491</v>
      </c>
      <c r="R38" s="73"/>
      <c r="T38" s="73"/>
      <c r="U38" s="73"/>
      <c r="V38" s="73"/>
      <c r="W38" s="73"/>
      <c r="X38" s="73"/>
      <c r="Y38" s="73"/>
      <c r="Z38" s="73"/>
    </row>
    <row r="39" spans="1:26">
      <c r="A39" s="1308"/>
      <c r="B39" s="249" t="s">
        <v>1115</v>
      </c>
      <c r="C39" s="250"/>
      <c r="D39" s="250"/>
      <c r="E39" s="250" t="s">
        <v>205</v>
      </c>
      <c r="F39" s="250"/>
      <c r="G39" s="250"/>
      <c r="H39" s="238"/>
      <c r="I39" s="1268">
        <f>1520*$S$1</f>
        <v>1659.8400000000001</v>
      </c>
      <c r="J39" s="1268">
        <f>2300*$S$1</f>
        <v>2511.6000000000004</v>
      </c>
      <c r="K39" s="361">
        <v>0.78500000000000003</v>
      </c>
      <c r="L39" s="361">
        <f>(24.4+24.4+8)/100*21.6/100</f>
        <v>0.12268800000000001</v>
      </c>
      <c r="M39" s="361">
        <f>(31.8+5.7)/100*21.6/100</f>
        <v>8.1000000000000016E-2</v>
      </c>
      <c r="N39" s="361">
        <f>(1.2+2.6+0.8+0.7)/100*21.6/100</f>
        <v>1.1448E-2</v>
      </c>
      <c r="O39" s="362">
        <f t="shared" ref="O39" si="22">SUM(K39:N39)</f>
        <v>1.0001359999999999</v>
      </c>
      <c r="P39" s="238"/>
      <c r="Q39" s="616">
        <v>604.40000000000009</v>
      </c>
      <c r="R39" s="75"/>
      <c r="T39" s="75"/>
      <c r="U39" s="75"/>
      <c r="V39" s="75"/>
      <c r="W39" s="75"/>
      <c r="X39" s="75"/>
      <c r="Y39" s="75"/>
      <c r="Z39" s="75"/>
    </row>
    <row r="40" spans="1:26">
      <c r="A40" s="1308"/>
      <c r="B40" s="249" t="s">
        <v>1116</v>
      </c>
      <c r="C40" s="250"/>
      <c r="D40" s="250"/>
      <c r="E40" s="250" t="s">
        <v>205</v>
      </c>
      <c r="F40" s="250"/>
      <c r="G40" s="250"/>
      <c r="H40" s="238"/>
      <c r="I40" s="1268">
        <f>1600*$S$1</f>
        <v>1747.2</v>
      </c>
      <c r="J40" s="1268">
        <f>2190*$S$1</f>
        <v>2391.48</v>
      </c>
      <c r="K40" s="361">
        <v>0.79800000000000004</v>
      </c>
      <c r="L40" s="361">
        <f>(24.6+24.3+10.4)/100*20.2/100</f>
        <v>0.11978600000000002</v>
      </c>
      <c r="M40" s="361">
        <f>(32.6+3.8)/100*20.2/100</f>
        <v>7.3527999999999996E-2</v>
      </c>
      <c r="N40" s="361">
        <f>(0.3+3.3+0.7)/100*20.2/100</f>
        <v>8.6859999999999993E-3</v>
      </c>
      <c r="O40" s="362">
        <f t="shared" ref="O40" si="23">SUM(K40:N40)</f>
        <v>1.0000000000000002</v>
      </c>
      <c r="P40" s="238"/>
      <c r="Q40" s="616">
        <v>591.79999999999995</v>
      </c>
      <c r="R40" s="75"/>
      <c r="T40" s="75"/>
      <c r="U40" s="75"/>
      <c r="V40" s="75"/>
      <c r="W40" s="75"/>
      <c r="X40" s="75"/>
      <c r="Y40" s="75"/>
      <c r="Z40" s="75"/>
    </row>
    <row r="41" spans="1:26">
      <c r="A41" s="1308"/>
      <c r="B41" s="249" t="s">
        <v>1117</v>
      </c>
      <c r="C41" s="250"/>
      <c r="D41" s="250"/>
      <c r="E41" s="250" t="s">
        <v>205</v>
      </c>
      <c r="F41" s="250"/>
      <c r="G41" s="250"/>
      <c r="H41" s="238"/>
      <c r="I41" s="1268">
        <f>1480*$S$1</f>
        <v>1616.16</v>
      </c>
      <c r="J41" s="1268">
        <f>2010*$S$1</f>
        <v>2194.92</v>
      </c>
      <c r="K41" s="361">
        <v>0.76100000000000001</v>
      </c>
      <c r="L41" s="361">
        <f>(13.7+24+8.5)/100*23.9/100</f>
        <v>0.110418</v>
      </c>
      <c r="M41" s="361">
        <f>(32.9+14)/100*23.9/100</f>
        <v>0.112091</v>
      </c>
      <c r="N41" s="361">
        <f>(2.4+1.9+2.6+0)/100*23.9/100</f>
        <v>1.6490999999999999E-2</v>
      </c>
      <c r="O41" s="362">
        <f t="shared" ref="O41" si="24">SUM(K41:N41)</f>
        <v>1</v>
      </c>
      <c r="Q41" s="616">
        <v>465.79999999999995</v>
      </c>
      <c r="R41" s="75"/>
      <c r="T41" s="75"/>
      <c r="U41" s="75"/>
      <c r="V41" s="75"/>
      <c r="W41" s="75"/>
      <c r="X41" s="75"/>
      <c r="Y41" s="75"/>
      <c r="Z41" s="75"/>
    </row>
    <row r="42" spans="1:26">
      <c r="A42" s="1308"/>
      <c r="B42" s="249" t="s">
        <v>1118</v>
      </c>
      <c r="C42" s="250"/>
      <c r="D42" s="250"/>
      <c r="E42" s="250" t="s">
        <v>205</v>
      </c>
      <c r="F42" s="250"/>
      <c r="G42" s="250"/>
      <c r="H42" s="238"/>
      <c r="I42" s="1268">
        <f>1480*$S$1</f>
        <v>1616.16</v>
      </c>
      <c r="J42" s="1268">
        <f>2010*$S$1</f>
        <v>2194.92</v>
      </c>
      <c r="K42" s="361">
        <v>0.76100000000000001</v>
      </c>
      <c r="L42" s="361">
        <f>(13.7+24+8.5)/100*23.9/100</f>
        <v>0.110418</v>
      </c>
      <c r="M42" s="361">
        <f>(32.9+14)/100*23.9/100</f>
        <v>0.112091</v>
      </c>
      <c r="N42" s="361">
        <f>(2.4+1.9+2.6+0)/100*23.9/100</f>
        <v>1.6490999999999999E-2</v>
      </c>
      <c r="O42" s="362">
        <f t="shared" ref="O42" si="25">SUM(K42:N42)</f>
        <v>1</v>
      </c>
      <c r="Q42" s="616">
        <v>465.79999999999995</v>
      </c>
      <c r="R42" s="75"/>
      <c r="T42" s="75"/>
      <c r="U42" s="75"/>
      <c r="V42" s="75"/>
      <c r="W42" s="75"/>
      <c r="X42" s="75"/>
      <c r="Y42" s="75"/>
      <c r="Z42" s="75"/>
    </row>
    <row r="43" spans="1:26" ht="25.5">
      <c r="A43" s="1308"/>
      <c r="B43" s="249" t="s">
        <v>1124</v>
      </c>
      <c r="C43" s="250"/>
      <c r="D43" s="250"/>
      <c r="E43" s="250" t="s">
        <v>205</v>
      </c>
      <c r="F43" s="250" t="s">
        <v>205</v>
      </c>
      <c r="G43" s="250"/>
      <c r="H43" s="238"/>
      <c r="I43" s="1268">
        <f>1420*$S$1</f>
        <v>1550.64</v>
      </c>
      <c r="J43" s="1268">
        <f>2420*$S$1</f>
        <v>2642.6400000000003</v>
      </c>
      <c r="K43" s="361">
        <v>0.69669999999999999</v>
      </c>
      <c r="L43" s="361">
        <f>(28.2+9.1+14.4)/100*30.3/100</f>
        <v>0.15665099999999998</v>
      </c>
      <c r="M43" s="361">
        <f>(21.6+11.7)/100*30.3/100</f>
        <v>0.10089899999999999</v>
      </c>
      <c r="N43" s="361">
        <f>(3.9+10.9+0.3+0.1)/100*30.3/100</f>
        <v>4.6056000000000007E-2</v>
      </c>
      <c r="O43" s="362">
        <f t="shared" ref="O43" si="26">SUM(K43:N43)</f>
        <v>1.0003059999999999</v>
      </c>
      <c r="P43" s="238"/>
      <c r="Q43" s="616">
        <v>612.79999999999995</v>
      </c>
      <c r="R43" s="75"/>
      <c r="T43" s="75"/>
      <c r="U43" s="75"/>
      <c r="V43" s="75"/>
      <c r="W43" s="75"/>
      <c r="X43" s="75"/>
      <c r="Y43" s="75"/>
      <c r="Z43" s="75"/>
    </row>
    <row r="44" spans="1:26">
      <c r="A44" s="1308"/>
      <c r="B44" s="249" t="s">
        <v>1119</v>
      </c>
      <c r="C44" s="250"/>
      <c r="D44" s="250" t="s">
        <v>205</v>
      </c>
      <c r="E44" s="250" t="s">
        <v>205</v>
      </c>
      <c r="F44" s="250"/>
      <c r="G44" s="250"/>
      <c r="H44" s="238"/>
      <c r="I44" s="1268">
        <f>1130*$S$1</f>
        <v>1233.96</v>
      </c>
      <c r="J44" s="1268">
        <f>1580*$S$1</f>
        <v>1725.3600000000001</v>
      </c>
      <c r="K44" s="361">
        <v>0.70399999999999996</v>
      </c>
      <c r="L44" s="361">
        <f>(14.8+8.4+17)/100*29.6/100</f>
        <v>0.118992</v>
      </c>
      <c r="M44" s="361">
        <f>(33.1+12.5)/100*29.62/100</f>
        <v>0.13506720000000003</v>
      </c>
      <c r="N44" s="361">
        <f>(7.1+2.5+4.2+0.3)/100*29.6/100</f>
        <v>4.1736000000000002E-2</v>
      </c>
      <c r="O44" s="362">
        <f t="shared" ref="O44" si="27">SUM(K44:N44)</f>
        <v>0.9997952</v>
      </c>
      <c r="Q44" s="616">
        <v>138.20000000000005</v>
      </c>
      <c r="R44" s="75"/>
      <c r="T44" s="75"/>
      <c r="U44" s="75"/>
      <c r="V44" s="75"/>
      <c r="W44" s="75"/>
      <c r="X44" s="75"/>
      <c r="Y44" s="75"/>
      <c r="Z44" s="75"/>
    </row>
    <row r="45" spans="1:26" ht="25.5">
      <c r="A45" s="1308"/>
      <c r="B45" s="249" t="s">
        <v>1120</v>
      </c>
      <c r="C45" s="250"/>
      <c r="D45" s="250"/>
      <c r="E45" s="250" t="s">
        <v>205</v>
      </c>
      <c r="F45" s="250" t="s">
        <v>205</v>
      </c>
      <c r="G45" s="250"/>
      <c r="H45" s="238"/>
      <c r="I45" s="1268">
        <f>1620*$S$1</f>
        <v>1769.0400000000002</v>
      </c>
      <c r="J45" s="1268">
        <f>2300*$S$1</f>
        <v>2511.6000000000004</v>
      </c>
      <c r="K45" s="361">
        <v>0.70399999999999996</v>
      </c>
      <c r="L45" s="361">
        <f>(14.8+8.4+17)/100*29.6/100</f>
        <v>0.118992</v>
      </c>
      <c r="M45" s="361">
        <f>(33.1+12.5)/100*29.62/100</f>
        <v>0.13506720000000003</v>
      </c>
      <c r="N45" s="361">
        <f>(7.1+2.5+4.2+0.3)/100*29.6/100</f>
        <v>4.1736000000000002E-2</v>
      </c>
      <c r="O45" s="362">
        <f t="shared" ref="O45" si="28">SUM(K45:N45)</f>
        <v>0.9997952</v>
      </c>
      <c r="Q45" s="616">
        <v>646.40000000000009</v>
      </c>
    </row>
    <row r="46" spans="1:26">
      <c r="A46" s="1308"/>
      <c r="B46" s="249" t="s">
        <v>1121</v>
      </c>
      <c r="C46" s="250"/>
      <c r="D46" s="250"/>
      <c r="E46" s="250" t="s">
        <v>205</v>
      </c>
      <c r="F46" s="250"/>
      <c r="G46" s="250"/>
      <c r="H46" s="238"/>
      <c r="I46" s="1268">
        <f>1130*$S$1</f>
        <v>1233.96</v>
      </c>
      <c r="J46" s="1268">
        <f>1580*$S$1</f>
        <v>1725.3600000000001</v>
      </c>
      <c r="K46" s="361">
        <v>0.70399999999999996</v>
      </c>
      <c r="L46" s="361">
        <f>(14.8+8.4+17)/100*29.6/100</f>
        <v>0.118992</v>
      </c>
      <c r="M46" s="361">
        <f>(33.1+12.5)/100*29.62/100</f>
        <v>0.13506720000000003</v>
      </c>
      <c r="N46" s="361">
        <f>(7.1+2.5+4.2+0.3)/100*29.6/100</f>
        <v>4.1736000000000002E-2</v>
      </c>
      <c r="O46" s="362">
        <f t="shared" ref="O46" si="29">SUM(K46:N46)</f>
        <v>0.9997952</v>
      </c>
      <c r="Q46" s="616">
        <v>138.20000000000005</v>
      </c>
    </row>
    <row r="47" spans="1:26">
      <c r="A47" s="1308"/>
      <c r="B47" s="249" t="s">
        <v>1122</v>
      </c>
      <c r="C47" s="250"/>
      <c r="D47" s="250"/>
      <c r="E47" s="250"/>
      <c r="F47" s="250" t="s">
        <v>205</v>
      </c>
      <c r="G47" s="250"/>
      <c r="H47" s="238"/>
      <c r="I47" s="1268">
        <f>1620*$S$1</f>
        <v>1769.0400000000002</v>
      </c>
      <c r="J47" s="1268">
        <f>2300*$S$1</f>
        <v>2511.6000000000004</v>
      </c>
      <c r="K47" s="361">
        <v>0.70399999999999996</v>
      </c>
      <c r="L47" s="361">
        <f>(14.8+8.4+17)/100*29.6/100</f>
        <v>0.118992</v>
      </c>
      <c r="M47" s="361">
        <f>(33.1+12.5)/100*29.62/100</f>
        <v>0.13506720000000003</v>
      </c>
      <c r="N47" s="361">
        <f>(7.1+2.5+4.2+0.3)/100*29.6/100</f>
        <v>4.1736000000000002E-2</v>
      </c>
      <c r="O47" s="362">
        <f t="shared" ref="O47" si="30">SUM(K47:N47)</f>
        <v>0.9997952</v>
      </c>
      <c r="P47" s="238"/>
      <c r="Q47" s="616">
        <v>646.40000000000009</v>
      </c>
    </row>
    <row r="48" spans="1:26">
      <c r="A48" s="1308"/>
      <c r="B48" s="249" t="s">
        <v>1123</v>
      </c>
      <c r="C48" s="250"/>
      <c r="D48" s="250"/>
      <c r="E48" s="250"/>
      <c r="F48" s="250"/>
      <c r="G48" s="250" t="s">
        <v>205</v>
      </c>
      <c r="H48" s="238"/>
      <c r="I48" s="1268">
        <f>1990*$S$1</f>
        <v>2173.0800000000004</v>
      </c>
      <c r="J48" s="1268">
        <f>3480*$S$1</f>
        <v>3800.1600000000003</v>
      </c>
      <c r="K48" s="361">
        <v>0.61</v>
      </c>
      <c r="L48" s="361">
        <f>(7.1+11.3+39.4)/100*39.1/100</f>
        <v>0.22599799999999998</v>
      </c>
      <c r="M48" s="361">
        <f>(17.4+5.5)/100*39.1/100</f>
        <v>8.9538999999999994E-2</v>
      </c>
      <c r="N48" s="361">
        <f>(0.5+13.5+4.6+0.5)/100*39.1/100</f>
        <v>7.4681000000000011E-2</v>
      </c>
      <c r="O48" s="362">
        <f t="shared" ref="O48" si="31">SUM(K48:N48)</f>
        <v>1.0002180000000001</v>
      </c>
      <c r="Q48" s="616">
        <v>1297.3999999999996</v>
      </c>
    </row>
    <row r="49" spans="1:17" ht="15.75">
      <c r="B49" s="251" t="s">
        <v>655</v>
      </c>
      <c r="C49" s="252"/>
      <c r="D49" s="252"/>
      <c r="E49" s="252"/>
      <c r="F49" s="252"/>
      <c r="G49" s="252"/>
      <c r="H49" s="238"/>
      <c r="I49" s="1267">
        <f>AVERAGE(I50:I58)</f>
        <v>1285.1626666666666</v>
      </c>
      <c r="J49" s="1267">
        <f>AVERAGE(J50:J58)</f>
        <v>1991.8080000000004</v>
      </c>
      <c r="K49" s="364">
        <f>AVERAGE(K50:K58)</f>
        <v>0.76866666666666661</v>
      </c>
      <c r="L49" s="364">
        <f t="shared" ref="L49" si="32">AVERAGE(L50:L58)</f>
        <v>0.12836888888888889</v>
      </c>
      <c r="M49" s="364">
        <f t="shared" ref="M49" si="33">AVERAGE(M50:M58)</f>
        <v>6.9441888888888886E-2</v>
      </c>
      <c r="N49" s="364">
        <f t="shared" ref="N49" si="34">AVERAGE(N50:N58)</f>
        <v>3.3334999999999997E-2</v>
      </c>
      <c r="O49" s="362"/>
      <c r="P49" s="238"/>
      <c r="Q49" s="617">
        <f>AVERAGE(Q50:Q58)</f>
        <v>260.37333333333328</v>
      </c>
    </row>
    <row r="50" spans="1:17">
      <c r="A50" s="1308"/>
      <c r="B50" s="249" t="s">
        <v>1125</v>
      </c>
      <c r="C50" s="250"/>
      <c r="D50" s="250" t="s">
        <v>205</v>
      </c>
      <c r="E50" s="250"/>
      <c r="F50" s="250"/>
      <c r="G50" s="250"/>
      <c r="H50" s="238"/>
      <c r="I50" s="1268">
        <f>460*$S$1</f>
        <v>502.32000000000005</v>
      </c>
      <c r="J50" s="1268">
        <f>1180*$S$1</f>
        <v>1288.5600000000002</v>
      </c>
      <c r="K50" s="361">
        <v>0.85799999999999998</v>
      </c>
      <c r="L50" s="361">
        <f>(21.8+17.8+2.5)/100*14.2/100</f>
        <v>5.9782000000000002E-2</v>
      </c>
      <c r="M50" s="361">
        <f>(49.4+4.8)/100*14.2/100</f>
        <v>7.6963999999999991E-2</v>
      </c>
      <c r="N50" s="361">
        <f>(0.1+2.5+0.8)/100*14.2/100</f>
        <v>4.8279999999999998E-3</v>
      </c>
      <c r="O50" s="362">
        <f t="shared" ref="O50" si="35">SUM(K50:N50)</f>
        <v>0.99957400000000007</v>
      </c>
      <c r="Q50" s="616">
        <v>-311.20000000000005</v>
      </c>
    </row>
    <row r="51" spans="1:17">
      <c r="A51" s="1308"/>
      <c r="B51" s="249" t="s">
        <v>1126</v>
      </c>
      <c r="C51" s="250"/>
      <c r="D51" s="250"/>
      <c r="E51" s="250" t="s">
        <v>205</v>
      </c>
      <c r="F51" s="250"/>
      <c r="G51" s="250"/>
      <c r="H51" s="238"/>
      <c r="I51" s="1268">
        <f>950*$S$1</f>
        <v>1037.4000000000001</v>
      </c>
      <c r="J51" s="1268">
        <f>1420*$S$1</f>
        <v>1550.64</v>
      </c>
      <c r="K51" s="361">
        <v>0.78300000000000003</v>
      </c>
      <c r="L51" s="361">
        <f>(14.6+22.6+17.9)/100*21.7/100</f>
        <v>0.11956700000000002</v>
      </c>
      <c r="M51" s="361">
        <f>(30.8+2)/100*21.7/100</f>
        <v>7.1175999999999989E-2</v>
      </c>
      <c r="N51" s="361">
        <f>(12.1)/100*21.7/100</f>
        <v>2.6256999999999996E-2</v>
      </c>
      <c r="O51" s="362">
        <f t="shared" ref="O51" si="36">SUM(K51:N51)</f>
        <v>1</v>
      </c>
      <c r="P51" s="238"/>
      <c r="Q51" s="616">
        <v>-4.6000000000000227</v>
      </c>
    </row>
    <row r="52" spans="1:17">
      <c r="A52" s="1308"/>
      <c r="B52" s="249" t="s">
        <v>1127</v>
      </c>
      <c r="C52" s="250"/>
      <c r="D52" s="250"/>
      <c r="E52" s="250"/>
      <c r="F52" s="250" t="s">
        <v>205</v>
      </c>
      <c r="G52" s="250"/>
      <c r="H52" s="238"/>
      <c r="I52" s="1268">
        <f>1220*$S$1</f>
        <v>1332.24</v>
      </c>
      <c r="J52" s="1268">
        <f>2200*$S$1</f>
        <v>2402.4</v>
      </c>
      <c r="K52" s="361">
        <v>0.78800000000000003</v>
      </c>
      <c r="L52" s="361">
        <f>(26.4+32.5+1.4)/100*21.2/100</f>
        <v>0.12783600000000001</v>
      </c>
      <c r="M52" s="361">
        <f>(22.2+4.2)/100*21.2/100</f>
        <v>5.5967999999999997E-2</v>
      </c>
      <c r="N52" s="361">
        <f>(13.3)/100*21.2/100</f>
        <v>2.8195999999999999E-2</v>
      </c>
      <c r="O52" s="362">
        <f t="shared" ref="O52" si="37">SUM(K52:N52)</f>
        <v>1</v>
      </c>
      <c r="P52" s="238"/>
      <c r="Q52" s="616">
        <v>436.40000000000009</v>
      </c>
    </row>
    <row r="53" spans="1:17">
      <c r="A53" s="1308"/>
      <c r="B53" s="249" t="s">
        <v>1128</v>
      </c>
      <c r="C53" s="250"/>
      <c r="D53" s="250"/>
      <c r="E53" s="250" t="s">
        <v>205</v>
      </c>
      <c r="F53" s="250" t="s">
        <v>205</v>
      </c>
      <c r="G53" s="250"/>
      <c r="H53" s="238"/>
      <c r="I53" s="1268">
        <f>1950*$S$1</f>
        <v>2129.4</v>
      </c>
      <c r="J53" s="1268">
        <f>2980*$S$1</f>
        <v>3254.1600000000003</v>
      </c>
      <c r="K53" s="361">
        <v>0.72199999999999998</v>
      </c>
      <c r="L53" s="361">
        <f>(14.9+17.4+24.7)/100*27.9/100</f>
        <v>0.15902999999999998</v>
      </c>
      <c r="M53" s="361">
        <f>(24.2+2.5)/100*27.92/100</f>
        <v>7.4546400000000013E-2</v>
      </c>
      <c r="N53" s="361">
        <f>(2.2+12.8+0.8)/100*27.9/100</f>
        <v>4.4081999999999996E-2</v>
      </c>
      <c r="O53" s="362">
        <f t="shared" ref="O53" si="38">SUM(K53:N53)</f>
        <v>0.99965839999999995</v>
      </c>
      <c r="P53" s="238"/>
      <c r="Q53" s="616">
        <v>1070.5999999999999</v>
      </c>
    </row>
    <row r="54" spans="1:17">
      <c r="A54" s="1308"/>
      <c r="B54" s="249" t="s">
        <v>1129</v>
      </c>
      <c r="C54" s="250"/>
      <c r="D54" s="250"/>
      <c r="E54" s="250"/>
      <c r="F54" s="250" t="s">
        <v>205</v>
      </c>
      <c r="G54" s="250"/>
      <c r="H54" s="238"/>
      <c r="I54" s="1268">
        <f>1950*$S$1</f>
        <v>2129.4</v>
      </c>
      <c r="J54" s="1268">
        <f>2980*$S$1</f>
        <v>3254.1600000000003</v>
      </c>
      <c r="K54" s="361">
        <v>0.64600000000000002</v>
      </c>
      <c r="L54" s="361">
        <f>(14.9+17.4+24.7)/100*27.9/100</f>
        <v>0.15902999999999998</v>
      </c>
      <c r="M54" s="361">
        <f>(24.2+2.5)/100*27.92/100</f>
        <v>7.4546400000000013E-2</v>
      </c>
      <c r="N54" s="361">
        <v>0.12</v>
      </c>
      <c r="O54" s="362">
        <f t="shared" ref="O54" si="39">SUM(K54:N54)</f>
        <v>0.99957640000000003</v>
      </c>
      <c r="Q54" s="616">
        <v>1070.5999999999999</v>
      </c>
    </row>
    <row r="55" spans="1:17" ht="25.5">
      <c r="A55" s="1308"/>
      <c r="B55" s="249" t="s">
        <v>1130</v>
      </c>
      <c r="C55" s="250" t="s">
        <v>205</v>
      </c>
      <c r="D55" s="250"/>
      <c r="E55" s="250"/>
      <c r="F55" s="250"/>
      <c r="G55" s="250"/>
      <c r="I55" s="1268">
        <f>820*$S$1*0.6</f>
        <v>537.26400000000001</v>
      </c>
      <c r="J55" s="1268">
        <f>1110*$S$1*0.6</f>
        <v>727.27200000000005</v>
      </c>
      <c r="K55" s="361">
        <v>0.81</v>
      </c>
      <c r="L55" s="361">
        <f>(37.6+32+4.8)/100*19.1/100</f>
        <v>0.14210399999999998</v>
      </c>
      <c r="M55" s="361">
        <f>(21.7+3.3)/100*19.1/100</f>
        <v>4.7750000000000001E-2</v>
      </c>
      <c r="N55" s="361">
        <v>0</v>
      </c>
      <c r="O55" s="362">
        <f t="shared" ref="O55" si="40">SUM(K55:N55)</f>
        <v>0.99985400000000002</v>
      </c>
      <c r="Q55" s="616">
        <v>-513.6400000000001</v>
      </c>
    </row>
    <row r="56" spans="1:17">
      <c r="A56" s="1308"/>
      <c r="B56" s="249" t="s">
        <v>1131</v>
      </c>
      <c r="C56" s="250"/>
      <c r="D56" s="250" t="s">
        <v>205</v>
      </c>
      <c r="E56" s="250"/>
      <c r="F56" s="250"/>
      <c r="G56" s="250"/>
      <c r="H56" s="238"/>
      <c r="I56" s="1268">
        <f>820*$S$1</f>
        <v>895.44</v>
      </c>
      <c r="J56" s="1268">
        <f>1110*$S$1</f>
        <v>1212.1200000000001</v>
      </c>
      <c r="K56" s="361">
        <v>0.81</v>
      </c>
      <c r="L56" s="361">
        <f>(37.6+32+4.8)/100*19.1/100</f>
        <v>0.14210399999999998</v>
      </c>
      <c r="M56" s="361">
        <f>(21.7+3.3)/100*19.1/100</f>
        <v>4.7750000000000001E-2</v>
      </c>
      <c r="N56" s="361">
        <v>0</v>
      </c>
      <c r="O56" s="362">
        <f t="shared" ref="O56" si="41">SUM(K56:N56)</f>
        <v>0.99985400000000002</v>
      </c>
      <c r="Q56" s="616">
        <v>-189.40000000000009</v>
      </c>
    </row>
    <row r="57" spans="1:17">
      <c r="A57" s="1308"/>
      <c r="B57" s="249" t="s">
        <v>1132</v>
      </c>
      <c r="C57" s="250"/>
      <c r="D57" s="250"/>
      <c r="E57" s="250" t="s">
        <v>205</v>
      </c>
      <c r="F57" s="250"/>
      <c r="G57" s="250"/>
      <c r="H57" s="238"/>
      <c r="I57" s="1268">
        <f>1130*$S$1</f>
        <v>1233.96</v>
      </c>
      <c r="J57" s="1268">
        <f>1580*$S$1</f>
        <v>1725.3600000000001</v>
      </c>
      <c r="K57" s="361">
        <v>0.79700000000000004</v>
      </c>
      <c r="L57" s="361">
        <f>(33+24.5+5)/100*20.3/100</f>
        <v>0.12687499999999999</v>
      </c>
      <c r="M57" s="361">
        <f>(15.8+4.5)/100*20.3/100</f>
        <v>4.120900000000001E-2</v>
      </c>
      <c r="N57" s="361">
        <f>(17.2)/100*20.3/100</f>
        <v>3.4916000000000003E-2</v>
      </c>
      <c r="O57" s="362">
        <f t="shared" ref="O57" si="42">SUM(K57:N57)</f>
        <v>1</v>
      </c>
      <c r="Q57" s="616">
        <v>138.20000000000005</v>
      </c>
    </row>
    <row r="58" spans="1:17">
      <c r="A58" s="1308"/>
      <c r="B58" s="249" t="s">
        <v>1133</v>
      </c>
      <c r="C58" s="250"/>
      <c r="D58" s="250"/>
      <c r="E58" s="250"/>
      <c r="F58" s="250" t="s">
        <v>205</v>
      </c>
      <c r="G58" s="250"/>
      <c r="H58" s="238"/>
      <c r="I58" s="1268">
        <f>1620*$S$1</f>
        <v>1769.0400000000002</v>
      </c>
      <c r="J58" s="1268">
        <f>2300*$S$1</f>
        <v>2511.6000000000004</v>
      </c>
      <c r="K58" s="361">
        <v>0.70399999999999996</v>
      </c>
      <c r="L58" s="361">
        <f>(14.8+8.4+17)/100*29.6/100</f>
        <v>0.118992</v>
      </c>
      <c r="M58" s="361">
        <f>(33.1+12.5)/100*29.62/100</f>
        <v>0.13506720000000003</v>
      </c>
      <c r="N58" s="361">
        <f>(7.1+2.5+4.2+0.3)/100*29.6/100</f>
        <v>4.1736000000000002E-2</v>
      </c>
      <c r="O58" s="362">
        <f t="shared" ref="O58" si="43">SUM(K58:N58)</f>
        <v>0.9997952</v>
      </c>
      <c r="Q58" s="616">
        <v>646.40000000000009</v>
      </c>
    </row>
    <row r="59" spans="1:17" ht="15.75">
      <c r="B59" s="251" t="s">
        <v>659</v>
      </c>
      <c r="C59" s="250"/>
      <c r="D59" s="250"/>
      <c r="E59" s="250"/>
      <c r="F59" s="250"/>
      <c r="G59" s="250"/>
      <c r="H59" s="238"/>
      <c r="I59" s="1267">
        <f>AVERAGE(I60:I65)</f>
        <v>1385.0200000000002</v>
      </c>
      <c r="J59" s="1267">
        <f>AVERAGE(J60:J65)</f>
        <v>2076.6200000000003</v>
      </c>
      <c r="K59" s="364">
        <f>AVERAGE(K60:K65)</f>
        <v>0.81166666666666654</v>
      </c>
      <c r="L59" s="364">
        <f t="shared" ref="L59:N59" si="44">AVERAGE(L60:L65)</f>
        <v>0.10618283333333334</v>
      </c>
      <c r="M59" s="364">
        <f t="shared" si="44"/>
        <v>6.1093166666666671E-2</v>
      </c>
      <c r="N59" s="364">
        <f t="shared" si="44"/>
        <v>2.1093833333333329E-2</v>
      </c>
      <c r="O59" s="362"/>
      <c r="P59" s="238"/>
      <c r="Q59" s="617">
        <f>AVERAGE(Q60:Q65)</f>
        <v>331.4</v>
      </c>
    </row>
    <row r="60" spans="1:17">
      <c r="A60" s="1308"/>
      <c r="B60" s="249" t="s">
        <v>1134</v>
      </c>
      <c r="C60" s="250"/>
      <c r="D60" s="250" t="s">
        <v>205</v>
      </c>
      <c r="E60" s="250"/>
      <c r="F60" s="250"/>
      <c r="G60" s="250"/>
      <c r="H60" s="238"/>
      <c r="I60" s="1268">
        <f>410*$S$1</f>
        <v>447.72</v>
      </c>
      <c r="J60" s="1268">
        <f>710*$S$1</f>
        <v>775.32</v>
      </c>
      <c r="K60" s="361">
        <v>0.95499999999999996</v>
      </c>
      <c r="L60" s="361">
        <f>(38.7+4.1+0.2)/100*5.1/100</f>
        <v>2.1930000000000002E-2</v>
      </c>
      <c r="M60" s="361">
        <f>(44.8+0.3)/100*5.1/100</f>
        <v>2.3000999999999997E-2</v>
      </c>
      <c r="N60" s="361">
        <v>0</v>
      </c>
      <c r="O60" s="362">
        <f t="shared" ref="O60" si="45">SUM(K60:N60)</f>
        <v>0.99993100000000001</v>
      </c>
      <c r="Q60" s="616">
        <v>-529.6</v>
      </c>
    </row>
    <row r="61" spans="1:17">
      <c r="A61" s="1308"/>
      <c r="B61" s="249" t="s">
        <v>1135</v>
      </c>
      <c r="C61" s="250"/>
      <c r="D61" s="250" t="s">
        <v>205</v>
      </c>
      <c r="E61" s="250"/>
      <c r="F61" s="250"/>
      <c r="G61" s="250"/>
      <c r="I61" s="1268">
        <f>410*$S$1</f>
        <v>447.72</v>
      </c>
      <c r="J61" s="1268">
        <f>710*$S$1</f>
        <v>775.32</v>
      </c>
      <c r="K61" s="361">
        <v>0.95499999999999996</v>
      </c>
      <c r="L61" s="361">
        <f>(38.7+4.1+0.2)/100*5.1/100</f>
        <v>2.1930000000000002E-2</v>
      </c>
      <c r="M61" s="361">
        <f>(44.8+0.3)/100*5.1/100</f>
        <v>2.3000999999999997E-2</v>
      </c>
      <c r="N61" s="361">
        <v>0</v>
      </c>
      <c r="O61" s="362">
        <f t="shared" ref="O61" si="46">SUM(K61:N61)</f>
        <v>0.99993100000000001</v>
      </c>
      <c r="Q61" s="616">
        <v>-529.6</v>
      </c>
    </row>
    <row r="62" spans="1:17">
      <c r="A62" s="1308"/>
      <c r="B62" s="249" t="s">
        <v>1136</v>
      </c>
      <c r="C62" s="250"/>
      <c r="D62" s="250"/>
      <c r="E62" s="250" t="s">
        <v>205</v>
      </c>
      <c r="F62" s="250" t="s">
        <v>205</v>
      </c>
      <c r="G62" s="250"/>
      <c r="I62" s="1268">
        <f>1650*$S$1</f>
        <v>1801.8000000000002</v>
      </c>
      <c r="J62" s="1268">
        <f>2370*$S$1</f>
        <v>2588.0400000000004</v>
      </c>
      <c r="K62" s="361">
        <v>0.78</v>
      </c>
      <c r="L62" s="361">
        <f>(22.3+25.8+6.1)/100*22/100</f>
        <v>0.11924000000000001</v>
      </c>
      <c r="M62" s="361">
        <f>(40.2+5.5)/100*22/100</f>
        <v>0.10054</v>
      </c>
      <c r="N62" s="361">
        <f>(0.1)/100*22/100</f>
        <v>2.1999999999999998E-4</v>
      </c>
      <c r="O62" s="362">
        <f t="shared" ref="O62" si="47">SUM(K62:N62)</f>
        <v>1</v>
      </c>
      <c r="Q62" s="616">
        <v>688.40000000000009</v>
      </c>
    </row>
    <row r="63" spans="1:17">
      <c r="A63" s="1308"/>
      <c r="B63" s="249" t="s">
        <v>1137</v>
      </c>
      <c r="C63" s="250"/>
      <c r="D63" s="250"/>
      <c r="E63" s="250"/>
      <c r="F63" s="250" t="s">
        <v>205</v>
      </c>
      <c r="G63" s="250" t="s">
        <v>205</v>
      </c>
      <c r="I63" s="1268">
        <f>1500*$S$1</f>
        <v>1638.0000000000002</v>
      </c>
      <c r="J63" s="1268">
        <f>2050*$S$1</f>
        <v>2238.6000000000004</v>
      </c>
      <c r="K63" s="361">
        <v>0.76600000000000001</v>
      </c>
      <c r="L63" s="361">
        <f>(26.6+18.5+13.4)/100*23.4/100</f>
        <v>0.13688999999999998</v>
      </c>
      <c r="M63" s="361">
        <f>(36.7+3.2)/100*23.4/100</f>
        <v>9.3366000000000005E-2</v>
      </c>
      <c r="N63" s="361">
        <f>(0.1+1.6)/100*23.4/100</f>
        <v>3.9779999999999998E-3</v>
      </c>
      <c r="O63" s="362">
        <f t="shared" ref="O63" si="48">SUM(K63:N63)</f>
        <v>1.0002340000000001</v>
      </c>
      <c r="Q63" s="616">
        <v>491</v>
      </c>
    </row>
    <row r="64" spans="1:17">
      <c r="A64" s="1308"/>
      <c r="B64" s="249" t="s">
        <v>1138</v>
      </c>
      <c r="C64" s="250"/>
      <c r="D64" s="250"/>
      <c r="E64" s="250"/>
      <c r="F64" s="250" t="s">
        <v>205</v>
      </c>
      <c r="G64" s="250" t="s">
        <v>205</v>
      </c>
      <c r="I64" s="1268">
        <f>1320*$S$1</f>
        <v>1441.44</v>
      </c>
      <c r="J64" s="1268">
        <f>2180*$S$1</f>
        <v>2380.5600000000004</v>
      </c>
      <c r="K64" s="361">
        <v>0.78200000000000003</v>
      </c>
      <c r="L64" s="361">
        <f>(23.4+29.5+17.4)/100*21.9/100</f>
        <v>0.15395699999999998</v>
      </c>
      <c r="M64" s="361">
        <f>(22.2+3.7)/100*21.9/100</f>
        <v>5.6720999999999994E-2</v>
      </c>
      <c r="N64" s="361">
        <f>(1.8+0.4+0.8+0.5)/100*21.9/100</f>
        <v>7.6650000000000008E-3</v>
      </c>
      <c r="O64" s="362">
        <f t="shared" ref="O64" si="49">SUM(K64:N64)</f>
        <v>1.000343</v>
      </c>
      <c r="Q64" s="616">
        <v>470</v>
      </c>
    </row>
    <row r="65" spans="1:17">
      <c r="A65" s="1308"/>
      <c r="B65" s="249" t="s">
        <v>1139</v>
      </c>
      <c r="C65" s="250"/>
      <c r="D65" s="250"/>
      <c r="E65" s="250"/>
      <c r="F65" s="250" t="s">
        <v>205</v>
      </c>
      <c r="G65" s="250" t="s">
        <v>205</v>
      </c>
      <c r="I65" s="1268">
        <f>2320*$S$1</f>
        <v>2533.44</v>
      </c>
      <c r="J65" s="1268">
        <f>3390*$S$1</f>
        <v>3701.88</v>
      </c>
      <c r="K65" s="361">
        <v>0.63200000000000001</v>
      </c>
      <c r="L65" s="361">
        <f>(14.8+17.1+17.6)/100*37/100</f>
        <v>0.18315000000000001</v>
      </c>
      <c r="M65" s="361">
        <f>(17.2+1.7)/100*37/100</f>
        <v>6.9929999999999992E-2</v>
      </c>
      <c r="N65" s="361">
        <f>(0.4+27.7+2.9)/100*37/100</f>
        <v>0.11469999999999997</v>
      </c>
      <c r="O65" s="362">
        <f t="shared" ref="O65" si="50">SUM(K65:N65)</f>
        <v>0.99978000000000011</v>
      </c>
      <c r="Q65" s="616">
        <v>1398.1999999999998</v>
      </c>
    </row>
    <row r="66" spans="1:17" ht="15.75">
      <c r="B66" s="251" t="s">
        <v>658</v>
      </c>
      <c r="C66" s="252"/>
      <c r="D66" s="252"/>
      <c r="E66" s="252"/>
      <c r="F66" s="252"/>
      <c r="G66" s="252"/>
      <c r="I66" s="1267">
        <f>AVERAGE(I67:I75)</f>
        <v>925.7733333333332</v>
      </c>
      <c r="J66" s="1267">
        <f>AVERAGE(J67:J75)</f>
        <v>1594.3200000000002</v>
      </c>
      <c r="K66" s="364">
        <f>AVERAGE(K67:K75)</f>
        <v>0.7949222222222222</v>
      </c>
      <c r="L66" s="364">
        <f t="shared" ref="L66:N66" si="51">AVERAGE(L67:L75)</f>
        <v>9.3176444444444451E-2</v>
      </c>
      <c r="M66" s="364">
        <f t="shared" si="51"/>
        <v>6.8431888888888889E-2</v>
      </c>
      <c r="N66" s="364">
        <f t="shared" si="51"/>
        <v>4.3552444444444449E-2</v>
      </c>
      <c r="O66" s="362"/>
      <c r="Q66" s="617">
        <f>AVERAGE(Q67:Q75)</f>
        <v>-30.733333333333324</v>
      </c>
    </row>
    <row r="67" spans="1:17">
      <c r="A67" s="1308"/>
      <c r="B67" s="249" t="s">
        <v>1140</v>
      </c>
      <c r="C67" s="250" t="s">
        <v>205</v>
      </c>
      <c r="D67" s="250"/>
      <c r="E67" s="250"/>
      <c r="F67" s="250"/>
      <c r="G67" s="250"/>
      <c r="I67" s="1268">
        <f>410*$S$1</f>
        <v>447.72</v>
      </c>
      <c r="J67" s="1268">
        <f>710*$S$1</f>
        <v>775.32</v>
      </c>
      <c r="K67" s="361">
        <v>0.95499999999999996</v>
      </c>
      <c r="L67" s="361">
        <f>(38.7+4.1+0.2)/100*5.1/100</f>
        <v>2.1930000000000002E-2</v>
      </c>
      <c r="M67" s="361">
        <f>(44.8+0.3)/100*5.1/100</f>
        <v>2.3000999999999997E-2</v>
      </c>
      <c r="N67" s="361">
        <v>0</v>
      </c>
      <c r="O67" s="362">
        <f t="shared" ref="O67" si="52">SUM(K67:N67)</f>
        <v>0.99993100000000001</v>
      </c>
      <c r="Q67" s="616">
        <v>-529.6</v>
      </c>
    </row>
    <row r="68" spans="1:17">
      <c r="A68" s="1308"/>
      <c r="B68" s="249" t="s">
        <v>1141</v>
      </c>
      <c r="C68" s="250"/>
      <c r="D68" s="250" t="s">
        <v>205</v>
      </c>
      <c r="E68" s="250" t="s">
        <v>205</v>
      </c>
      <c r="F68" s="250" t="s">
        <v>205</v>
      </c>
      <c r="G68" s="250"/>
      <c r="I68" s="1268">
        <f>800*$S$1</f>
        <v>873.6</v>
      </c>
      <c r="J68" s="1268">
        <f>1230*$S$1</f>
        <v>1343.16</v>
      </c>
      <c r="K68" s="361">
        <v>0.78500000000000003</v>
      </c>
      <c r="L68" s="361">
        <f>(16.8+14.7+18.2)/100*21.6/100</f>
        <v>0.10735200000000003</v>
      </c>
      <c r="M68" s="361">
        <f>(21.9+3.3)/100*21.6/100</f>
        <v>5.4432000000000001E-2</v>
      </c>
      <c r="N68" s="361">
        <f>(17.9+4.1+2.7+0.1)/100*21.6/100</f>
        <v>5.3568000000000005E-2</v>
      </c>
      <c r="O68" s="362">
        <f t="shared" ref="O68" si="53">SUM(K68:N68)</f>
        <v>1.0003520000000001</v>
      </c>
      <c r="Q68" s="616">
        <v>-147.39999999999998</v>
      </c>
    </row>
    <row r="69" spans="1:17">
      <c r="A69" s="1308"/>
      <c r="B69" s="249" t="s">
        <v>1142</v>
      </c>
      <c r="C69" s="250"/>
      <c r="D69" s="250" t="s">
        <v>205</v>
      </c>
      <c r="E69" s="250"/>
      <c r="F69" s="250"/>
      <c r="G69" s="250"/>
      <c r="I69" s="1268">
        <f>800*$S$1</f>
        <v>873.6</v>
      </c>
      <c r="J69" s="1268">
        <f>1230*$S$1</f>
        <v>1343.16</v>
      </c>
      <c r="K69" s="361">
        <v>0.78500000000000003</v>
      </c>
      <c r="L69" s="361">
        <f>(16.8+14.7+18.2)/100*21.6/100</f>
        <v>0.10735200000000003</v>
      </c>
      <c r="M69" s="361">
        <f>(21.9+3.3)/100*21.6/100</f>
        <v>5.4432000000000001E-2</v>
      </c>
      <c r="N69" s="361">
        <f>(17.9+4.1+2.7+0.1)/100*21.6/100</f>
        <v>5.3568000000000005E-2</v>
      </c>
      <c r="O69" s="362">
        <f t="shared" ref="O69" si="54">SUM(K69:N69)</f>
        <v>1.0003520000000001</v>
      </c>
      <c r="Q69" s="616">
        <v>-147.39999999999998</v>
      </c>
    </row>
    <row r="70" spans="1:17">
      <c r="A70" s="1308"/>
      <c r="B70" s="249" t="s">
        <v>1143</v>
      </c>
      <c r="C70" s="250"/>
      <c r="D70" s="250"/>
      <c r="E70" s="250" t="s">
        <v>205</v>
      </c>
      <c r="F70" s="250" t="s">
        <v>205</v>
      </c>
      <c r="G70" s="250"/>
      <c r="H70" s="238"/>
      <c r="I70" s="1268">
        <f>1060*$S$1</f>
        <v>1157.52</v>
      </c>
      <c r="J70" s="1268">
        <f>2050*$S$1</f>
        <v>2238.6000000000004</v>
      </c>
      <c r="K70" s="361">
        <v>0.78300000000000003</v>
      </c>
      <c r="L70" s="361">
        <f>(11.9+18.7+16.4)/100*21.7/100</f>
        <v>0.10199</v>
      </c>
      <c r="M70" s="361">
        <f>(28.1+4.1)/100*21.7/100</f>
        <v>6.9874000000000006E-2</v>
      </c>
      <c r="N70" s="361">
        <f>(16.3+3.3+1.2)/100*21.7/100</f>
        <v>4.5136000000000003E-2</v>
      </c>
      <c r="O70" s="362">
        <f t="shared" ref="O70" si="55">SUM(K70:N70)</f>
        <v>1</v>
      </c>
      <c r="Q70" s="616">
        <v>306.20000000000005</v>
      </c>
    </row>
    <row r="71" spans="1:17">
      <c r="A71" s="1308"/>
      <c r="B71" s="249" t="s">
        <v>1144</v>
      </c>
      <c r="C71" s="250"/>
      <c r="D71" s="250" t="s">
        <v>205</v>
      </c>
      <c r="E71" s="250"/>
      <c r="F71" s="250"/>
      <c r="G71" s="250"/>
      <c r="I71" s="1268">
        <f>800*$S$1</f>
        <v>873.6</v>
      </c>
      <c r="J71" s="1268">
        <f>1230*$S$1</f>
        <v>1343.16</v>
      </c>
      <c r="K71" s="361">
        <v>0.78500000000000003</v>
      </c>
      <c r="L71" s="361">
        <f>(16.8+14.7+18.2)/100*21.6/100</f>
        <v>0.10735200000000003</v>
      </c>
      <c r="M71" s="361">
        <f>(21.9+3.3)/100*21.6/100</f>
        <v>5.4432000000000001E-2</v>
      </c>
      <c r="N71" s="361">
        <f>(17.9+4.1+2.7+0.1)/100*21.6/100</f>
        <v>5.3568000000000005E-2</v>
      </c>
      <c r="O71" s="362">
        <f t="shared" ref="O71" si="56">SUM(K71:N71)</f>
        <v>1.0003520000000001</v>
      </c>
      <c r="Q71" s="616">
        <v>-147.39999999999998</v>
      </c>
    </row>
    <row r="72" spans="1:17">
      <c r="A72" s="1308"/>
      <c r="B72" s="249" t="s">
        <v>1145</v>
      </c>
      <c r="C72" s="250"/>
      <c r="D72" s="250"/>
      <c r="E72" s="250" t="s">
        <v>205</v>
      </c>
      <c r="F72" s="250"/>
      <c r="G72" s="250"/>
      <c r="I72" s="1268">
        <f>460*$S$1</f>
        <v>502.32000000000005</v>
      </c>
      <c r="J72" s="1268">
        <f>1180*$S$1</f>
        <v>1288.5600000000002</v>
      </c>
      <c r="K72" s="361">
        <v>0.85799999999999998</v>
      </c>
      <c r="L72" s="361">
        <f>(21.8+17.8+2.5)/100*14.2/100</f>
        <v>5.9782000000000002E-2</v>
      </c>
      <c r="M72" s="361">
        <f>(49.4+4.8)/100*14.2/100</f>
        <v>7.6963999999999991E-2</v>
      </c>
      <c r="N72" s="361">
        <f>(0.1+2.5+0.8)/100*14.2/100</f>
        <v>4.8279999999999998E-3</v>
      </c>
      <c r="O72" s="362">
        <f t="shared" ref="O72" si="57">SUM(K72:N72)</f>
        <v>0.99957400000000007</v>
      </c>
      <c r="Q72" s="616">
        <v>-311.20000000000005</v>
      </c>
    </row>
    <row r="73" spans="1:17">
      <c r="A73" s="1308"/>
      <c r="B73" s="249" t="s">
        <v>1146</v>
      </c>
      <c r="C73" s="250"/>
      <c r="D73" s="250" t="s">
        <v>205</v>
      </c>
      <c r="E73" s="250" t="s">
        <v>205</v>
      </c>
      <c r="F73" s="250" t="s">
        <v>205</v>
      </c>
      <c r="G73" s="250"/>
      <c r="I73" s="1268">
        <f>1060*$S$1</f>
        <v>1157.52</v>
      </c>
      <c r="J73" s="1268">
        <f>2050*$S$1</f>
        <v>2238.6000000000004</v>
      </c>
      <c r="K73" s="361">
        <v>0.78300000000000003</v>
      </c>
      <c r="L73" s="361">
        <f>(11.9+18.7+16.4)/100*21.7/100</f>
        <v>0.10199</v>
      </c>
      <c r="M73" s="361">
        <f>(28.1+4.1)/100*21.7/100</f>
        <v>6.9874000000000006E-2</v>
      </c>
      <c r="N73" s="361">
        <f>(16.3+3.3+1.2)/100*21.7/100</f>
        <v>4.5136000000000003E-2</v>
      </c>
      <c r="O73" s="362">
        <f t="shared" ref="O73" si="58">SUM(K73:N73)</f>
        <v>1</v>
      </c>
      <c r="Q73" s="616">
        <v>306.20000000000005</v>
      </c>
    </row>
    <row r="74" spans="1:17">
      <c r="A74" s="1308"/>
      <c r="B74" s="249" t="s">
        <v>1147</v>
      </c>
      <c r="C74" s="250"/>
      <c r="D74" s="250"/>
      <c r="E74" s="250" t="s">
        <v>205</v>
      </c>
      <c r="F74" s="250" t="s">
        <v>205</v>
      </c>
      <c r="G74" s="250" t="s">
        <v>205</v>
      </c>
      <c r="I74" s="1268">
        <f>1220*$S$1</f>
        <v>1332.24</v>
      </c>
      <c r="J74" s="1268">
        <f>1660*$S$1</f>
        <v>1812.72</v>
      </c>
      <c r="K74" s="361">
        <v>0.69230000000000003</v>
      </c>
      <c r="L74" s="361">
        <f>(17.8+22.2+5.6)/100*30.7/100</f>
        <v>0.13999200000000001</v>
      </c>
      <c r="M74" s="361">
        <f>(35.2+2.6)/100*30.7/100</f>
        <v>0.11604600000000001</v>
      </c>
      <c r="N74" s="361">
        <f>(1.9+14.9)/100*30.7/100</f>
        <v>5.1576000000000004E-2</v>
      </c>
      <c r="O74" s="362">
        <f t="shared" ref="O74" si="59">SUM(K74:N74)</f>
        <v>0.99991399999999997</v>
      </c>
      <c r="Q74" s="616">
        <v>209.59999999999991</v>
      </c>
    </row>
    <row r="75" spans="1:17">
      <c r="A75" s="1308"/>
      <c r="B75" s="249" t="s">
        <v>1148</v>
      </c>
      <c r="C75" s="250"/>
      <c r="D75" s="250"/>
      <c r="E75" s="250" t="s">
        <v>205</v>
      </c>
      <c r="F75" s="250" t="s">
        <v>205</v>
      </c>
      <c r="G75" s="250" t="s">
        <v>205</v>
      </c>
      <c r="I75" s="1268">
        <f>1020*$S$1</f>
        <v>1113.8400000000001</v>
      </c>
      <c r="J75" s="1268">
        <f>1800*$S$1</f>
        <v>1965.6000000000001</v>
      </c>
      <c r="K75" s="361">
        <v>0.72799999999999998</v>
      </c>
      <c r="L75" s="361">
        <f>(7.4+9.4+16.6)/100*27.2/100</f>
        <v>9.0848000000000012E-2</v>
      </c>
      <c r="M75" s="361">
        <f>(31.9+3.7)/100*27.2/100</f>
        <v>9.6832000000000015E-2</v>
      </c>
      <c r="N75" s="361">
        <f>(7.3+19.8+3.5+0.5)/100*27.2/100</f>
        <v>8.4591999999999987E-2</v>
      </c>
      <c r="O75" s="362">
        <f t="shared" ref="O75" si="60">SUM(K75:N75)</f>
        <v>1.000272</v>
      </c>
      <c r="Q75" s="616">
        <v>184.40000000000009</v>
      </c>
    </row>
    <row r="76" spans="1:17" ht="15.75">
      <c r="B76" s="251" t="s">
        <v>657</v>
      </c>
      <c r="C76" s="252"/>
      <c r="D76" s="252"/>
      <c r="E76" s="252"/>
      <c r="F76" s="252"/>
      <c r="G76" s="252"/>
      <c r="I76" s="1267">
        <f>AVERAGE(I77:I82)</f>
        <v>882.33600000000001</v>
      </c>
      <c r="J76" s="1267">
        <f>AVERAGE(J77:J82)</f>
        <v>1450.1760000000002</v>
      </c>
      <c r="K76" s="364">
        <f>AVERAGE(K77:K82)</f>
        <v>0.86799999999999999</v>
      </c>
      <c r="L76" s="364">
        <f t="shared" ref="L76" si="61">AVERAGE(L77:L82)</f>
        <v>7.9954799999999993E-2</v>
      </c>
      <c r="M76" s="364">
        <f t="shared" ref="M76" si="62">AVERAGE(M77:M82)</f>
        <v>3.6718799999999996E-2</v>
      </c>
      <c r="N76" s="364">
        <f t="shared" ref="N76" si="63">AVERAGE(N77:N82)</f>
        <v>1.5296399999999998E-2</v>
      </c>
      <c r="O76" s="362"/>
      <c r="Q76" s="617">
        <f>AVERAGE(Q77:Q81)</f>
        <v>-102.88000000000002</v>
      </c>
    </row>
    <row r="77" spans="1:17">
      <c r="A77" s="1308"/>
      <c r="B77" s="249" t="s">
        <v>1149</v>
      </c>
      <c r="C77" s="250" t="s">
        <v>205</v>
      </c>
      <c r="D77" s="250"/>
      <c r="E77" s="250"/>
      <c r="F77" s="250"/>
      <c r="G77" s="250"/>
      <c r="I77" s="1268">
        <f>410*$S$1</f>
        <v>447.72</v>
      </c>
      <c r="J77" s="1268">
        <f>710*$S$1</f>
        <v>775.32</v>
      </c>
      <c r="K77" s="361">
        <v>0.95499999999999996</v>
      </c>
      <c r="L77" s="361">
        <f>(38.7+4.1+0.2)/100*5.1/100</f>
        <v>2.1930000000000002E-2</v>
      </c>
      <c r="M77" s="361">
        <f>(44.8+0.3)/100*5.1/100</f>
        <v>2.3000999999999997E-2</v>
      </c>
      <c r="N77" s="361">
        <v>0</v>
      </c>
      <c r="O77" s="362">
        <f t="shared" ref="O77" si="64">SUM(K77:N77)</f>
        <v>0.99993100000000001</v>
      </c>
      <c r="Q77" s="616">
        <v>-529.6</v>
      </c>
    </row>
    <row r="78" spans="1:17">
      <c r="A78" s="1308"/>
      <c r="B78" s="249" t="s">
        <v>1150</v>
      </c>
      <c r="C78" s="250"/>
      <c r="D78" s="250" t="s">
        <v>205</v>
      </c>
      <c r="E78" s="250"/>
      <c r="F78" s="250"/>
      <c r="G78" s="250"/>
      <c r="I78" s="1268">
        <f>410*$S$1</f>
        <v>447.72</v>
      </c>
      <c r="J78" s="1268">
        <f>710*$S$1</f>
        <v>775.32</v>
      </c>
      <c r="K78" s="361">
        <v>0.94899999999999995</v>
      </c>
      <c r="L78" s="361">
        <f>(38.7+4.1+0.2)/100*5.1/100</f>
        <v>2.1930000000000002E-2</v>
      </c>
      <c r="M78" s="361">
        <f>(44.8+0.3)/100*5.1/100</f>
        <v>2.3000999999999997E-2</v>
      </c>
      <c r="N78" s="361">
        <f>(11.7)/100*5.1/100</f>
        <v>5.9669999999999992E-3</v>
      </c>
      <c r="O78" s="362">
        <f t="shared" ref="O78" si="65">SUM(K78:N78)</f>
        <v>0.99989799999999995</v>
      </c>
      <c r="Q78" s="616">
        <v>-529.6</v>
      </c>
    </row>
    <row r="79" spans="1:17" ht="25.5">
      <c r="A79" s="1308"/>
      <c r="B79" s="249" t="s">
        <v>1151</v>
      </c>
      <c r="C79" s="250"/>
      <c r="D79" s="250" t="s">
        <v>205</v>
      </c>
      <c r="E79" s="250" t="s">
        <v>205</v>
      </c>
      <c r="F79" s="250"/>
      <c r="G79" s="250"/>
      <c r="I79" s="1268">
        <f>580*$S$1</f>
        <v>633.36</v>
      </c>
      <c r="J79" s="1268">
        <f>860*$S$1</f>
        <v>939.12000000000012</v>
      </c>
      <c r="K79" s="361">
        <v>0.92500000000000004</v>
      </c>
      <c r="L79" s="361">
        <f>(44.1+0+19.9)/100*7.5/100</f>
        <v>4.8000000000000001E-2</v>
      </c>
      <c r="M79" s="361">
        <f>(31.6+0.6)/100*7.5/100</f>
        <v>2.4150000000000001E-2</v>
      </c>
      <c r="N79" s="361">
        <f>(3.8)/100*7.5/100</f>
        <v>2.8499999999999997E-3</v>
      </c>
      <c r="O79" s="362">
        <f t="shared" ref="O79" si="66">SUM(K79:N79)</f>
        <v>1</v>
      </c>
      <c r="Q79" s="616">
        <v>-395.20000000000005</v>
      </c>
    </row>
    <row r="80" spans="1:17">
      <c r="A80" s="1308"/>
      <c r="B80" s="249" t="s">
        <v>1152</v>
      </c>
      <c r="C80" s="250"/>
      <c r="D80" s="250"/>
      <c r="E80" s="250"/>
      <c r="F80" s="250" t="s">
        <v>205</v>
      </c>
      <c r="G80" s="250"/>
      <c r="I80" s="1268">
        <f>1320*$S$1</f>
        <v>1441.44</v>
      </c>
      <c r="J80" s="1268">
        <f>2180*$S$1</f>
        <v>2380.5600000000004</v>
      </c>
      <c r="K80" s="361">
        <v>0.78200000000000003</v>
      </c>
      <c r="L80" s="361">
        <f>(23.4+29.5+17.4)/100*21.9/100</f>
        <v>0.15395699999999998</v>
      </c>
      <c r="M80" s="361">
        <f>(22.2+3.7)/100*21.9/100</f>
        <v>5.6720999999999994E-2</v>
      </c>
      <c r="N80" s="361">
        <f>(1.8+0.4+0.8+0.5)/100*21.9/100</f>
        <v>7.6650000000000008E-3</v>
      </c>
      <c r="O80" s="362">
        <f t="shared" ref="O80" si="67">SUM(K80:N80)</f>
        <v>1.000343</v>
      </c>
      <c r="Q80" s="616">
        <v>470</v>
      </c>
    </row>
    <row r="81" spans="1:17">
      <c r="A81" s="1308"/>
      <c r="B81" s="249" t="s">
        <v>1153</v>
      </c>
      <c r="C81" s="250"/>
      <c r="D81" s="250"/>
      <c r="E81" s="250"/>
      <c r="F81" s="250" t="s">
        <v>205</v>
      </c>
      <c r="G81" s="250" t="s">
        <v>205</v>
      </c>
      <c r="I81" s="1268">
        <f>1320*$S$1</f>
        <v>1441.44</v>
      </c>
      <c r="J81" s="1268">
        <f>2180*$S$1</f>
        <v>2380.5600000000004</v>
      </c>
      <c r="K81" s="361">
        <v>0.72899999999999998</v>
      </c>
      <c r="L81" s="361">
        <f>(23.4+29.5+17.4)/100*21.9/100</f>
        <v>0.15395699999999998</v>
      </c>
      <c r="M81" s="361">
        <f>(22.2+3.7)/100*21.9/100</f>
        <v>5.6720999999999994E-2</v>
      </c>
      <c r="N81" s="361">
        <v>0.06</v>
      </c>
      <c r="O81" s="362">
        <f t="shared" ref="O81" si="68">SUM(K81:N81)</f>
        <v>0.99967800000000007</v>
      </c>
      <c r="Q81" s="616">
        <v>470</v>
      </c>
    </row>
    <row r="82" spans="1:17">
      <c r="A82" s="1308"/>
      <c r="B82" s="249" t="s">
        <v>1154</v>
      </c>
      <c r="C82" s="250"/>
      <c r="D82" s="250"/>
      <c r="E82" s="250"/>
      <c r="F82" s="250" t="s">
        <v>205</v>
      </c>
      <c r="G82" s="250" t="s">
        <v>205</v>
      </c>
      <c r="I82" s="1268"/>
      <c r="J82" s="1268"/>
      <c r="K82" s="361"/>
      <c r="L82" s="361"/>
      <c r="M82" s="361"/>
      <c r="N82" s="361"/>
      <c r="O82" s="362"/>
      <c r="Q82" s="616"/>
    </row>
    <row r="83" spans="1:17" ht="15.75">
      <c r="B83" s="251" t="s">
        <v>660</v>
      </c>
      <c r="C83" s="252"/>
      <c r="D83" s="252"/>
      <c r="E83" s="252"/>
      <c r="F83" s="252"/>
      <c r="G83" s="252"/>
      <c r="I83" s="1267">
        <f>AVERAGE(I84:I92)</f>
        <v>2102.7066666666669</v>
      </c>
      <c r="J83" s="1267">
        <f>AVERAGE(J84:J92)</f>
        <v>3703.0933333333346</v>
      </c>
      <c r="K83" s="364">
        <f>AVERAGE(K84:K92)</f>
        <v>0.77600000000000002</v>
      </c>
      <c r="L83" s="364">
        <f t="shared" ref="L83:N83" si="69">AVERAGE(L84:L92)</f>
        <v>0.11199066666666664</v>
      </c>
      <c r="M83" s="364">
        <f t="shared" si="69"/>
        <v>8.7076888888888898E-2</v>
      </c>
      <c r="N83" s="364">
        <f t="shared" si="69"/>
        <v>2.5061555555555556E-2</v>
      </c>
      <c r="O83" s="362"/>
      <c r="Q83" s="617">
        <f>AVERAGE(Q84:Q92)</f>
        <v>1232.9999999999998</v>
      </c>
    </row>
    <row r="84" spans="1:17">
      <c r="A84" s="1308"/>
      <c r="B84" s="249" t="s">
        <v>1155</v>
      </c>
      <c r="C84" s="250"/>
      <c r="D84" s="250" t="s">
        <v>205</v>
      </c>
      <c r="E84" s="250" t="s">
        <v>205</v>
      </c>
      <c r="F84" s="250"/>
      <c r="G84" s="250"/>
      <c r="I84" s="1268">
        <f>1820*$S$1</f>
        <v>1987.44</v>
      </c>
      <c r="J84" s="1268">
        <f>3570*$S$1</f>
        <v>3898.4400000000005</v>
      </c>
      <c r="K84" s="361">
        <v>0.745</v>
      </c>
      <c r="L84" s="361">
        <f>(13.5+19.7+10.9)/100*25.5/100</f>
        <v>0.112455</v>
      </c>
      <c r="M84" s="361">
        <f>(37.2+7.8)/100*25.5/100</f>
        <v>0.11474999999999999</v>
      </c>
      <c r="N84" s="361">
        <f>(1.6+5.2+2.8+1.3)/100*25.5/100</f>
        <v>2.7795000000000004E-2</v>
      </c>
      <c r="O84" s="362">
        <f t="shared" ref="O84" si="70">SUM(K84:N84)</f>
        <v>1</v>
      </c>
      <c r="Q84" s="616">
        <v>1263.7999999999997</v>
      </c>
    </row>
    <row r="85" spans="1:17">
      <c r="A85" s="1308"/>
      <c r="B85" s="249" t="s">
        <v>1156</v>
      </c>
      <c r="C85" s="250"/>
      <c r="D85" s="250"/>
      <c r="E85" s="250"/>
      <c r="F85" s="250" t="s">
        <v>205</v>
      </c>
      <c r="G85" s="250"/>
      <c r="I85" s="1268">
        <f>1620*$S$1</f>
        <v>1769.0400000000002</v>
      </c>
      <c r="J85" s="1268">
        <f>2630*$S$1</f>
        <v>2871.96</v>
      </c>
      <c r="K85" s="361">
        <v>0.79</v>
      </c>
      <c r="L85" s="361">
        <f>(20.1+25.9+2.2)/100*21/100</f>
        <v>0.10122000000000002</v>
      </c>
      <c r="M85" s="361">
        <f>(39.1+3.4)/100*21/100</f>
        <v>8.9249999999999996E-2</v>
      </c>
      <c r="N85" s="361">
        <f>(7+1.9+0.5+0.1)/100*21/100</f>
        <v>1.9950000000000002E-2</v>
      </c>
      <c r="O85" s="362">
        <f t="shared" ref="O85" si="71">SUM(K85:N85)</f>
        <v>1.0004199999999999</v>
      </c>
      <c r="Q85" s="616">
        <v>785</v>
      </c>
    </row>
    <row r="86" spans="1:17">
      <c r="A86" s="1308"/>
      <c r="B86" s="249" t="s">
        <v>1157</v>
      </c>
      <c r="C86" s="250"/>
      <c r="D86" s="250"/>
      <c r="E86" s="250"/>
      <c r="F86" s="250" t="s">
        <v>205</v>
      </c>
      <c r="G86" s="250"/>
      <c r="I86" s="1268">
        <f>2240*$S$1</f>
        <v>2446.0800000000004</v>
      </c>
      <c r="J86" s="1268">
        <f>3010*$S$1</f>
        <v>3286.92</v>
      </c>
      <c r="K86" s="361">
        <v>0.85899999999999999</v>
      </c>
      <c r="L86" s="361">
        <f>(16.8+33.6+8.3)/100*14.2/100</f>
        <v>8.3353999999999998E-2</v>
      </c>
      <c r="M86" s="361">
        <f>(33.1+2.7)/100*14.2/100</f>
        <v>5.0836000000000006E-2</v>
      </c>
      <c r="N86" s="361">
        <f>(3.9+0.1+0.7)/100*14.2/100</f>
        <v>6.6740000000000002E-3</v>
      </c>
      <c r="O86" s="362">
        <f t="shared" ref="O86" si="72">SUM(K86:N86)</f>
        <v>0.99986399999999998</v>
      </c>
      <c r="Q86" s="616">
        <v>1205</v>
      </c>
    </row>
    <row r="87" spans="1:17">
      <c r="A87" s="1308"/>
      <c r="B87" s="249" t="s">
        <v>1158</v>
      </c>
      <c r="C87" s="250"/>
      <c r="D87" s="250"/>
      <c r="E87" s="250"/>
      <c r="F87" s="250" t="s">
        <v>205</v>
      </c>
      <c r="G87" s="250"/>
      <c r="I87" s="1268">
        <f>1710*$S$1</f>
        <v>1867.3200000000002</v>
      </c>
      <c r="J87" s="1268">
        <f>2540*$S$1</f>
        <v>2773.6800000000003</v>
      </c>
      <c r="K87" s="361">
        <v>0.88300000000000001</v>
      </c>
      <c r="L87" s="361">
        <f>(24.2+19.9+30.8)/100*11.8/100</f>
        <v>8.8381999999999988E-2</v>
      </c>
      <c r="M87" s="361">
        <f>(19.3+2.4)/100*11.8/100</f>
        <v>2.5606E-2</v>
      </c>
      <c r="N87" s="361">
        <f>(2.5)/100*11.8/100</f>
        <v>2.9500000000000004E-3</v>
      </c>
      <c r="O87" s="362">
        <f t="shared" ref="O87" si="73">SUM(K87:N87)</f>
        <v>0.99993799999999999</v>
      </c>
      <c r="Q87" s="616">
        <v>785</v>
      </c>
    </row>
    <row r="88" spans="1:17">
      <c r="A88" s="1308"/>
      <c r="B88" s="249" t="s">
        <v>1159</v>
      </c>
      <c r="C88" s="250"/>
      <c r="D88" s="250"/>
      <c r="E88" s="250"/>
      <c r="F88" s="250" t="s">
        <v>205</v>
      </c>
      <c r="G88" s="250"/>
      <c r="I88" s="1268">
        <f>1820*$S$1</f>
        <v>1987.44</v>
      </c>
      <c r="J88" s="1268">
        <f>3570*$S$1</f>
        <v>3898.4400000000005</v>
      </c>
      <c r="K88" s="361">
        <v>0.745</v>
      </c>
      <c r="L88" s="361">
        <f>(13.5+19.7+10.9)/100*25.5/100</f>
        <v>0.112455</v>
      </c>
      <c r="M88" s="361">
        <f>(37.2+7.8)/100*25.5/100</f>
        <v>0.11474999999999999</v>
      </c>
      <c r="N88" s="361">
        <f>(1.6+5.2+2.8+1.3)/100*25.5/100</f>
        <v>2.7795000000000004E-2</v>
      </c>
      <c r="O88" s="362">
        <f t="shared" ref="O88" si="74">SUM(K88:N88)</f>
        <v>1</v>
      </c>
      <c r="Q88" s="616">
        <v>1263.7999999999997</v>
      </c>
    </row>
    <row r="89" spans="1:17">
      <c r="A89" s="1308"/>
      <c r="B89" s="249" t="s">
        <v>1160</v>
      </c>
      <c r="C89" s="250"/>
      <c r="D89" s="250"/>
      <c r="E89" s="250" t="s">
        <v>205</v>
      </c>
      <c r="F89" s="250" t="s">
        <v>205</v>
      </c>
      <c r="G89" s="250"/>
      <c r="I89" s="1268">
        <f>1820*$S$1</f>
        <v>1987.44</v>
      </c>
      <c r="J89" s="1268">
        <f>3570*$S$1</f>
        <v>3898.4400000000005</v>
      </c>
      <c r="K89" s="361">
        <v>0.745</v>
      </c>
      <c r="L89" s="361">
        <f>(13.5+19.7+10.9)/100*25.5/100</f>
        <v>0.112455</v>
      </c>
      <c r="M89" s="361">
        <f>(37.2+7.8)/100*25.5/100</f>
        <v>0.11474999999999999</v>
      </c>
      <c r="N89" s="361">
        <f>(1.6+5.2+2.8+1.3)/100*25.5/100</f>
        <v>2.7795000000000004E-2</v>
      </c>
      <c r="O89" s="362">
        <f t="shared" ref="O89" si="75">SUM(K89:N89)</f>
        <v>1</v>
      </c>
      <c r="Q89" s="616">
        <v>1263.7999999999997</v>
      </c>
    </row>
    <row r="90" spans="1:17">
      <c r="A90" s="1308"/>
      <c r="B90" s="249" t="s">
        <v>1161</v>
      </c>
      <c r="C90" s="250"/>
      <c r="D90" s="250"/>
      <c r="E90" s="250"/>
      <c r="F90" s="250" t="s">
        <v>205</v>
      </c>
      <c r="G90" s="250" t="s">
        <v>205</v>
      </c>
      <c r="I90" s="1268">
        <f>1820*$S$1</f>
        <v>1987.44</v>
      </c>
      <c r="J90" s="1268">
        <f>3570*$S$1</f>
        <v>3898.4400000000005</v>
      </c>
      <c r="K90" s="361">
        <v>0.745</v>
      </c>
      <c r="L90" s="361">
        <f>(13.5+19.7+10.9)/100*25.5/100</f>
        <v>0.112455</v>
      </c>
      <c r="M90" s="361">
        <f>(37.2+7.8)/100*25.5/100</f>
        <v>0.11474999999999999</v>
      </c>
      <c r="N90" s="361">
        <f>(1.6+5.2+2.8+1.3)/100*25.5/100</f>
        <v>2.7795000000000004E-2</v>
      </c>
      <c r="O90" s="362">
        <f t="shared" ref="O90" si="76">SUM(K90:N90)</f>
        <v>1</v>
      </c>
      <c r="Q90" s="616">
        <v>1263.7999999999997</v>
      </c>
    </row>
    <row r="91" spans="1:17">
      <c r="A91" s="1308"/>
      <c r="B91" s="249" t="s">
        <v>1162</v>
      </c>
      <c r="C91" s="250"/>
      <c r="D91" s="250"/>
      <c r="E91" s="250"/>
      <c r="F91" s="250" t="s">
        <v>205</v>
      </c>
      <c r="G91" s="250" t="s">
        <v>205</v>
      </c>
      <c r="I91" s="1268">
        <f>2240*$S$1</f>
        <v>2446.0800000000004</v>
      </c>
      <c r="J91" s="1268">
        <f>4030*$S$1</f>
        <v>4400.76</v>
      </c>
      <c r="K91" s="361">
        <v>0.73599999999999999</v>
      </c>
      <c r="L91" s="361">
        <f>(19.4+10.5+23.9)/100*26.5/100</f>
        <v>0.14256999999999997</v>
      </c>
      <c r="M91" s="361">
        <f>(24.1+5.9)/100*26.5/100</f>
        <v>7.9499999999999987E-2</v>
      </c>
      <c r="N91" s="361">
        <f>(3.3+12.7)/100*26.5/100</f>
        <v>4.24E-2</v>
      </c>
      <c r="O91" s="362">
        <f t="shared" ref="O91" si="77">SUM(K91:N91)</f>
        <v>1.00047</v>
      </c>
      <c r="Q91" s="616">
        <v>1633.3999999999996</v>
      </c>
    </row>
    <row r="92" spans="1:17">
      <c r="A92" s="1308"/>
      <c r="B92" s="342" t="s">
        <v>1163</v>
      </c>
      <c r="C92" s="343"/>
      <c r="D92" s="343"/>
      <c r="E92" s="343"/>
      <c r="F92" s="343" t="s">
        <v>205</v>
      </c>
      <c r="G92" s="343" t="s">
        <v>205</v>
      </c>
      <c r="I92" s="1268">
        <f>2240*$S$1</f>
        <v>2446.0800000000004</v>
      </c>
      <c r="J92" s="1268">
        <f>4030*$S$1</f>
        <v>4400.76</v>
      </c>
      <c r="K92" s="361">
        <v>0.73599999999999999</v>
      </c>
      <c r="L92" s="361">
        <f>(19.4+10.5+23.9)/100*26.5/100</f>
        <v>0.14256999999999997</v>
      </c>
      <c r="M92" s="361">
        <f>(24.1+5.9)/100*26.5/100</f>
        <v>7.9499999999999987E-2</v>
      </c>
      <c r="N92" s="361">
        <f>(3.3+12.7)/100*26.5/100</f>
        <v>4.24E-2</v>
      </c>
      <c r="O92" s="362">
        <f t="shared" ref="O92" si="78">SUM(K92:N92)</f>
        <v>1.00047</v>
      </c>
      <c r="Q92" s="616">
        <v>1633.3999999999996</v>
      </c>
    </row>
    <row r="93" spans="1:17">
      <c r="A93" s="1308"/>
    </row>
    <row r="94" spans="1:17" ht="15.75">
      <c r="A94" s="355"/>
      <c r="B94" s="356" t="s">
        <v>530</v>
      </c>
      <c r="C94" s="356"/>
      <c r="D94" s="356"/>
      <c r="E94" s="356"/>
      <c r="F94" s="356"/>
      <c r="G94" s="356"/>
      <c r="H94" s="357"/>
      <c r="I94" s="355"/>
      <c r="J94" s="355"/>
      <c r="K94" s="357"/>
      <c r="L94" s="357"/>
      <c r="M94" s="357"/>
      <c r="N94" s="357"/>
      <c r="O94" s="357"/>
      <c r="P94" s="357"/>
    </row>
    <row r="95" spans="1:17" ht="15.75">
      <c r="A95" s="187" t="s">
        <v>3</v>
      </c>
      <c r="B95" s="188" t="s">
        <v>91</v>
      </c>
      <c r="C95" s="189"/>
      <c r="D95" s="189"/>
      <c r="E95" s="189"/>
      <c r="F95" s="242" t="s">
        <v>68</v>
      </c>
      <c r="G95" s="956"/>
      <c r="I95" s="356" t="s">
        <v>523</v>
      </c>
      <c r="J95" s="358"/>
      <c r="K95" s="358"/>
      <c r="L95" s="358"/>
    </row>
    <row r="96" spans="1:17" ht="15.75">
      <c r="A96" s="190" t="s">
        <v>4</v>
      </c>
      <c r="B96" s="191" t="s">
        <v>85</v>
      </c>
      <c r="C96" s="192"/>
      <c r="D96" s="192"/>
      <c r="E96" s="192"/>
      <c r="F96" s="243" t="s">
        <v>69</v>
      </c>
      <c r="G96" s="957"/>
      <c r="I96" s="197" t="s">
        <v>70</v>
      </c>
      <c r="J96" s="197"/>
      <c r="K96" s="197" t="s">
        <v>169</v>
      </c>
      <c r="L96" s="197"/>
      <c r="M96" s="197"/>
      <c r="N96" s="197"/>
      <c r="O96" s="197"/>
    </row>
    <row r="97" spans="1:18" ht="15.75">
      <c r="A97" s="190" t="s">
        <v>5</v>
      </c>
      <c r="B97" s="191" t="s">
        <v>355</v>
      </c>
      <c r="C97" s="192"/>
      <c r="D97" s="192"/>
      <c r="E97" s="192"/>
      <c r="F97" s="243" t="s">
        <v>69</v>
      </c>
      <c r="G97" s="957"/>
      <c r="I97" s="198" t="s">
        <v>71</v>
      </c>
      <c r="J97" s="198"/>
      <c r="K97" s="198" t="s">
        <v>170</v>
      </c>
      <c r="L97" s="198"/>
      <c r="M97" s="198"/>
      <c r="N97" s="198"/>
      <c r="O97" s="198"/>
    </row>
    <row r="98" spans="1:18" ht="15.75">
      <c r="A98" s="190" t="s">
        <v>93</v>
      </c>
      <c r="B98" s="191" t="s">
        <v>356</v>
      </c>
      <c r="C98" s="192"/>
      <c r="D98" s="192"/>
      <c r="E98" s="192"/>
      <c r="F98" s="243" t="s">
        <v>68</v>
      </c>
      <c r="G98" s="957"/>
      <c r="I98" s="198" t="s">
        <v>72</v>
      </c>
      <c r="J98" s="198"/>
      <c r="K98" s="198" t="s">
        <v>171</v>
      </c>
      <c r="L98" s="198"/>
      <c r="M98" s="198"/>
      <c r="N98" s="198"/>
      <c r="O98" s="198"/>
    </row>
    <row r="99" spans="1:18" ht="15.75">
      <c r="A99" s="190" t="s">
        <v>94</v>
      </c>
      <c r="B99" s="191" t="s">
        <v>92</v>
      </c>
      <c r="C99" s="192"/>
      <c r="D99" s="192"/>
      <c r="E99" s="192"/>
      <c r="F99" s="243" t="s">
        <v>68</v>
      </c>
      <c r="G99" s="957"/>
      <c r="I99" s="198" t="s">
        <v>73</v>
      </c>
      <c r="J99" s="198"/>
      <c r="K99" s="198" t="s">
        <v>172</v>
      </c>
      <c r="L99" s="198"/>
      <c r="M99" s="198"/>
      <c r="N99" s="198"/>
      <c r="O99" s="198"/>
    </row>
    <row r="100" spans="1:18" ht="15.75">
      <c r="A100" s="193" t="s">
        <v>6</v>
      </c>
      <c r="B100" s="194" t="s">
        <v>357</v>
      </c>
      <c r="C100" s="195"/>
      <c r="D100" s="195"/>
      <c r="E100" s="195"/>
      <c r="F100" s="244" t="s">
        <v>68</v>
      </c>
      <c r="G100" s="958"/>
      <c r="I100" s="199" t="s">
        <v>74</v>
      </c>
      <c r="J100" s="199"/>
      <c r="K100" s="199" t="s">
        <v>173</v>
      </c>
      <c r="L100" s="199"/>
      <c r="M100" s="199"/>
      <c r="N100" s="199"/>
      <c r="O100" s="199"/>
    </row>
    <row r="101" spans="1:18" ht="15.75">
      <c r="A101" s="77"/>
      <c r="B101" s="77"/>
      <c r="C101" s="77"/>
      <c r="D101" s="77"/>
      <c r="E101" s="77"/>
      <c r="F101" s="240" t="s">
        <v>95</v>
      </c>
      <c r="G101" s="183">
        <f>SUM(G95:G100)</f>
        <v>0</v>
      </c>
    </row>
    <row r="102" spans="1:18" ht="15.75">
      <c r="B102" s="50" t="s">
        <v>193</v>
      </c>
      <c r="C102" s="48"/>
      <c r="D102" s="48"/>
      <c r="E102" s="48"/>
      <c r="F102" s="217" t="str">
        <f>IF(G101&lt;11,$I$96,IF(G101&lt;19,$I$97,IF(G101&lt;27,$I$98,IF(G101&lt;35,$I$99,IF(G101&lt;43,$I$100,"NAPAKA")))))</f>
        <v>Cenovni razred I</v>
      </c>
      <c r="G102" s="48"/>
    </row>
    <row r="108" spans="1:18" ht="51">
      <c r="B108" s="223" t="s">
        <v>2</v>
      </c>
      <c r="C108" s="289" t="s">
        <v>200</v>
      </c>
      <c r="D108" s="289" t="s">
        <v>201</v>
      </c>
      <c r="E108" s="289" t="s">
        <v>202</v>
      </c>
      <c r="F108" s="289" t="s">
        <v>203</v>
      </c>
      <c r="G108" s="289" t="s">
        <v>204</v>
      </c>
      <c r="I108" s="354" t="s">
        <v>708</v>
      </c>
      <c r="J108" s="354" t="s">
        <v>709</v>
      </c>
      <c r="K108" s="1286" t="s">
        <v>718</v>
      </c>
    </row>
    <row r="109" spans="1:18" ht="25.5">
      <c r="B109" s="257" t="s">
        <v>1006</v>
      </c>
      <c r="C109" s="259" t="s">
        <v>205</v>
      </c>
      <c r="D109" s="259"/>
      <c r="E109" s="259"/>
      <c r="F109" s="259"/>
      <c r="G109" s="259"/>
      <c r="I109" s="1268">
        <v>50</v>
      </c>
      <c r="J109" s="1268">
        <v>150</v>
      </c>
      <c r="K109" s="1294">
        <v>-920</v>
      </c>
      <c r="L109" s="1285"/>
      <c r="Q109" s="1285">
        <f>+O109-1000</f>
        <v>-1000</v>
      </c>
      <c r="R109" t="str">
        <f>_xlfn.CONCAT(A109,". ",B109)</f>
        <v>. 1. Najenostavnejša notranja oprema za začasno uporabo z najpreprostejšo serijsko opremo ali brez nje</v>
      </c>
    </row>
    <row r="110" spans="1:18" ht="25.5">
      <c r="B110" s="249" t="s">
        <v>1007</v>
      </c>
      <c r="C110" s="250"/>
      <c r="D110" s="250" t="s">
        <v>205</v>
      </c>
      <c r="E110" s="250"/>
      <c r="F110" s="250"/>
      <c r="G110" s="250"/>
      <c r="I110" s="1268">
        <v>300</v>
      </c>
      <c r="J110" s="1268">
        <v>600</v>
      </c>
      <c r="K110" s="1295">
        <v>-640</v>
      </c>
      <c r="L110" s="1285"/>
      <c r="Q110" s="1285">
        <f t="shared" ref="Q110:Q170" si="79">+O110-1000</f>
        <v>-1000</v>
      </c>
      <c r="R110" t="str">
        <f t="shared" ref="R110:R170" si="80">_xlfn.CONCAT(A110,". ",B110)</f>
        <v>. 2. Notranja oprema z nizkimi zahtevami glede načrtovanja, z uporabo serijsko izdelanega pohištva in opreme preproste kakovosti, brez tehnične opreme</v>
      </c>
    </row>
    <row r="111" spans="1:18" ht="38.25">
      <c r="B111" s="249" t="s">
        <v>1008</v>
      </c>
      <c r="C111" s="250"/>
      <c r="D111" s="250"/>
      <c r="E111" s="250" t="s">
        <v>205</v>
      </c>
      <c r="F111" s="250"/>
      <c r="G111" s="250"/>
      <c r="I111" s="1268">
        <v>600</v>
      </c>
      <c r="J111" s="1268">
        <v>900</v>
      </c>
      <c r="K111" s="1295">
        <v>-400</v>
      </c>
      <c r="L111" s="1285"/>
      <c r="Q111" s="1285">
        <f t="shared" si="79"/>
        <v>-1000</v>
      </c>
      <c r="R111" t="str">
        <f t="shared" si="80"/>
        <v>. 3. Notranja oprema s povprečnimi zahtevami glede načrtovanja, pretežno z uporabo serijsko izdelanega pohištva in opreme ali s povprečno tehnično opremo</v>
      </c>
    </row>
    <row r="112" spans="1:18" ht="38.25">
      <c r="B112" s="249" t="s">
        <v>1009</v>
      </c>
      <c r="C112" s="250"/>
      <c r="D112" s="250"/>
      <c r="E112" s="250"/>
      <c r="F112" s="250" t="s">
        <v>205</v>
      </c>
      <c r="G112" s="250"/>
      <c r="I112" s="1268">
        <v>1000</v>
      </c>
      <c r="J112" s="1268">
        <v>1800</v>
      </c>
      <c r="K112" s="1295">
        <v>120</v>
      </c>
      <c r="L112" s="1285"/>
      <c r="Q112" s="1285">
        <f t="shared" si="79"/>
        <v>-1000</v>
      </c>
      <c r="R112" t="str">
        <f t="shared" si="80"/>
        <v>. 4. Notranja oprema z visokimi zahtevami glede načrtovanja, z uporabo serijsko izdelanega pohištva in pohištva visoke kakovosti ali visokokakovostne tehnične opreme</v>
      </c>
    </row>
    <row r="113" spans="2:18" ht="25.5">
      <c r="B113" s="249" t="s">
        <v>1010</v>
      </c>
      <c r="C113" s="250"/>
      <c r="D113" s="250"/>
      <c r="E113" s="250"/>
      <c r="F113" s="250"/>
      <c r="G113" s="250" t="s">
        <v>205</v>
      </c>
      <c r="I113" s="1268">
        <v>1800</v>
      </c>
      <c r="J113" s="1268">
        <v>3000</v>
      </c>
      <c r="K113" s="1295">
        <v>920</v>
      </c>
      <c r="L113" s="1285"/>
      <c r="Q113" s="1285">
        <f t="shared" si="79"/>
        <v>-1000</v>
      </c>
      <c r="R113" t="str">
        <f t="shared" si="80"/>
        <v>. 5. Notranjost z zelo visokimi zahtevami glede načrtovanja, z uporabo kompleksnega pohištva in opreme ali obsežne tehnične opreme</v>
      </c>
    </row>
    <row r="114" spans="2:18" ht="15.75">
      <c r="B114" s="258" t="s">
        <v>661</v>
      </c>
      <c r="C114" s="252"/>
      <c r="D114" s="252"/>
      <c r="E114" s="252"/>
      <c r="F114" s="252"/>
      <c r="G114" s="252"/>
      <c r="I114" s="1267">
        <f>AVERAGE(I115:I121)</f>
        <v>478.57142857142856</v>
      </c>
      <c r="J114" s="1267">
        <f t="shared" ref="J114:K114" si="81">AVERAGE(J115:J121)</f>
        <v>857.14285714285711</v>
      </c>
      <c r="K114" s="1267">
        <f t="shared" si="81"/>
        <v>-465.71428571428572</v>
      </c>
      <c r="L114" s="1285"/>
      <c r="Q114" s="1285"/>
      <c r="R114" t="str">
        <f t="shared" si="80"/>
        <v>. 1. Stanovanjski prostori</v>
      </c>
    </row>
    <row r="115" spans="2:18">
      <c r="B115" s="249" t="s">
        <v>1011</v>
      </c>
      <c r="C115" s="250" t="s">
        <v>205</v>
      </c>
      <c r="D115" s="250"/>
      <c r="E115" s="250"/>
      <c r="F115" s="250"/>
      <c r="G115" s="250"/>
      <c r="I115" s="1268">
        <v>50</v>
      </c>
      <c r="J115" s="1268">
        <v>150</v>
      </c>
      <c r="K115" s="1295">
        <v>-920</v>
      </c>
      <c r="L115" s="1285"/>
      <c r="Q115" s="1285">
        <f t="shared" si="79"/>
        <v>-1000</v>
      </c>
      <c r="R115" t="str">
        <f t="shared" si="80"/>
        <v>. 6. Najenostavnejše sobe brez pohištva ali za začasno uporabo</v>
      </c>
    </row>
    <row r="116" spans="2:18">
      <c r="B116" s="249" t="s">
        <v>1012</v>
      </c>
      <c r="C116" s="250"/>
      <c r="D116" s="250" t="s">
        <v>205</v>
      </c>
      <c r="E116" s="250"/>
      <c r="F116" s="250"/>
      <c r="G116" s="250"/>
      <c r="I116" s="1268">
        <v>100</v>
      </c>
      <c r="J116" s="1268">
        <v>250</v>
      </c>
      <c r="K116" s="1295">
        <v>-860</v>
      </c>
      <c r="L116" s="1285"/>
      <c r="Q116" s="1285">
        <f t="shared" si="79"/>
        <v>-1000</v>
      </c>
      <c r="R116" t="str">
        <f t="shared" si="80"/>
        <v>. 7. Najenostavnejši prostori brez pohištva ali za začasno uporabo</v>
      </c>
    </row>
    <row r="117" spans="2:18" ht="25.5">
      <c r="B117" s="249" t="s">
        <v>1013</v>
      </c>
      <c r="C117" s="250"/>
      <c r="D117" s="250"/>
      <c r="E117" s="250" t="s">
        <v>205</v>
      </c>
      <c r="F117" s="250"/>
      <c r="G117" s="250"/>
      <c r="I117" s="1268">
        <v>300</v>
      </c>
      <c r="J117" s="1268">
        <v>600</v>
      </c>
      <c r="K117" s="1295">
        <v>-640</v>
      </c>
      <c r="L117" s="1285"/>
      <c r="Q117" s="1285">
        <f t="shared" si="79"/>
        <v>-1000</v>
      </c>
      <c r="R117" t="str">
        <f t="shared" si="80"/>
        <v>. 8. Preprosti stanovanjski prostori z nizkimi zahtevami glede oblikovanja ali opreme</v>
      </c>
    </row>
    <row r="118" spans="2:18" ht="25.5">
      <c r="B118" s="249" t="s">
        <v>1014</v>
      </c>
      <c r="C118" s="250"/>
      <c r="D118" s="250"/>
      <c r="E118" s="250" t="s">
        <v>205</v>
      </c>
      <c r="F118" s="250"/>
      <c r="G118" s="250"/>
      <c r="I118" s="1268">
        <v>600</v>
      </c>
      <c r="J118" s="1268">
        <v>900</v>
      </c>
      <c r="K118" s="1295">
        <v>-400</v>
      </c>
      <c r="L118" s="1285"/>
      <c r="Q118" s="1285">
        <f t="shared" si="79"/>
        <v>-1000</v>
      </c>
      <c r="R118" t="str">
        <f t="shared" si="80"/>
        <v>. 9. Stanovanjski prostori s povprečnimi zahtevami, serijsko opremljene kuhinje</v>
      </c>
    </row>
    <row r="119" spans="2:18">
      <c r="B119" s="249" t="s">
        <v>1015</v>
      </c>
      <c r="C119" s="250"/>
      <c r="D119" s="250"/>
      <c r="E119" s="250"/>
      <c r="F119" s="250" t="s">
        <v>205</v>
      </c>
      <c r="G119" s="250"/>
      <c r="I119" s="1268">
        <v>500</v>
      </c>
      <c r="J119" s="1268">
        <v>800</v>
      </c>
      <c r="K119" s="1295">
        <v>-480</v>
      </c>
      <c r="L119" s="1285"/>
      <c r="Q119" s="1285">
        <f t="shared" si="79"/>
        <v>-1000</v>
      </c>
      <c r="R119" t="str">
        <f t="shared" si="80"/>
        <v>. 10. Stanovanjski prostori v skupnih nastanitvah ali domovih</v>
      </c>
    </row>
    <row r="120" spans="2:18">
      <c r="B120" s="249" t="s">
        <v>1016</v>
      </c>
      <c r="C120" s="250"/>
      <c r="D120" s="250"/>
      <c r="E120" s="250"/>
      <c r="F120" s="250" t="s">
        <v>205</v>
      </c>
      <c r="G120" s="250"/>
      <c r="I120" s="1268">
        <v>1000</v>
      </c>
      <c r="J120" s="1268">
        <v>1800</v>
      </c>
      <c r="K120" s="1295">
        <v>120</v>
      </c>
      <c r="L120" s="1285"/>
      <c r="Q120" s="1285">
        <f t="shared" si="79"/>
        <v>-1000</v>
      </c>
      <c r="R120" t="str">
        <f t="shared" si="80"/>
        <v>. 11. Stanovanjski prostori z visokimi zahtevami, kuhinje in kopalnice po meri</v>
      </c>
    </row>
    <row r="121" spans="2:18">
      <c r="B121" s="249" t="s">
        <v>1017</v>
      </c>
      <c r="C121" s="250"/>
      <c r="D121" s="250"/>
      <c r="E121" s="250"/>
      <c r="F121" s="250"/>
      <c r="G121" s="250" t="s">
        <v>205</v>
      </c>
      <c r="I121" s="1268">
        <v>800</v>
      </c>
      <c r="J121" s="1268">
        <v>1500</v>
      </c>
      <c r="K121" s="1295">
        <v>-80</v>
      </c>
      <c r="L121" s="1285"/>
      <c r="Q121" s="1285">
        <f t="shared" si="79"/>
        <v>-1000</v>
      </c>
      <c r="R121" t="str">
        <f t="shared" si="80"/>
        <v>. 12. Predelava podstrešja, zimski vrtovi</v>
      </c>
    </row>
    <row r="122" spans="2:18" ht="15.75">
      <c r="B122" s="258" t="s">
        <v>649</v>
      </c>
      <c r="C122" s="252"/>
      <c r="D122" s="252"/>
      <c r="E122" s="252"/>
      <c r="F122" s="252"/>
      <c r="G122" s="252"/>
      <c r="I122" s="1267">
        <f>AVERAGE(I123:I129)</f>
        <v>678.57142857142856</v>
      </c>
      <c r="J122" s="1267">
        <f t="shared" ref="J122:K122" si="82">AVERAGE(J123:J129)</f>
        <v>1150</v>
      </c>
      <c r="K122" s="1267">
        <f t="shared" si="82"/>
        <v>-268.57142857142856</v>
      </c>
      <c r="L122" s="1285"/>
      <c r="Q122" s="1285"/>
      <c r="R122" t="str">
        <f t="shared" si="80"/>
        <v>. 2. Izobraževanje, znanstvena in raziskovalna dejavnost</v>
      </c>
    </row>
    <row r="123" spans="2:18">
      <c r="B123" s="249" t="s">
        <v>1018</v>
      </c>
      <c r="C123" s="250" t="s">
        <v>205</v>
      </c>
      <c r="D123" s="250"/>
      <c r="E123" s="250"/>
      <c r="F123" s="250"/>
      <c r="G123" s="250"/>
      <c r="I123" s="1268">
        <v>150</v>
      </c>
      <c r="J123" s="1268">
        <v>350</v>
      </c>
      <c r="K123" s="1295">
        <v>-800</v>
      </c>
      <c r="L123" s="1285"/>
      <c r="Q123" s="1285">
        <f t="shared" si="79"/>
        <v>-1000</v>
      </c>
      <c r="R123" t="str">
        <f t="shared" si="80"/>
        <v>. 13. preproste odprte dvorane</v>
      </c>
    </row>
    <row r="124" spans="2:18">
      <c r="B124" s="249" t="s">
        <v>1019</v>
      </c>
      <c r="C124" s="250"/>
      <c r="D124" s="250" t="s">
        <v>205</v>
      </c>
      <c r="E124" s="250"/>
      <c r="F124" s="250"/>
      <c r="G124" s="250"/>
      <c r="I124" s="1268">
        <v>100</v>
      </c>
      <c r="J124" s="1268">
        <v>300</v>
      </c>
      <c r="K124" s="1295">
        <v>-840</v>
      </c>
      <c r="L124" s="1285"/>
      <c r="Q124" s="1285">
        <f t="shared" si="79"/>
        <v>-1000</v>
      </c>
      <c r="R124" t="str">
        <f t="shared" si="80"/>
        <v>. 14. shrambe ali pomožni prostori s preprostim pohištvom ali opremo</v>
      </c>
    </row>
    <row r="125" spans="2:18" ht="25.5">
      <c r="B125" s="249" t="s">
        <v>1020</v>
      </c>
      <c r="C125" s="250"/>
      <c r="D125" s="250"/>
      <c r="E125" s="250" t="s">
        <v>205</v>
      </c>
      <c r="F125" s="250" t="s">
        <v>205</v>
      </c>
      <c r="G125" s="250"/>
      <c r="I125" s="1268">
        <v>400</v>
      </c>
      <c r="J125" s="1268">
        <v>700</v>
      </c>
      <c r="K125" s="1295">
        <v>-560</v>
      </c>
      <c r="L125" s="1285"/>
      <c r="Q125" s="1285">
        <f t="shared" si="79"/>
        <v>-1000</v>
      </c>
      <c r="R125" t="str">
        <f t="shared" si="80"/>
        <v>. 15. Skupinski prostori, na primer v jaslih, vrtcih, mladinskih centrih, mladinskih domovih, mladinskih hostlih</v>
      </c>
    </row>
    <row r="126" spans="2:18">
      <c r="B126" s="249" t="s">
        <v>1021</v>
      </c>
      <c r="C126" s="250"/>
      <c r="D126" s="250"/>
      <c r="E126" s="250" t="s">
        <v>205</v>
      </c>
      <c r="F126" s="250" t="s">
        <v>205</v>
      </c>
      <c r="G126" s="250"/>
      <c r="I126" s="1268">
        <v>600</v>
      </c>
      <c r="J126" s="1268">
        <v>900</v>
      </c>
      <c r="K126" s="1295">
        <v>-400</v>
      </c>
      <c r="L126" s="1285"/>
      <c r="Q126" s="1285">
        <f t="shared" si="79"/>
        <v>-1000</v>
      </c>
      <c r="R126" t="str">
        <f t="shared" si="80"/>
        <v>. 16. učilnice, predavalnice, seminarske sobe, manjše knjižnice, menze</v>
      </c>
    </row>
    <row r="127" spans="2:18" ht="25.5">
      <c r="B127" s="249" t="s">
        <v>1022</v>
      </c>
      <c r="C127" s="250"/>
      <c r="D127" s="250"/>
      <c r="E127" s="250"/>
      <c r="F127" s="250" t="s">
        <v>205</v>
      </c>
      <c r="G127" s="250"/>
      <c r="I127" s="1268">
        <v>900</v>
      </c>
      <c r="J127" s="1268">
        <v>1500</v>
      </c>
      <c r="K127" s="1295">
        <v>-40</v>
      </c>
      <c r="L127" s="1285"/>
      <c r="Q127" s="1285">
        <f t="shared" si="79"/>
        <v>-1000</v>
      </c>
      <c r="R127" t="str">
        <f t="shared" si="80"/>
        <v>. 17. Avditoriji, izobraževalni centri, knjižnice, laboratoriji, učne kuhinje z jedilnicami oziroma saloni ali brez, specializirane učilnice s tehnično opremo</v>
      </c>
    </row>
    <row r="128" spans="2:18" ht="25.5">
      <c r="B128" s="249" t="s">
        <v>1023</v>
      </c>
      <c r="C128" s="250"/>
      <c r="D128" s="250"/>
      <c r="E128" s="250"/>
      <c r="F128" s="250" t="s">
        <v>205</v>
      </c>
      <c r="G128" s="250"/>
      <c r="I128" s="1268">
        <v>1100</v>
      </c>
      <c r="J128" s="1268">
        <v>1800</v>
      </c>
      <c r="K128" s="1295">
        <v>160</v>
      </c>
      <c r="L128" s="1285"/>
      <c r="Q128" s="1285">
        <f t="shared" si="79"/>
        <v>-1000</v>
      </c>
      <c r="R128" t="str">
        <f t="shared" si="80"/>
        <v>. 18. kongresni, konferenčni in seminarski prostori, sejne sobe s pohištvom in opremo po meri ter obsežno tehnično opremo</v>
      </c>
    </row>
    <row r="129" spans="2:18">
      <c r="B129" s="249" t="s">
        <v>1024</v>
      </c>
      <c r="C129" s="250"/>
      <c r="D129" s="250"/>
      <c r="E129" s="250"/>
      <c r="F129" s="250"/>
      <c r="G129" s="250" t="s">
        <v>205</v>
      </c>
      <c r="I129" s="1268">
        <v>1500</v>
      </c>
      <c r="J129" s="1268">
        <v>2500</v>
      </c>
      <c r="K129" s="1295">
        <v>600</v>
      </c>
      <c r="L129" s="1285"/>
      <c r="Q129" s="1285">
        <f t="shared" si="79"/>
        <v>-1000</v>
      </c>
      <c r="R129" t="str">
        <f t="shared" si="80"/>
        <v>. 19. Znanstvenoraziskovalni prostori z visokimi zahtevami in tehnično opremo</v>
      </c>
    </row>
    <row r="130" spans="2:18" ht="15.75">
      <c r="B130" s="251" t="s">
        <v>650</v>
      </c>
      <c r="C130" s="252"/>
      <c r="D130" s="252"/>
      <c r="E130" s="252"/>
      <c r="F130" s="252"/>
      <c r="G130" s="252"/>
      <c r="I130" s="1267">
        <f>AVERAGE(I131:I138)</f>
        <v>706.25</v>
      </c>
      <c r="J130" s="1267">
        <f t="shared" ref="J130:K130" si="83">AVERAGE(J131:J138)</f>
        <v>1156.25</v>
      </c>
      <c r="K130" s="1267">
        <f t="shared" si="83"/>
        <v>-255</v>
      </c>
      <c r="L130" s="1285"/>
      <c r="Q130" s="1285"/>
      <c r="R130" t="str">
        <f t="shared" si="80"/>
        <v>. 3. Pisarniški in upravni prostori</v>
      </c>
    </row>
    <row r="131" spans="2:18">
      <c r="B131" s="249" t="s">
        <v>1025</v>
      </c>
      <c r="C131" s="250" t="s">
        <v>205</v>
      </c>
      <c r="D131" s="250"/>
      <c r="E131" s="250"/>
      <c r="F131" s="250"/>
      <c r="G131" s="250"/>
      <c r="I131" s="1268">
        <v>200</v>
      </c>
      <c r="J131" s="1268">
        <v>400</v>
      </c>
      <c r="K131" s="1295">
        <v>-760</v>
      </c>
      <c r="L131" s="1285"/>
      <c r="Q131" s="1285">
        <f t="shared" si="79"/>
        <v>-1000</v>
      </c>
      <c r="R131" t="str">
        <f t="shared" si="80"/>
        <v>. 20. območja notranjih komunikacij</v>
      </c>
    </row>
    <row r="132" spans="2:18" ht="25.5">
      <c r="B132" s="249" t="s">
        <v>1026</v>
      </c>
      <c r="C132" s="250"/>
      <c r="D132" s="250" t="s">
        <v>205</v>
      </c>
      <c r="E132" s="250"/>
      <c r="F132" s="250"/>
      <c r="G132" s="250"/>
      <c r="I132" s="1268">
        <v>150</v>
      </c>
      <c r="J132" s="1268">
        <v>350</v>
      </c>
      <c r="K132" s="1295">
        <v>-800</v>
      </c>
      <c r="L132" s="1285"/>
      <c r="Q132" s="1285">
        <f t="shared" si="79"/>
        <v>-1000</v>
      </c>
      <c r="R132" t="str">
        <f t="shared" si="80"/>
        <v>. 21. Kopirnice, prostori za čistila ali drugi pomožni prostori brez konstrukcijskih elementov</v>
      </c>
    </row>
    <row r="133" spans="2:18" ht="25.5">
      <c r="B133" s="249" t="s">
        <v>1027</v>
      </c>
      <c r="C133" s="250"/>
      <c r="D133" s="250"/>
      <c r="E133" s="250" t="s">
        <v>205</v>
      </c>
      <c r="F133" s="250"/>
      <c r="G133" s="250"/>
      <c r="I133" s="1268">
        <v>600</v>
      </c>
      <c r="J133" s="1268">
        <v>900</v>
      </c>
      <c r="K133" s="1295">
        <v>-400</v>
      </c>
      <c r="L133" s="1285"/>
      <c r="Q133" s="1285">
        <f t="shared" si="79"/>
        <v>-1000</v>
      </c>
      <c r="R133" t="str">
        <f t="shared" si="80"/>
        <v>. 22. pisarne, administrativni prostori in lounge s povprečnimi zahtevami, stopnišča, čakalnice, čajne kuhinje</v>
      </c>
    </row>
    <row r="134" spans="2:18">
      <c r="B134" s="249" t="s">
        <v>1028</v>
      </c>
      <c r="C134" s="250"/>
      <c r="D134" s="250"/>
      <c r="E134" s="250" t="s">
        <v>205</v>
      </c>
      <c r="F134" s="250"/>
      <c r="G134" s="250"/>
      <c r="I134" s="1268">
        <v>400</v>
      </c>
      <c r="J134" s="1268">
        <v>700</v>
      </c>
      <c r="K134" s="1295">
        <v>-560</v>
      </c>
      <c r="L134" s="1285"/>
      <c r="Q134" s="1285">
        <f t="shared" si="79"/>
        <v>-1000</v>
      </c>
      <c r="R134" t="str">
        <f t="shared" si="80"/>
        <v>. 23. Sanitarni prostori, utility, pomožni prostori, tehnični prostori</v>
      </c>
    </row>
    <row r="135" spans="2:18">
      <c r="B135" s="249" t="s">
        <v>1029</v>
      </c>
      <c r="C135" s="250"/>
      <c r="D135" s="250"/>
      <c r="E135" s="250" t="s">
        <v>205</v>
      </c>
      <c r="F135" s="250" t="s">
        <v>205</v>
      </c>
      <c r="G135" s="250"/>
      <c r="I135" s="1268">
        <v>700</v>
      </c>
      <c r="J135" s="1268">
        <v>1200</v>
      </c>
      <c r="K135" s="1295">
        <v>-240</v>
      </c>
      <c r="L135" s="1285"/>
      <c r="Q135" s="1285">
        <f t="shared" si="79"/>
        <v>-1000</v>
      </c>
      <c r="R135" t="str">
        <f t="shared" si="80"/>
        <v>. 24. Vhodne avle, sejne ali konferenčne sobe, menze, družabni prostori</v>
      </c>
    </row>
    <row r="136" spans="2:18">
      <c r="B136" s="249" t="s">
        <v>1030</v>
      </c>
      <c r="C136" s="250"/>
      <c r="D136" s="250"/>
      <c r="E136" s="250" t="s">
        <v>205</v>
      </c>
      <c r="F136" s="250" t="s">
        <v>205</v>
      </c>
      <c r="G136" s="250"/>
      <c r="I136" s="1268">
        <v>900</v>
      </c>
      <c r="J136" s="1268">
        <v>1400</v>
      </c>
      <c r="K136" s="1295">
        <v>-80</v>
      </c>
      <c r="L136" s="1285"/>
      <c r="Q136" s="1285">
        <f t="shared" si="79"/>
        <v>-1000</v>
      </c>
      <c r="R136" t="str">
        <f t="shared" si="80"/>
        <v>. 25. prostori za stranke, razstavni in predstavitveni prostori</v>
      </c>
    </row>
    <row r="137" spans="2:18" ht="25.5">
      <c r="B137" s="249" t="s">
        <v>1031</v>
      </c>
      <c r="C137" s="250"/>
      <c r="D137" s="250"/>
      <c r="E137" s="250"/>
      <c r="F137" s="250" t="s">
        <v>205</v>
      </c>
      <c r="G137" s="250"/>
      <c r="I137" s="1268">
        <v>1200</v>
      </c>
      <c r="J137" s="1268">
        <v>1800</v>
      </c>
      <c r="K137" s="1295">
        <v>200</v>
      </c>
      <c r="L137" s="1285"/>
      <c r="Q137" s="1285">
        <f t="shared" si="79"/>
        <v>-1000</v>
      </c>
      <c r="R137" t="str">
        <f t="shared" si="80"/>
        <v>. 26. Prostori za sestanke in konference, sodne dvorane, vodstveni prostori z opremo po meri ali sofisticirano tehnično opremo</v>
      </c>
    </row>
    <row r="138" spans="2:18" ht="25.5">
      <c r="B138" s="249" t="s">
        <v>1032</v>
      </c>
      <c r="C138" s="250"/>
      <c r="D138" s="250"/>
      <c r="E138" s="250"/>
      <c r="F138" s="250"/>
      <c r="G138" s="250" t="s">
        <v>205</v>
      </c>
      <c r="I138" s="1268">
        <v>1500</v>
      </c>
      <c r="J138" s="1268">
        <v>2500</v>
      </c>
      <c r="K138" s="1295">
        <v>600</v>
      </c>
      <c r="L138" s="1285"/>
      <c r="Q138" s="1285">
        <f t="shared" si="79"/>
        <v>-1000</v>
      </c>
      <c r="R138" t="str">
        <f t="shared" si="80"/>
        <v>. 27. Poslovne, sejne ali konferenčne sobe v prefinjenem dizajnu s pohištvom in opremo po meri, dodelano opremo ali zelo visokimi tehničnimi zahtevami</v>
      </c>
    </row>
    <row r="139" spans="2:18" ht="15.75">
      <c r="B139" s="251" t="s">
        <v>651</v>
      </c>
      <c r="C139" s="252"/>
      <c r="D139" s="252"/>
      <c r="E139" s="252"/>
      <c r="F139" s="252"/>
      <c r="G139" s="252"/>
      <c r="I139" s="1267">
        <f>AVERAGE(I140:I144)</f>
        <v>860</v>
      </c>
      <c r="J139" s="1267">
        <f t="shared" ref="J139:K139" si="84">AVERAGE(J140:J144)</f>
        <v>1520</v>
      </c>
      <c r="K139" s="1267">
        <f t="shared" si="84"/>
        <v>-48</v>
      </c>
      <c r="L139" s="1285"/>
      <c r="Q139" s="1285"/>
      <c r="R139" t="str">
        <f t="shared" si="80"/>
        <v>. 4. Zdravstveni prostori in prostori za oskrbo</v>
      </c>
    </row>
    <row r="140" spans="2:18">
      <c r="B140" s="249" t="s">
        <v>1033</v>
      </c>
      <c r="C140" s="250" t="s">
        <v>205</v>
      </c>
      <c r="D140" s="250"/>
      <c r="E140" s="250"/>
      <c r="F140" s="250"/>
      <c r="G140" s="250"/>
      <c r="I140" s="1268">
        <v>300</v>
      </c>
      <c r="J140" s="1268">
        <v>700</v>
      </c>
      <c r="K140" s="1295">
        <v>-600</v>
      </c>
      <c r="L140" s="1285"/>
      <c r="Q140" s="1285">
        <f t="shared" si="79"/>
        <v>-1000</v>
      </c>
      <c r="R140" t="str">
        <f t="shared" si="80"/>
        <v>. 28. Odprte igralnice ali avle</v>
      </c>
    </row>
    <row r="141" spans="2:18">
      <c r="B141" s="249" t="s">
        <v>1034</v>
      </c>
      <c r="C141" s="250"/>
      <c r="D141" s="250" t="s">
        <v>205</v>
      </c>
      <c r="E141" s="250"/>
      <c r="F141" s="250"/>
      <c r="G141" s="250"/>
      <c r="I141" s="1268">
        <v>200</v>
      </c>
      <c r="J141" s="1268">
        <v>500</v>
      </c>
      <c r="K141" s="1295">
        <v>-720</v>
      </c>
      <c r="L141" s="1285"/>
      <c r="Q141" s="1285">
        <f t="shared" si="79"/>
        <v>-1000</v>
      </c>
      <c r="R141" t="str">
        <f t="shared" si="80"/>
        <v>. 29. Preprosti prostori za počitek ali pomožni prostori</v>
      </c>
    </row>
    <row r="142" spans="2:18" ht="25.5">
      <c r="B142" s="249" t="s">
        <v>1035</v>
      </c>
      <c r="C142" s="250"/>
      <c r="D142" s="250"/>
      <c r="E142" s="250" t="s">
        <v>205</v>
      </c>
      <c r="F142" s="250"/>
      <c r="G142" s="250"/>
      <c r="I142" s="1268">
        <v>600</v>
      </c>
      <c r="J142" s="1268">
        <v>900</v>
      </c>
      <c r="K142" s="1295">
        <v>-400</v>
      </c>
      <c r="L142" s="1285"/>
      <c r="Q142" s="1285">
        <f t="shared" si="79"/>
        <v>-1000</v>
      </c>
      <c r="R142" t="str">
        <f t="shared" si="80"/>
        <v>. 30. posvetovalne, negovalne, bolniške, bivalne ali družabne sobe s povprečnimi potrebami brez medicinsko tehnične opreme</v>
      </c>
    </row>
    <row r="143" spans="2:18" ht="38.25">
      <c r="B143" s="249" t="s">
        <v>1036</v>
      </c>
      <c r="C143" s="250"/>
      <c r="D143" s="250"/>
      <c r="E143" s="250"/>
      <c r="F143" s="250" t="s">
        <v>205</v>
      </c>
      <c r="G143" s="250"/>
      <c r="I143" s="1268">
        <v>1200</v>
      </c>
      <c r="J143" s="1268">
        <v>2000</v>
      </c>
      <c r="K143" s="1295">
        <v>280</v>
      </c>
      <c r="L143" s="1285"/>
      <c r="Q143" s="1285">
        <f t="shared" si="79"/>
        <v>-1000</v>
      </c>
      <c r="R143" t="str">
        <f t="shared" si="80"/>
        <v>. 31. ambulante in prostori za oskrbo z opremo ali medicinsko tehnološko opremo v zdravstvenih, terapevtskih, rehabilitacijskih ali negovalnih ustanovah in ambulantah ordinacijah</v>
      </c>
    </row>
    <row r="144" spans="2:18">
      <c r="B144" s="249" t="s">
        <v>1037</v>
      </c>
      <c r="C144" s="250"/>
      <c r="D144" s="250"/>
      <c r="E144" s="250"/>
      <c r="F144" s="250" t="s">
        <v>205</v>
      </c>
      <c r="G144" s="250" t="s">
        <v>205</v>
      </c>
      <c r="I144" s="1268">
        <v>2000</v>
      </c>
      <c r="J144" s="1268">
        <v>3500</v>
      </c>
      <c r="K144" s="1295">
        <v>1200</v>
      </c>
      <c r="L144" s="1285"/>
      <c r="Q144" s="1285">
        <f t="shared" si="79"/>
        <v>-1000</v>
      </c>
      <c r="R144" t="str">
        <f t="shared" si="80"/>
        <v>. 32. Operacijske dvorane, porodne sobe, rentgenske sobe</v>
      </c>
    </row>
    <row r="145" spans="2:18" ht="15.75">
      <c r="B145" s="251" t="s">
        <v>652</v>
      </c>
      <c r="C145" s="252"/>
      <c r="D145" s="252"/>
      <c r="E145" s="252"/>
      <c r="F145" s="252"/>
      <c r="G145" s="252"/>
      <c r="I145" s="1267">
        <f>AVERAGE(I146:I154)</f>
        <v>666.66666666666663</v>
      </c>
      <c r="J145" s="1267">
        <f t="shared" ref="J145:K145" si="85">AVERAGE(J146:J154)</f>
        <v>1188.8888888888889</v>
      </c>
      <c r="K145" s="1267">
        <f t="shared" si="85"/>
        <v>-257.77777777777777</v>
      </c>
      <c r="L145" s="1285"/>
      <c r="Q145" s="1285"/>
      <c r="R145" t="str">
        <f t="shared" si="80"/>
        <v>. 5. Trgovina in gostinstvo</v>
      </c>
    </row>
    <row r="146" spans="2:18">
      <c r="B146" s="249" t="s">
        <v>1038</v>
      </c>
      <c r="C146" s="250" t="s">
        <v>205</v>
      </c>
      <c r="D146" s="250"/>
      <c r="E146" s="250"/>
      <c r="F146" s="250"/>
      <c r="G146" s="250"/>
      <c r="I146" s="1268">
        <v>100</v>
      </c>
      <c r="J146" s="1268">
        <v>300</v>
      </c>
      <c r="K146" s="1295">
        <v>-840</v>
      </c>
      <c r="L146" s="1285"/>
      <c r="Q146" s="1285">
        <f t="shared" si="79"/>
        <v>-1000</v>
      </c>
      <c r="R146" t="str">
        <f t="shared" si="80"/>
        <v>. 33. Prodajne stojnice za začasno uporabo</v>
      </c>
    </row>
    <row r="147" spans="2:18" ht="25.5">
      <c r="B147" s="249" t="s">
        <v>1039</v>
      </c>
      <c r="C147" s="250"/>
      <c r="D147" s="250" t="s">
        <v>205</v>
      </c>
      <c r="E147" s="250"/>
      <c r="F147" s="250"/>
      <c r="G147" s="250"/>
      <c r="I147" s="1268">
        <v>200</v>
      </c>
      <c r="J147" s="1268">
        <v>500</v>
      </c>
      <c r="K147" s="1295">
        <v>-720</v>
      </c>
      <c r="L147" s="1285"/>
      <c r="Q147" s="1285">
        <f t="shared" si="79"/>
        <v>-1000</v>
      </c>
      <c r="R147" t="str">
        <f t="shared" si="80"/>
        <v>. 34. Kioski, prodajna skladišča, pomožni prostori s preprosto opremo in opremo</v>
      </c>
    </row>
    <row r="148" spans="2:18" ht="25.5">
      <c r="B148" s="249" t="s">
        <v>1040</v>
      </c>
      <c r="C148" s="250"/>
      <c r="D148" s="250"/>
      <c r="E148" s="250" t="s">
        <v>205</v>
      </c>
      <c r="F148" s="250"/>
      <c r="G148" s="250"/>
      <c r="I148" s="1268">
        <v>600</v>
      </c>
      <c r="J148" s="1268">
        <v>1000</v>
      </c>
      <c r="K148" s="1295">
        <v>-360</v>
      </c>
      <c r="L148" s="1285"/>
      <c r="Q148" s="1285">
        <f t="shared" si="79"/>
        <v>-1000</v>
      </c>
      <c r="R148" t="str">
        <f t="shared" si="80"/>
        <v>. 35. Povprečne trgovine ali restavracije, nakupovalne površine, restavracije s hitro hrano</v>
      </c>
    </row>
    <row r="149" spans="2:18" ht="25.5">
      <c r="B149" s="249" t="s">
        <v>1041</v>
      </c>
      <c r="C149" s="250"/>
      <c r="D149" s="250"/>
      <c r="E149" s="250"/>
      <c r="F149" s="250" t="s">
        <v>205</v>
      </c>
      <c r="G149" s="250"/>
      <c r="I149" s="1268">
        <v>1000</v>
      </c>
      <c r="J149" s="1268">
        <v>1800</v>
      </c>
      <c r="K149" s="1295">
        <v>120</v>
      </c>
      <c r="L149" s="1285"/>
      <c r="Q149" s="1285">
        <f t="shared" si="79"/>
        <v>-1000</v>
      </c>
      <c r="R149" t="str">
        <f t="shared" si="80"/>
        <v>. 36. Specializirane trgovine, butiki, razstavni saloni, kinodvorane, velike kuhinje</v>
      </c>
    </row>
    <row r="150" spans="2:18">
      <c r="B150" s="249" t="s">
        <v>1042</v>
      </c>
      <c r="C150" s="250"/>
      <c r="D150" s="250"/>
      <c r="E150" s="250" t="s">
        <v>205</v>
      </c>
      <c r="F150" s="250"/>
      <c r="G150" s="250"/>
      <c r="I150" s="1268">
        <v>400</v>
      </c>
      <c r="J150" s="1268">
        <v>800</v>
      </c>
      <c r="K150" s="1295">
        <v>-520</v>
      </c>
      <c r="L150" s="1285"/>
      <c r="Q150" s="1285">
        <f t="shared" si="79"/>
        <v>-1000</v>
      </c>
      <c r="R150" t="str">
        <f t="shared" si="80"/>
        <v>. 37. Razstavna stojala, če se uporabljajo sistemske ali modularne komponente</v>
      </c>
    </row>
    <row r="151" spans="2:18">
      <c r="B151" s="249" t="s">
        <v>1043</v>
      </c>
      <c r="C151" s="250"/>
      <c r="D151" s="250"/>
      <c r="E151" s="250"/>
      <c r="F151" s="250" t="s">
        <v>205</v>
      </c>
      <c r="G151" s="250"/>
      <c r="I151" s="1268">
        <v>700</v>
      </c>
      <c r="J151" s="1268">
        <v>1200</v>
      </c>
      <c r="K151" s="1295">
        <v>-240</v>
      </c>
      <c r="L151" s="1285"/>
      <c r="Q151" s="1285">
        <f t="shared" si="79"/>
        <v>-1000</v>
      </c>
      <c r="R151" t="str">
        <f t="shared" si="80"/>
        <v>. 38. Posamezne razstavne stojnice</v>
      </c>
    </row>
    <row r="152" spans="2:18" ht="25.5">
      <c r="B152" s="249" t="s">
        <v>1044</v>
      </c>
      <c r="C152" s="250"/>
      <c r="D152" s="250"/>
      <c r="E152" s="250"/>
      <c r="F152" s="250" t="s">
        <v>205</v>
      </c>
      <c r="G152" s="250"/>
      <c r="I152" s="1268">
        <v>900</v>
      </c>
      <c r="J152" s="1268">
        <v>1500</v>
      </c>
      <c r="K152" s="1295">
        <v>-40</v>
      </c>
      <c r="L152" s="1285"/>
      <c r="Q152" s="1285">
        <f t="shared" si="79"/>
        <v>-1000</v>
      </c>
      <c r="R152" t="str">
        <f t="shared" si="80"/>
        <v>. 39. sobe za goste, visokokakovostni sanitarni prostori, na primer v restavracijah, barih, vinskih barih, kavarnah, klubskih sobah</v>
      </c>
    </row>
    <row r="153" spans="2:18" ht="25.5">
      <c r="B153" s="249" t="s">
        <v>1045</v>
      </c>
      <c r="C153" s="250"/>
      <c r="D153" s="250"/>
      <c r="E153" s="250" t="s">
        <v>205</v>
      </c>
      <c r="F153" s="250"/>
      <c r="G153" s="250"/>
      <c r="I153" s="1268">
        <v>700</v>
      </c>
      <c r="J153" s="1268">
        <v>1100</v>
      </c>
      <c r="K153" s="1295">
        <v>-280</v>
      </c>
      <c r="L153" s="1285"/>
      <c r="Q153" s="1285">
        <f t="shared" si="79"/>
        <v>-1000</v>
      </c>
      <c r="R153" t="str">
        <f t="shared" si="80"/>
        <v>. 40. gostinski ali sanitarni prostori, na primer v penzionih ali hotelih s povprečnimi zahtevami ali napravami ali opremo</v>
      </c>
    </row>
    <row r="154" spans="2:18" ht="25.5">
      <c r="B154" s="249" t="s">
        <v>1046</v>
      </c>
      <c r="C154" s="250"/>
      <c r="D154" s="250"/>
      <c r="E154" s="250"/>
      <c r="F154" s="250" t="s">
        <v>205</v>
      </c>
      <c r="G154" s="250"/>
      <c r="I154" s="1268">
        <v>1400</v>
      </c>
      <c r="J154" s="1268">
        <v>2500</v>
      </c>
      <c r="K154" s="1295">
        <v>560</v>
      </c>
      <c r="L154" s="1285"/>
      <c r="Q154" s="1285">
        <f t="shared" si="79"/>
        <v>-1000</v>
      </c>
      <c r="R154" t="str">
        <f t="shared" si="80"/>
        <v>. 41. Prostori za goste, recepcije ali zabaviščni prostori v hotelih z individualno zasnovo ali opremo ali z vrhunsko opremo ali tehnično opremo</v>
      </c>
    </row>
    <row r="155" spans="2:18" ht="15.75">
      <c r="B155" s="251" t="s">
        <v>653</v>
      </c>
      <c r="C155" s="252"/>
      <c r="D155" s="252"/>
      <c r="E155" s="252"/>
      <c r="F155" s="252"/>
      <c r="G155" s="252"/>
      <c r="I155" s="1267">
        <f>AVERAGE(I156:I158)</f>
        <v>666.66666666666663</v>
      </c>
      <c r="J155" s="1267">
        <f t="shared" ref="J155:K155" si="86">AVERAGE(J156:J158)</f>
        <v>1133.3333333333333</v>
      </c>
      <c r="K155" s="1267">
        <f t="shared" si="86"/>
        <v>-280</v>
      </c>
      <c r="L155" s="1285"/>
      <c r="Q155" s="1285"/>
      <c r="R155" t="str">
        <f t="shared" si="80"/>
        <v>. 6. Šport in prosti čas</v>
      </c>
    </row>
    <row r="156" spans="2:18">
      <c r="B156" s="249" t="s">
        <v>1047</v>
      </c>
      <c r="C156" s="250"/>
      <c r="D156" s="250" t="s">
        <v>205</v>
      </c>
      <c r="E156" s="250"/>
      <c r="F156" s="250"/>
      <c r="G156" s="250"/>
      <c r="I156" s="1268">
        <v>300</v>
      </c>
      <c r="J156" s="1268">
        <v>500</v>
      </c>
      <c r="K156" s="1295">
        <v>-680</v>
      </c>
      <c r="L156" s="1285"/>
      <c r="Q156" s="1285">
        <f t="shared" si="79"/>
        <v>-1000</v>
      </c>
      <c r="R156" t="str">
        <f t="shared" si="80"/>
        <v>. 42. Pomožni ali servisni prostori v športnih objektih ali bazenih</v>
      </c>
    </row>
    <row r="157" spans="2:18">
      <c r="B157" s="249" t="s">
        <v>1048</v>
      </c>
      <c r="C157" s="250"/>
      <c r="D157" s="250"/>
      <c r="E157" s="250" t="s">
        <v>205</v>
      </c>
      <c r="F157" s="250" t="s">
        <v>205</v>
      </c>
      <c r="G157" s="250"/>
      <c r="I157" s="1268">
        <v>1000</v>
      </c>
      <c r="J157" s="1268">
        <v>1800</v>
      </c>
      <c r="K157" s="1295">
        <v>120</v>
      </c>
      <c r="L157" s="1285"/>
      <c r="Q157" s="1285">
        <f t="shared" si="79"/>
        <v>-1000</v>
      </c>
      <c r="R157" t="str">
        <f t="shared" si="80"/>
        <v>. 43. Bazeni, fitnes, wellness ali savna, veliki športni objekti</v>
      </c>
    </row>
    <row r="158" spans="2:18">
      <c r="B158" s="249" t="s">
        <v>1049</v>
      </c>
      <c r="C158" s="250"/>
      <c r="D158" s="250"/>
      <c r="E158" s="250" t="s">
        <v>205</v>
      </c>
      <c r="F158" s="250" t="s">
        <v>205</v>
      </c>
      <c r="G158" s="250"/>
      <c r="I158" s="1268">
        <v>700</v>
      </c>
      <c r="J158" s="1268">
        <v>1100</v>
      </c>
      <c r="K158" s="1295">
        <v>-280</v>
      </c>
      <c r="L158" s="1285"/>
      <c r="Q158" s="1285">
        <f t="shared" si="79"/>
        <v>-1000</v>
      </c>
      <c r="R158" t="str">
        <f t="shared" si="80"/>
        <v>. 44. Športne, večnamenske ali mestne dvorane, telovadnice, plesne šole</v>
      </c>
    </row>
    <row r="159" spans="2:18" ht="15.75">
      <c r="B159" s="251" t="s">
        <v>692</v>
      </c>
      <c r="C159" s="252"/>
      <c r="D159" s="252"/>
      <c r="E159" s="252"/>
      <c r="F159" s="252"/>
      <c r="G159" s="252"/>
      <c r="I159" s="1267">
        <f>AVERAGE(I160:I164)</f>
        <v>450</v>
      </c>
      <c r="J159" s="1267">
        <f t="shared" ref="J159:K159" si="87">AVERAGE(J160:J164)</f>
        <v>810</v>
      </c>
      <c r="K159" s="1267">
        <f t="shared" si="87"/>
        <v>-496</v>
      </c>
      <c r="L159" s="1285"/>
      <c r="Q159" s="1285"/>
      <c r="R159" t="str">
        <f t="shared" si="80"/>
        <v>. 7. Gospodarstvo, industrija, kmetijstvo, promet</v>
      </c>
    </row>
    <row r="160" spans="2:18">
      <c r="B160" s="249" t="s">
        <v>1050</v>
      </c>
      <c r="C160" s="250"/>
      <c r="D160" s="250" t="s">
        <v>205</v>
      </c>
      <c r="E160" s="250"/>
      <c r="F160" s="250"/>
      <c r="G160" s="250"/>
      <c r="I160" s="1268">
        <v>150</v>
      </c>
      <c r="J160" s="1268">
        <v>350</v>
      </c>
      <c r="K160" s="1295">
        <v>-800</v>
      </c>
      <c r="L160" s="1285"/>
      <c r="Q160" s="1285">
        <f t="shared" si="79"/>
        <v>-1000</v>
      </c>
      <c r="R160" t="str">
        <f t="shared" si="80"/>
        <v>. 45. Preproste dvorane ali delavnice brez posebne opreme, paviljoni</v>
      </c>
    </row>
    <row r="161" spans="1:19">
      <c r="B161" s="249" t="s">
        <v>1051</v>
      </c>
      <c r="C161" s="250"/>
      <c r="D161" s="250" t="s">
        <v>205</v>
      </c>
      <c r="E161" s="250" t="s">
        <v>205</v>
      </c>
      <c r="F161" s="250"/>
      <c r="G161" s="250"/>
      <c r="I161" s="1268">
        <v>100</v>
      </c>
      <c r="J161" s="1268">
        <v>300</v>
      </c>
      <c r="K161" s="1295">
        <v>-840</v>
      </c>
      <c r="L161" s="1285"/>
      <c r="Q161" s="1285">
        <f t="shared" si="79"/>
        <v>-1000</v>
      </c>
      <c r="R161" t="str">
        <f t="shared" si="80"/>
        <v>. 46. Kmetijski gospodarski prostori</v>
      </c>
    </row>
    <row r="162" spans="1:19">
      <c r="B162" s="249" t="s">
        <v>1052</v>
      </c>
      <c r="C162" s="250"/>
      <c r="D162" s="250"/>
      <c r="E162" s="250" t="s">
        <v>205</v>
      </c>
      <c r="F162" s="250" t="s">
        <v>205</v>
      </c>
      <c r="G162" s="250"/>
      <c r="I162" s="1268">
        <v>400</v>
      </c>
      <c r="J162" s="1268">
        <v>800</v>
      </c>
      <c r="K162" s="1295">
        <v>-520</v>
      </c>
      <c r="L162" s="1285"/>
      <c r="Q162" s="1285">
        <f t="shared" si="79"/>
        <v>-1000</v>
      </c>
      <c r="R162" t="str">
        <f t="shared" si="80"/>
        <v>. 47. Trgovski prostori, delavnice s tehnično ali mehansko opremo</v>
      </c>
    </row>
    <row r="163" spans="1:19">
      <c r="B163" s="249" t="s">
        <v>1053</v>
      </c>
      <c r="C163" s="250"/>
      <c r="D163" s="250"/>
      <c r="E163" s="250"/>
      <c r="F163" s="250" t="s">
        <v>205</v>
      </c>
      <c r="G163" s="250"/>
      <c r="I163" s="1268">
        <v>700</v>
      </c>
      <c r="J163" s="1268">
        <v>1100</v>
      </c>
      <c r="K163" s="1295">
        <v>-280</v>
      </c>
      <c r="L163" s="1285"/>
      <c r="Q163" s="1285">
        <f t="shared" si="79"/>
        <v>-1000</v>
      </c>
      <c r="R163" t="str">
        <f t="shared" si="80"/>
        <v>. 48. Celotne delavnice ali industrijski objekti</v>
      </c>
    </row>
    <row r="164" spans="1:19">
      <c r="B164" s="249" t="s">
        <v>1054</v>
      </c>
      <c r="C164" s="250"/>
      <c r="D164" s="250"/>
      <c r="E164" s="250"/>
      <c r="F164" s="250" t="s">
        <v>205</v>
      </c>
      <c r="G164" s="250" t="s">
        <v>205</v>
      </c>
      <c r="I164" s="1268">
        <v>900</v>
      </c>
      <c r="J164" s="1268">
        <v>1500</v>
      </c>
      <c r="K164" s="1295">
        <v>-40</v>
      </c>
      <c r="L164" s="1285"/>
      <c r="Q164" s="1285">
        <f t="shared" si="79"/>
        <v>-1000</v>
      </c>
      <c r="R164" t="str">
        <f t="shared" si="80"/>
        <v>. 49. Gostinska ali poslovna območja na letališčih, železniških postajah</v>
      </c>
    </row>
    <row r="165" spans="1:19" ht="15.75">
      <c r="B165" s="251" t="s">
        <v>647</v>
      </c>
      <c r="C165" s="433"/>
      <c r="D165" s="433"/>
      <c r="E165" s="433"/>
      <c r="F165" s="433"/>
      <c r="G165" s="433"/>
      <c r="I165" s="1267">
        <f>AVERAGE(I166)</f>
        <v>100</v>
      </c>
      <c r="J165" s="1267">
        <f t="shared" ref="J165:K165" si="88">AVERAGE(J166)</f>
        <v>250</v>
      </c>
      <c r="K165" s="1267">
        <f t="shared" si="88"/>
        <v>-860</v>
      </c>
      <c r="L165" s="1285"/>
      <c r="Q165" s="1285"/>
      <c r="R165" t="str">
        <f t="shared" si="80"/>
        <v>. 8. Infrastruktura</v>
      </c>
    </row>
    <row r="166" spans="1:19">
      <c r="B166" s="249" t="s">
        <v>1055</v>
      </c>
      <c r="C166" s="250"/>
      <c r="D166" s="250" t="s">
        <v>205</v>
      </c>
      <c r="E166" s="250"/>
      <c r="F166" s="250"/>
      <c r="G166" s="250"/>
      <c r="I166" s="1268">
        <v>100</v>
      </c>
      <c r="J166" s="1268">
        <v>250</v>
      </c>
      <c r="K166" s="1295">
        <v>-860</v>
      </c>
      <c r="L166" s="1285"/>
      <c r="Q166" s="1285">
        <f t="shared" si="79"/>
        <v>-1000</v>
      </c>
      <c r="R166" t="str">
        <f t="shared" si="80"/>
        <v>. 50. Prostori v podzemnih garažah, podhodih</v>
      </c>
    </row>
    <row r="167" spans="1:19" ht="15.75">
      <c r="B167" s="251" t="s">
        <v>662</v>
      </c>
      <c r="C167" s="252"/>
      <c r="D167" s="252"/>
      <c r="E167" s="252"/>
      <c r="F167" s="252"/>
      <c r="G167" s="252"/>
      <c r="I167" s="1267">
        <f>AVERAGE(I168:I170)</f>
        <v>1133.3333333333333</v>
      </c>
      <c r="J167" s="1267">
        <f t="shared" ref="J167:K167" si="89">AVERAGE(J168:J170)</f>
        <v>2100</v>
      </c>
      <c r="K167" s="1267">
        <f t="shared" si="89"/>
        <v>293.33333333333331</v>
      </c>
      <c r="L167" s="1285"/>
      <c r="Q167" s="1285"/>
      <c r="R167" t="str">
        <f t="shared" si="80"/>
        <v>. 9. Kultura, prostori za obrede</v>
      </c>
    </row>
    <row r="168" spans="1:19">
      <c r="B168" s="257" t="s">
        <v>1056</v>
      </c>
      <c r="C168" s="250"/>
      <c r="D168" s="250"/>
      <c r="E168" s="250"/>
      <c r="F168" s="250" t="s">
        <v>205</v>
      </c>
      <c r="G168" s="250" t="s">
        <v>205</v>
      </c>
      <c r="I168" s="1268">
        <v>700</v>
      </c>
      <c r="J168" s="1268">
        <v>1300</v>
      </c>
      <c r="K168" s="1295">
        <v>-200</v>
      </c>
      <c r="L168" s="1285"/>
      <c r="Q168" s="1285">
        <f t="shared" si="79"/>
        <v>-1000</v>
      </c>
      <c r="R168" t="str">
        <f t="shared" si="80"/>
        <v>. 51. Kulturni ali sakralnI objekti, verski prostori</v>
      </c>
    </row>
    <row r="169" spans="1:19">
      <c r="B169" s="249" t="s">
        <v>1057</v>
      </c>
      <c r="C169" s="250"/>
      <c r="D169" s="250"/>
      <c r="E169" s="250"/>
      <c r="F169" s="250" t="s">
        <v>205</v>
      </c>
      <c r="G169" s="250" t="s">
        <v>205</v>
      </c>
      <c r="I169" s="1268">
        <v>1200</v>
      </c>
      <c r="J169" s="1268">
        <v>2000</v>
      </c>
      <c r="K169" s="1295">
        <v>280</v>
      </c>
      <c r="L169" s="1285"/>
      <c r="Q169" s="1285">
        <f t="shared" si="79"/>
        <v>-1000</v>
      </c>
      <c r="R169" t="str">
        <f t="shared" si="80"/>
        <v>. 52. Individualno oblikovane razstavne, muzejske ali gledališke površine</v>
      </c>
    </row>
    <row r="170" spans="1:19" ht="25.5">
      <c r="B170" s="342" t="s">
        <v>1058</v>
      </c>
      <c r="C170" s="343"/>
      <c r="D170" s="343"/>
      <c r="E170" s="343"/>
      <c r="F170" s="343"/>
      <c r="G170" s="343" t="s">
        <v>205</v>
      </c>
      <c r="I170" s="1268">
        <v>1500</v>
      </c>
      <c r="J170" s="1268">
        <v>3000</v>
      </c>
      <c r="K170" s="1296">
        <v>800</v>
      </c>
      <c r="L170" s="1285"/>
      <c r="Q170" s="1285">
        <f t="shared" si="79"/>
        <v>-1000</v>
      </c>
      <c r="R170" t="str">
        <f t="shared" si="80"/>
        <v>. 53. Koncertne ali gledališke dvorane, studijske sobe za radio, televizijo ali gledališče</v>
      </c>
    </row>
    <row r="171" spans="1:19">
      <c r="I171" s="345"/>
      <c r="J171" s="345"/>
    </row>
    <row r="172" spans="1:19" ht="15.75">
      <c r="A172" s="356"/>
      <c r="B172" s="356" t="s">
        <v>531</v>
      </c>
      <c r="C172" s="356"/>
      <c r="D172" s="356"/>
      <c r="E172" s="356"/>
      <c r="F172" s="356"/>
      <c r="G172" s="356"/>
      <c r="H172" s="355"/>
      <c r="I172" s="356" t="s">
        <v>524</v>
      </c>
      <c r="J172" s="355"/>
      <c r="P172" s="355"/>
      <c r="S172" s="358"/>
    </row>
    <row r="173" spans="1:19" ht="15.75">
      <c r="A173" s="187" t="s">
        <v>3</v>
      </c>
      <c r="B173" s="189" t="s">
        <v>85</v>
      </c>
      <c r="C173" s="189"/>
      <c r="D173" s="189"/>
      <c r="E173" s="189"/>
      <c r="F173" s="242" t="s">
        <v>68</v>
      </c>
      <c r="G173" s="956"/>
      <c r="I173" s="197" t="s">
        <v>70</v>
      </c>
      <c r="J173" s="197"/>
      <c r="K173" s="197" t="s">
        <v>169</v>
      </c>
      <c r="L173" s="197"/>
      <c r="M173" s="197"/>
      <c r="N173" s="197"/>
      <c r="O173" s="197"/>
    </row>
    <row r="174" spans="1:19" ht="15.75">
      <c r="A174" s="190" t="s">
        <v>4</v>
      </c>
      <c r="B174" s="192" t="s">
        <v>86</v>
      </c>
      <c r="C174" s="192"/>
      <c r="D174" s="192"/>
      <c r="E174" s="192"/>
      <c r="F174" s="243" t="s">
        <v>68</v>
      </c>
      <c r="G174" s="957"/>
      <c r="I174" s="198" t="s">
        <v>71</v>
      </c>
      <c r="J174" s="198"/>
      <c r="K174" s="198" t="s">
        <v>170</v>
      </c>
      <c r="L174" s="198"/>
      <c r="M174" s="198"/>
      <c r="N174" s="198"/>
      <c r="O174" s="198"/>
    </row>
    <row r="175" spans="1:19" ht="15.75">
      <c r="A175" s="190" t="s">
        <v>5</v>
      </c>
      <c r="B175" s="192" t="s">
        <v>87</v>
      </c>
      <c r="C175" s="192"/>
      <c r="D175" s="192"/>
      <c r="E175" s="192"/>
      <c r="F175" s="243" t="s">
        <v>68</v>
      </c>
      <c r="G175" s="957"/>
      <c r="I175" s="198" t="s">
        <v>72</v>
      </c>
      <c r="J175" s="198"/>
      <c r="K175" s="198" t="s">
        <v>171</v>
      </c>
      <c r="L175" s="198"/>
      <c r="M175" s="198"/>
      <c r="N175" s="198"/>
      <c r="O175" s="198"/>
    </row>
    <row r="176" spans="1:19" ht="15.75">
      <c r="A176" s="190" t="s">
        <v>93</v>
      </c>
      <c r="B176" s="192" t="s">
        <v>88</v>
      </c>
      <c r="C176" s="192"/>
      <c r="D176" s="192"/>
      <c r="E176" s="192"/>
      <c r="F176" s="243" t="s">
        <v>68</v>
      </c>
      <c r="G176" s="957"/>
      <c r="I176" s="198" t="s">
        <v>73</v>
      </c>
      <c r="J176" s="198"/>
      <c r="K176" s="198" t="s">
        <v>172</v>
      </c>
      <c r="L176" s="198"/>
      <c r="M176" s="198"/>
      <c r="N176" s="198"/>
      <c r="O176" s="198"/>
    </row>
    <row r="177" spans="1:26" ht="15.75">
      <c r="A177" s="190" t="s">
        <v>94</v>
      </c>
      <c r="B177" s="192" t="s">
        <v>89</v>
      </c>
      <c r="C177" s="192"/>
      <c r="D177" s="192"/>
      <c r="E177" s="192"/>
      <c r="F177" s="243" t="s">
        <v>69</v>
      </c>
      <c r="G177" s="957"/>
      <c r="I177" s="199" t="s">
        <v>74</v>
      </c>
      <c r="J177" s="199"/>
      <c r="K177" s="199" t="s">
        <v>173</v>
      </c>
      <c r="L177" s="199"/>
      <c r="M177" s="199"/>
      <c r="N177" s="199"/>
      <c r="O177" s="199"/>
    </row>
    <row r="178" spans="1:26" ht="15.75">
      <c r="A178" s="193" t="s">
        <v>6</v>
      </c>
      <c r="B178" s="195" t="s">
        <v>90</v>
      </c>
      <c r="C178" s="195"/>
      <c r="D178" s="195"/>
      <c r="E178" s="195"/>
      <c r="F178" s="244" t="s">
        <v>69</v>
      </c>
      <c r="G178" s="958"/>
    </row>
    <row r="179" spans="1:26" ht="15.75">
      <c r="A179" s="77"/>
      <c r="B179" s="77"/>
      <c r="C179" s="77"/>
      <c r="D179" s="77"/>
      <c r="E179" s="77"/>
      <c r="F179" s="240" t="s">
        <v>95</v>
      </c>
      <c r="G179" s="183">
        <f>SUM(G173:G178)</f>
        <v>0</v>
      </c>
    </row>
    <row r="180" spans="1:26" ht="15.75">
      <c r="B180" s="50" t="s">
        <v>193</v>
      </c>
      <c r="C180" s="48"/>
      <c r="D180" s="48"/>
      <c r="E180" s="48"/>
      <c r="F180" s="217" t="str">
        <f>IF(G179&lt;11,$I$173,IF(G179&lt;19,$I$174,IF(G179&lt;27,$I$175,IF(G179&lt;35,$I$176,IF(G179&lt;43,$I$177,"NAPAKA")))))</f>
        <v>Cenovni razred I</v>
      </c>
      <c r="G180" s="48"/>
      <c r="I180" s="228" t="s">
        <v>986</v>
      </c>
      <c r="J180" s="366">
        <v>1.3</v>
      </c>
    </row>
    <row r="182" spans="1:26">
      <c r="K182">
        <v>100</v>
      </c>
    </row>
    <row r="183" spans="1:26" ht="51">
      <c r="B183" s="223" t="s">
        <v>195</v>
      </c>
      <c r="C183" s="289" t="s">
        <v>200</v>
      </c>
      <c r="D183" s="289" t="s">
        <v>201</v>
      </c>
      <c r="E183" s="289" t="s">
        <v>202</v>
      </c>
      <c r="F183" s="289" t="s">
        <v>203</v>
      </c>
      <c r="G183" s="289" t="s">
        <v>204</v>
      </c>
      <c r="I183" s="354" t="s">
        <v>710</v>
      </c>
      <c r="J183" s="354" t="s">
        <v>711</v>
      </c>
      <c r="K183" s="1286" t="s">
        <v>718</v>
      </c>
    </row>
    <row r="184" spans="1:26" ht="15.75">
      <c r="B184" s="264" t="s">
        <v>663</v>
      </c>
      <c r="C184" s="272"/>
      <c r="D184" s="272"/>
      <c r="E184" s="272"/>
      <c r="F184" s="272"/>
      <c r="G184" s="272"/>
      <c r="K184" s="1287"/>
    </row>
    <row r="185" spans="1:26">
      <c r="B185" s="260" t="s">
        <v>359</v>
      </c>
      <c r="C185" s="261" t="s">
        <v>205</v>
      </c>
      <c r="D185" s="262"/>
      <c r="E185" s="262"/>
      <c r="F185" s="262"/>
      <c r="G185" s="262"/>
      <c r="I185" s="432">
        <f>40*$J$180</f>
        <v>52</v>
      </c>
      <c r="J185" s="432">
        <f>80*$J$180</f>
        <v>104</v>
      </c>
      <c r="K185" s="1288">
        <v>-40</v>
      </c>
      <c r="M185" s="1285"/>
    </row>
    <row r="186" spans="1:26">
      <c r="B186" s="260" t="s">
        <v>680</v>
      </c>
      <c r="C186" s="261" t="s">
        <v>205</v>
      </c>
      <c r="D186" s="262"/>
      <c r="E186" s="262"/>
      <c r="F186" s="262"/>
      <c r="G186" s="262"/>
      <c r="I186" s="432">
        <f t="shared" ref="I186:I187" si="90">40*$J$180</f>
        <v>52</v>
      </c>
      <c r="J186" s="432">
        <f>60*$J$180</f>
        <v>78</v>
      </c>
      <c r="K186" s="1288">
        <v>-50</v>
      </c>
    </row>
    <row r="187" spans="1:26" ht="25.5">
      <c r="B187" s="260" t="s">
        <v>630</v>
      </c>
      <c r="C187" s="261" t="s">
        <v>205</v>
      </c>
      <c r="D187" s="261" t="s">
        <v>205</v>
      </c>
      <c r="E187" s="262"/>
      <c r="F187" s="262"/>
      <c r="G187" s="262"/>
      <c r="I187" s="432">
        <f t="shared" si="90"/>
        <v>52</v>
      </c>
      <c r="J187" s="432">
        <f t="shared" ref="J187" si="91">80*$J$180</f>
        <v>104</v>
      </c>
      <c r="K187" s="1288">
        <v>-40</v>
      </c>
    </row>
    <row r="188" spans="1:26" ht="25.5">
      <c r="B188" s="260" t="s">
        <v>631</v>
      </c>
      <c r="C188" s="262"/>
      <c r="D188" s="262"/>
      <c r="E188" s="261" t="s">
        <v>205</v>
      </c>
      <c r="F188" s="262"/>
      <c r="G188" s="262"/>
      <c r="I188" s="432">
        <f>60*$J$180</f>
        <v>78</v>
      </c>
      <c r="J188" s="432">
        <f>120*$J$180</f>
        <v>156</v>
      </c>
      <c r="K188" s="1288">
        <v>-10</v>
      </c>
    </row>
    <row r="189" spans="1:26" ht="25.5">
      <c r="B189" s="260" t="s">
        <v>681</v>
      </c>
      <c r="C189" s="262"/>
      <c r="D189" s="262"/>
      <c r="E189" s="262"/>
      <c r="F189" s="261" t="s">
        <v>205</v>
      </c>
      <c r="G189" s="262"/>
      <c r="I189" s="432">
        <f t="shared" ref="I189:I195" si="92">60*$J$180</f>
        <v>78</v>
      </c>
      <c r="J189" s="432">
        <f t="shared" ref="J189:J195" si="93">120*$J$180</f>
        <v>156</v>
      </c>
      <c r="K189" s="1288">
        <v>-10</v>
      </c>
    </row>
    <row r="190" spans="1:26" ht="15.75">
      <c r="B190" s="260" t="s">
        <v>632</v>
      </c>
      <c r="C190" s="262"/>
      <c r="D190" s="261" t="s">
        <v>205</v>
      </c>
      <c r="E190" s="261" t="s">
        <v>205</v>
      </c>
      <c r="F190" s="262"/>
      <c r="G190" s="262"/>
      <c r="I190" s="432">
        <f t="shared" si="92"/>
        <v>78</v>
      </c>
      <c r="J190" s="432">
        <f t="shared" si="93"/>
        <v>156</v>
      </c>
      <c r="K190" s="1288">
        <v>-10</v>
      </c>
      <c r="Q190" s="59"/>
      <c r="R190" s="59"/>
      <c r="S190" s="59"/>
      <c r="T190" s="14"/>
      <c r="U190" s="14"/>
      <c r="V190" s="14"/>
      <c r="W190" s="14"/>
      <c r="X190" s="14"/>
      <c r="Y190" s="14"/>
      <c r="Z190" s="14"/>
    </row>
    <row r="191" spans="1:26">
      <c r="B191" s="260" t="s">
        <v>504</v>
      </c>
      <c r="C191" s="262"/>
      <c r="D191" s="262"/>
      <c r="E191" s="261" t="s">
        <v>205</v>
      </c>
      <c r="F191" s="262"/>
      <c r="G191" s="262"/>
      <c r="I191" s="432">
        <f t="shared" si="92"/>
        <v>78</v>
      </c>
      <c r="J191" s="432">
        <f t="shared" si="93"/>
        <v>156</v>
      </c>
      <c r="K191" s="1288">
        <v>-10</v>
      </c>
    </row>
    <row r="192" spans="1:26" ht="38.25">
      <c r="B192" s="263" t="s">
        <v>505</v>
      </c>
      <c r="C192" s="262" t="s">
        <v>205</v>
      </c>
      <c r="D192" s="262" t="s">
        <v>205</v>
      </c>
      <c r="E192" s="262"/>
      <c r="F192" s="262"/>
      <c r="G192" s="262"/>
      <c r="I192" s="432">
        <f t="shared" si="92"/>
        <v>78</v>
      </c>
      <c r="J192" s="432">
        <f t="shared" si="93"/>
        <v>156</v>
      </c>
      <c r="K192" s="1288">
        <v>-10</v>
      </c>
      <c r="U192" s="73"/>
      <c r="V192" s="73"/>
      <c r="W192" s="73"/>
      <c r="X192" s="73"/>
      <c r="Y192" s="73"/>
      <c r="Z192" s="73"/>
    </row>
    <row r="193" spans="2:26">
      <c r="B193" s="260" t="s">
        <v>640</v>
      </c>
      <c r="C193" s="262"/>
      <c r="D193" s="261"/>
      <c r="E193" s="261"/>
      <c r="F193" s="262" t="s">
        <v>205</v>
      </c>
      <c r="G193" s="262"/>
      <c r="I193" s="432">
        <f t="shared" si="92"/>
        <v>78</v>
      </c>
      <c r="J193" s="432">
        <f t="shared" si="93"/>
        <v>156</v>
      </c>
      <c r="K193" s="1288">
        <v>-10</v>
      </c>
    </row>
    <row r="194" spans="2:26" ht="16.5">
      <c r="B194" s="265" t="s">
        <v>664</v>
      </c>
      <c r="C194" s="273"/>
      <c r="D194" s="273"/>
      <c r="E194" s="273"/>
      <c r="F194" s="273"/>
      <c r="G194" s="273"/>
      <c r="I194" s="432">
        <f t="shared" si="92"/>
        <v>78</v>
      </c>
      <c r="J194" s="432">
        <f t="shared" si="93"/>
        <v>156</v>
      </c>
      <c r="K194" s="1288"/>
      <c r="U194" s="73"/>
      <c r="V194" s="78"/>
      <c r="W194" s="73"/>
      <c r="X194" s="73"/>
      <c r="Y194" s="73"/>
      <c r="Z194" s="73"/>
    </row>
    <row r="195" spans="2:26" ht="16.5">
      <c r="B195" s="260" t="s">
        <v>636</v>
      </c>
      <c r="C195" s="262"/>
      <c r="D195" s="262" t="s">
        <v>205</v>
      </c>
      <c r="E195" s="262" t="s">
        <v>205</v>
      </c>
      <c r="F195" s="261"/>
      <c r="G195" s="262"/>
      <c r="I195" s="432">
        <f t="shared" si="92"/>
        <v>78</v>
      </c>
      <c r="J195" s="432">
        <f t="shared" si="93"/>
        <v>156</v>
      </c>
      <c r="K195" s="1288">
        <v>-10</v>
      </c>
      <c r="U195" s="73"/>
      <c r="V195" s="78"/>
      <c r="W195" s="73"/>
      <c r="X195" s="73"/>
      <c r="Y195" s="73"/>
      <c r="Z195" s="73"/>
    </row>
    <row r="196" spans="2:26" ht="16.5">
      <c r="B196" s="260" t="s">
        <v>634</v>
      </c>
      <c r="C196" s="262"/>
      <c r="D196" s="262"/>
      <c r="E196" s="262" t="s">
        <v>205</v>
      </c>
      <c r="F196" s="262" t="s">
        <v>205</v>
      </c>
      <c r="G196" s="262"/>
      <c r="I196" s="432">
        <f>120*$J$180</f>
        <v>156</v>
      </c>
      <c r="J196" s="432">
        <f>250*$J$180</f>
        <v>325</v>
      </c>
      <c r="K196" s="1288">
        <v>85</v>
      </c>
      <c r="U196" s="73"/>
      <c r="V196" s="78"/>
      <c r="W196" s="73"/>
      <c r="X196" s="73"/>
      <c r="Y196" s="73"/>
      <c r="Z196" s="73"/>
    </row>
    <row r="197" spans="2:26" ht="16.5">
      <c r="B197" s="260" t="s">
        <v>635</v>
      </c>
      <c r="C197" s="262"/>
      <c r="D197" s="262"/>
      <c r="E197" s="261" t="s">
        <v>205</v>
      </c>
      <c r="F197" s="261" t="s">
        <v>205</v>
      </c>
      <c r="G197" s="262"/>
      <c r="I197" s="432">
        <f t="shared" ref="I197:I202" si="94">120*$J$180</f>
        <v>156</v>
      </c>
      <c r="J197" s="432">
        <f t="shared" ref="J197:J202" si="95">250*$J$180</f>
        <v>325</v>
      </c>
      <c r="K197" s="1288">
        <v>85</v>
      </c>
      <c r="U197" s="73"/>
      <c r="V197" s="78"/>
      <c r="W197" s="73"/>
      <c r="X197" s="73"/>
      <c r="Y197" s="73"/>
      <c r="Z197" s="73"/>
    </row>
    <row r="198" spans="2:26" ht="25.5">
      <c r="B198" s="260" t="s">
        <v>637</v>
      </c>
      <c r="C198" s="262"/>
      <c r="D198" s="262"/>
      <c r="E198" s="262"/>
      <c r="F198" s="261" t="s">
        <v>205</v>
      </c>
      <c r="G198" s="262"/>
      <c r="I198" s="432">
        <f t="shared" si="94"/>
        <v>156</v>
      </c>
      <c r="J198" s="432">
        <f t="shared" si="95"/>
        <v>325</v>
      </c>
      <c r="K198" s="1288">
        <v>85</v>
      </c>
      <c r="U198" s="73"/>
      <c r="V198" s="78"/>
      <c r="W198" s="73"/>
      <c r="X198" s="73"/>
      <c r="Y198" s="73"/>
      <c r="Z198" s="73"/>
    </row>
    <row r="199" spans="2:26" ht="25.5">
      <c r="B199" s="260" t="s">
        <v>645</v>
      </c>
      <c r="C199" s="262"/>
      <c r="D199" s="262"/>
      <c r="E199" s="262"/>
      <c r="F199" s="261" t="s">
        <v>205</v>
      </c>
      <c r="G199" s="262" t="s">
        <v>205</v>
      </c>
      <c r="I199" s="432">
        <f t="shared" si="94"/>
        <v>156</v>
      </c>
      <c r="J199" s="432">
        <f t="shared" si="95"/>
        <v>325</v>
      </c>
      <c r="K199" s="1288">
        <v>85</v>
      </c>
      <c r="U199" s="73"/>
      <c r="V199" s="78"/>
      <c r="W199" s="73"/>
      <c r="X199" s="73"/>
      <c r="Y199" s="73"/>
      <c r="Z199" s="73"/>
    </row>
    <row r="200" spans="2:26" ht="25.5">
      <c r="B200" s="260" t="s">
        <v>638</v>
      </c>
      <c r="C200" s="262"/>
      <c r="D200" s="262"/>
      <c r="E200" s="262"/>
      <c r="F200" s="261" t="s">
        <v>205</v>
      </c>
      <c r="G200" s="262" t="s">
        <v>205</v>
      </c>
      <c r="I200" s="432">
        <f t="shared" si="94"/>
        <v>156</v>
      </c>
      <c r="J200" s="432">
        <f t="shared" si="95"/>
        <v>325</v>
      </c>
      <c r="K200" s="1288">
        <v>85</v>
      </c>
      <c r="U200" s="73"/>
      <c r="V200" s="78"/>
      <c r="W200" s="73"/>
      <c r="X200" s="73"/>
      <c r="Y200" s="73"/>
      <c r="Z200" s="73"/>
    </row>
    <row r="201" spans="2:26" ht="16.5">
      <c r="B201" s="260" t="s">
        <v>644</v>
      </c>
      <c r="C201" s="262"/>
      <c r="D201" s="262"/>
      <c r="E201" s="262" t="s">
        <v>205</v>
      </c>
      <c r="F201" s="261" t="s">
        <v>205</v>
      </c>
      <c r="G201" s="262"/>
      <c r="I201" s="432">
        <f t="shared" si="94"/>
        <v>156</v>
      </c>
      <c r="J201" s="432">
        <f t="shared" si="95"/>
        <v>325</v>
      </c>
      <c r="K201" s="1288">
        <v>85</v>
      </c>
      <c r="U201" s="73"/>
      <c r="V201" s="78"/>
      <c r="W201" s="73"/>
      <c r="X201" s="73"/>
      <c r="Y201" s="73"/>
      <c r="Z201" s="73"/>
    </row>
    <row r="202" spans="2:26" ht="16.5">
      <c r="B202" s="260" t="s">
        <v>639</v>
      </c>
      <c r="C202" s="262"/>
      <c r="D202" s="262"/>
      <c r="E202" s="262"/>
      <c r="F202" s="261" t="s">
        <v>205</v>
      </c>
      <c r="G202" s="262" t="s">
        <v>205</v>
      </c>
      <c r="I202" s="432">
        <f t="shared" si="94"/>
        <v>156</v>
      </c>
      <c r="J202" s="432">
        <f t="shared" si="95"/>
        <v>325</v>
      </c>
      <c r="K202" s="1288">
        <v>85</v>
      </c>
      <c r="U202" s="73"/>
      <c r="V202" s="78"/>
      <c r="W202" s="73"/>
      <c r="X202" s="73"/>
      <c r="Y202" s="73"/>
      <c r="Z202" s="73"/>
    </row>
    <row r="203" spans="2:26" ht="25.5">
      <c r="B203" s="260" t="s">
        <v>633</v>
      </c>
      <c r="C203" s="262"/>
      <c r="D203" s="261" t="s">
        <v>205</v>
      </c>
      <c r="E203" s="262"/>
      <c r="F203" s="262"/>
      <c r="G203" s="262"/>
      <c r="I203" s="432">
        <f t="shared" ref="I203:I205" si="96">60*$J$180</f>
        <v>78</v>
      </c>
      <c r="J203" s="432">
        <f t="shared" ref="J203:J205" si="97">120*$J$180</f>
        <v>156</v>
      </c>
      <c r="K203" s="1288">
        <v>-10</v>
      </c>
      <c r="Q203" s="71"/>
      <c r="R203" s="71"/>
      <c r="S203" s="71"/>
      <c r="T203" s="71"/>
      <c r="U203" s="71"/>
      <c r="V203" s="71"/>
      <c r="W203" s="71"/>
      <c r="X203" s="71"/>
      <c r="Y203" s="71"/>
      <c r="Z203" s="71"/>
    </row>
    <row r="204" spans="2:26" ht="25.5">
      <c r="B204" s="260" t="s">
        <v>682</v>
      </c>
      <c r="C204" s="262"/>
      <c r="D204" s="262" t="s">
        <v>205</v>
      </c>
      <c r="E204" s="262" t="s">
        <v>205</v>
      </c>
      <c r="F204" s="262"/>
      <c r="G204" s="262"/>
      <c r="I204" s="432">
        <f t="shared" si="96"/>
        <v>78</v>
      </c>
      <c r="J204" s="432">
        <f t="shared" si="97"/>
        <v>156</v>
      </c>
      <c r="K204" s="1288">
        <v>-10</v>
      </c>
      <c r="Q204" s="71"/>
      <c r="R204" s="71"/>
      <c r="S204" s="71"/>
      <c r="T204" s="71"/>
      <c r="U204" s="71"/>
      <c r="V204" s="71"/>
      <c r="W204" s="71"/>
      <c r="X204" s="71"/>
      <c r="Y204" s="71"/>
      <c r="Z204" s="71"/>
    </row>
    <row r="205" spans="2:26" ht="25.5">
      <c r="B205" s="260" t="s">
        <v>517</v>
      </c>
      <c r="C205" s="262"/>
      <c r="D205" s="262"/>
      <c r="E205" s="261" t="s">
        <v>205</v>
      </c>
      <c r="F205" s="262"/>
      <c r="G205" s="262"/>
      <c r="I205" s="432">
        <f t="shared" si="96"/>
        <v>78</v>
      </c>
      <c r="J205" s="432">
        <f t="shared" si="97"/>
        <v>156</v>
      </c>
      <c r="K205" s="1288">
        <v>-10</v>
      </c>
    </row>
    <row r="206" spans="2:26" ht="51">
      <c r="B206" s="260" t="s">
        <v>518</v>
      </c>
      <c r="C206" s="262"/>
      <c r="D206" s="262"/>
      <c r="E206" s="261"/>
      <c r="F206" s="262" t="s">
        <v>205</v>
      </c>
      <c r="G206" s="262" t="s">
        <v>205</v>
      </c>
      <c r="I206" s="432">
        <f t="shared" ref="I206:I208" si="98">120*$J$180</f>
        <v>156</v>
      </c>
      <c r="J206" s="432">
        <f t="shared" ref="J206:J208" si="99">250*$J$180</f>
        <v>325</v>
      </c>
      <c r="K206" s="1288">
        <v>85</v>
      </c>
    </row>
    <row r="207" spans="2:26">
      <c r="B207" s="260" t="s">
        <v>641</v>
      </c>
      <c r="C207" s="262"/>
      <c r="D207" s="262"/>
      <c r="E207" s="262"/>
      <c r="F207" s="261" t="s">
        <v>205</v>
      </c>
      <c r="G207" s="262" t="s">
        <v>205</v>
      </c>
      <c r="I207" s="432">
        <f t="shared" si="98"/>
        <v>156</v>
      </c>
      <c r="J207" s="432">
        <f t="shared" si="99"/>
        <v>325</v>
      </c>
      <c r="K207" s="1288">
        <v>85</v>
      </c>
    </row>
    <row r="208" spans="2:26" ht="25.5">
      <c r="B208" s="260" t="s">
        <v>516</v>
      </c>
      <c r="C208" s="262"/>
      <c r="D208" s="262"/>
      <c r="E208" s="262"/>
      <c r="F208" s="262"/>
      <c r="G208" s="261" t="s">
        <v>205</v>
      </c>
      <c r="I208" s="432">
        <f t="shared" si="98"/>
        <v>156</v>
      </c>
      <c r="J208" s="432">
        <f t="shared" si="99"/>
        <v>325</v>
      </c>
      <c r="K208" s="1288">
        <v>85</v>
      </c>
    </row>
    <row r="209" spans="2:11">
      <c r="B209" s="260" t="s">
        <v>506</v>
      </c>
      <c r="C209" s="262"/>
      <c r="D209" s="262"/>
      <c r="E209" s="262" t="s">
        <v>205</v>
      </c>
      <c r="F209" s="261" t="s">
        <v>205</v>
      </c>
      <c r="G209" s="261"/>
      <c r="I209" s="432">
        <f>60*$J$180</f>
        <v>78</v>
      </c>
      <c r="J209" s="432">
        <f>120*$J$180</f>
        <v>156</v>
      </c>
      <c r="K209" s="1288">
        <v>-10</v>
      </c>
    </row>
    <row r="210" spans="2:11" ht="15.75">
      <c r="B210" s="265" t="s">
        <v>665</v>
      </c>
      <c r="C210" s="273"/>
      <c r="D210" s="273"/>
      <c r="E210" s="273"/>
      <c r="F210" s="273"/>
      <c r="G210" s="273"/>
      <c r="I210" s="432"/>
      <c r="J210" s="432"/>
      <c r="K210" s="1288"/>
    </row>
    <row r="211" spans="2:11">
      <c r="B211" s="260" t="s">
        <v>360</v>
      </c>
      <c r="C211" s="262"/>
      <c r="D211" s="262"/>
      <c r="E211" s="262"/>
      <c r="F211" s="262"/>
      <c r="G211" s="261" t="s">
        <v>205</v>
      </c>
      <c r="I211" s="432">
        <v>180</v>
      </c>
      <c r="J211" s="432">
        <v>240</v>
      </c>
      <c r="K211" s="1288">
        <v>110</v>
      </c>
    </row>
    <row r="212" spans="2:11" ht="25.5">
      <c r="B212" s="260" t="s">
        <v>683</v>
      </c>
      <c r="C212" s="262"/>
      <c r="D212" s="262"/>
      <c r="E212" s="262"/>
      <c r="F212" s="261" t="s">
        <v>205</v>
      </c>
      <c r="G212" s="261" t="s">
        <v>205</v>
      </c>
      <c r="I212" s="432">
        <v>180</v>
      </c>
      <c r="J212" s="432">
        <v>240</v>
      </c>
      <c r="K212" s="1288">
        <v>110</v>
      </c>
    </row>
    <row r="213" spans="2:11">
      <c r="B213" s="260" t="s">
        <v>684</v>
      </c>
      <c r="C213" s="262"/>
      <c r="D213" s="262"/>
      <c r="E213" s="262"/>
      <c r="F213" s="261" t="s">
        <v>205</v>
      </c>
      <c r="G213" s="261" t="s">
        <v>205</v>
      </c>
      <c r="I213" s="432">
        <v>180</v>
      </c>
      <c r="J213" s="432">
        <v>240</v>
      </c>
      <c r="K213" s="1288">
        <v>110</v>
      </c>
    </row>
    <row r="214" spans="2:11">
      <c r="B214" s="260" t="s">
        <v>685</v>
      </c>
      <c r="C214" s="262"/>
      <c r="D214" s="262"/>
      <c r="E214" s="262"/>
      <c r="F214" s="261" t="s">
        <v>205</v>
      </c>
      <c r="G214" s="261" t="s">
        <v>205</v>
      </c>
      <c r="I214" s="432">
        <v>180</v>
      </c>
      <c r="J214" s="432">
        <v>240</v>
      </c>
      <c r="K214" s="1288">
        <v>110</v>
      </c>
    </row>
    <row r="215" spans="2:11" ht="15.75">
      <c r="B215" s="265" t="s">
        <v>666</v>
      </c>
      <c r="C215" s="273"/>
      <c r="D215" s="273"/>
      <c r="E215" s="273"/>
      <c r="F215" s="273"/>
      <c r="G215" s="273"/>
      <c r="I215" s="432"/>
      <c r="J215" s="432"/>
      <c r="K215" s="1288"/>
    </row>
    <row r="216" spans="2:11">
      <c r="B216" s="260" t="s">
        <v>642</v>
      </c>
      <c r="C216" s="261" t="s">
        <v>205</v>
      </c>
      <c r="D216" s="261" t="s">
        <v>205</v>
      </c>
      <c r="E216" s="262"/>
      <c r="F216" s="262"/>
      <c r="G216" s="262"/>
      <c r="I216" s="432">
        <f>40*$J$180</f>
        <v>52</v>
      </c>
      <c r="J216" s="432">
        <f>60*$J$180</f>
        <v>78</v>
      </c>
      <c r="K216" s="1288">
        <v>-50</v>
      </c>
    </row>
    <row r="217" spans="2:11">
      <c r="B217" s="260" t="s">
        <v>507</v>
      </c>
      <c r="C217" s="262"/>
      <c r="D217" s="261"/>
      <c r="E217" s="262"/>
      <c r="F217" s="262" t="s">
        <v>205</v>
      </c>
      <c r="G217" s="262" t="s">
        <v>205</v>
      </c>
      <c r="I217" s="432">
        <f t="shared" ref="I217:I218" si="100">60*$J$180</f>
        <v>78</v>
      </c>
      <c r="J217" s="432">
        <f t="shared" ref="J217:J218" si="101">120*$J$180</f>
        <v>156</v>
      </c>
      <c r="K217" s="1288">
        <v>-10</v>
      </c>
    </row>
    <row r="218" spans="2:11">
      <c r="B218" s="260" t="s">
        <v>508</v>
      </c>
      <c r="C218" s="262"/>
      <c r="D218" s="261" t="s">
        <v>205</v>
      </c>
      <c r="E218" s="261"/>
      <c r="F218" s="262"/>
      <c r="G218" s="262"/>
      <c r="I218" s="432">
        <f t="shared" si="100"/>
        <v>78</v>
      </c>
      <c r="J218" s="432">
        <f t="shared" si="101"/>
        <v>156</v>
      </c>
      <c r="K218" s="1288">
        <v>-10</v>
      </c>
    </row>
    <row r="219" spans="2:11" ht="25.5">
      <c r="B219" s="260" t="s">
        <v>686</v>
      </c>
      <c r="C219" s="262"/>
      <c r="D219" s="262" t="s">
        <v>205</v>
      </c>
      <c r="E219" s="261" t="s">
        <v>205</v>
      </c>
      <c r="F219" s="262"/>
      <c r="G219" s="262"/>
      <c r="I219" s="432">
        <f>40*$J$180</f>
        <v>52</v>
      </c>
      <c r="J219" s="432">
        <f>80*$J$180</f>
        <v>104</v>
      </c>
      <c r="K219" s="1288">
        <v>-40</v>
      </c>
    </row>
    <row r="220" spans="2:11" ht="38.25">
      <c r="B220" s="260" t="s">
        <v>509</v>
      </c>
      <c r="C220" s="262"/>
      <c r="D220" s="262"/>
      <c r="E220" s="261" t="s">
        <v>205</v>
      </c>
      <c r="F220" s="261" t="s">
        <v>205</v>
      </c>
      <c r="G220" s="262"/>
      <c r="I220" s="432">
        <f t="shared" ref="I220:I221" si="102">60*$J$180</f>
        <v>78</v>
      </c>
      <c r="J220" s="432">
        <f t="shared" ref="J220:J221" si="103">120*$J$180</f>
        <v>156</v>
      </c>
      <c r="K220" s="1288">
        <v>-10</v>
      </c>
    </row>
    <row r="221" spans="2:11" ht="25.5">
      <c r="B221" s="260" t="s">
        <v>643</v>
      </c>
      <c r="C221" s="262"/>
      <c r="D221" s="262"/>
      <c r="E221" s="262" t="s">
        <v>205</v>
      </c>
      <c r="F221" s="261" t="s">
        <v>205</v>
      </c>
      <c r="G221" s="262"/>
      <c r="I221" s="432">
        <f t="shared" si="102"/>
        <v>78</v>
      </c>
      <c r="J221" s="432">
        <f t="shared" si="103"/>
        <v>156</v>
      </c>
      <c r="K221" s="1288">
        <v>-10</v>
      </c>
    </row>
    <row r="222" spans="2:11">
      <c r="B222" s="260" t="s">
        <v>361</v>
      </c>
      <c r="C222" s="262"/>
      <c r="D222" s="262"/>
      <c r="E222" s="262"/>
      <c r="F222" s="261" t="s">
        <v>205</v>
      </c>
      <c r="G222" s="262"/>
      <c r="I222" s="432">
        <f t="shared" ref="I222:I228" si="104">120*$J$180</f>
        <v>156</v>
      </c>
      <c r="J222" s="432">
        <f t="shared" ref="J222:J228" si="105">250*$J$180</f>
        <v>325</v>
      </c>
      <c r="K222" s="1288">
        <v>85</v>
      </c>
    </row>
    <row r="223" spans="2:11" ht="25.5">
      <c r="B223" s="260" t="s">
        <v>687</v>
      </c>
      <c r="C223" s="262"/>
      <c r="D223" s="262"/>
      <c r="E223" s="262"/>
      <c r="F223" s="261" t="s">
        <v>205</v>
      </c>
      <c r="G223" s="261" t="s">
        <v>205</v>
      </c>
      <c r="I223" s="432">
        <f t="shared" si="104"/>
        <v>156</v>
      </c>
      <c r="J223" s="432">
        <f t="shared" si="105"/>
        <v>325</v>
      </c>
      <c r="K223" s="1288">
        <v>85</v>
      </c>
    </row>
    <row r="224" spans="2:11">
      <c r="B224" s="260" t="s">
        <v>688</v>
      </c>
      <c r="C224" s="262"/>
      <c r="D224" s="262"/>
      <c r="E224" s="262"/>
      <c r="F224" s="261" t="s">
        <v>205</v>
      </c>
      <c r="G224" s="261" t="s">
        <v>205</v>
      </c>
      <c r="I224" s="432">
        <f t="shared" si="104"/>
        <v>156</v>
      </c>
      <c r="J224" s="432">
        <f t="shared" si="105"/>
        <v>325</v>
      </c>
      <c r="K224" s="1288">
        <v>85</v>
      </c>
    </row>
    <row r="225" spans="2:11">
      <c r="B225" s="260" t="s">
        <v>691</v>
      </c>
      <c r="C225" s="262"/>
      <c r="D225" s="262"/>
      <c r="E225" s="262"/>
      <c r="F225" s="261" t="s">
        <v>205</v>
      </c>
      <c r="G225" s="261" t="s">
        <v>205</v>
      </c>
      <c r="I225" s="432">
        <f t="shared" si="104"/>
        <v>156</v>
      </c>
      <c r="J225" s="432">
        <f t="shared" si="105"/>
        <v>325</v>
      </c>
      <c r="K225" s="1288">
        <v>85</v>
      </c>
    </row>
    <row r="226" spans="2:11">
      <c r="B226" s="260" t="s">
        <v>689</v>
      </c>
      <c r="C226" s="262"/>
      <c r="D226" s="262"/>
      <c r="E226" s="262"/>
      <c r="F226" s="261" t="s">
        <v>205</v>
      </c>
      <c r="G226" s="262"/>
      <c r="I226" s="432">
        <f t="shared" si="104"/>
        <v>156</v>
      </c>
      <c r="J226" s="432">
        <f t="shared" si="105"/>
        <v>325</v>
      </c>
      <c r="K226" s="1288">
        <v>85</v>
      </c>
    </row>
    <row r="227" spans="2:11" ht="15.75">
      <c r="B227" s="265" t="s">
        <v>667</v>
      </c>
      <c r="C227" s="273"/>
      <c r="D227" s="273"/>
      <c r="E227" s="273"/>
      <c r="F227" s="273"/>
      <c r="G227" s="273"/>
      <c r="I227" s="432">
        <f t="shared" si="104"/>
        <v>156</v>
      </c>
      <c r="J227" s="432">
        <f t="shared" si="105"/>
        <v>325</v>
      </c>
      <c r="K227" s="1288"/>
    </row>
    <row r="228" spans="2:11">
      <c r="B228" s="260" t="s">
        <v>362</v>
      </c>
      <c r="C228" s="262"/>
      <c r="D228" s="262"/>
      <c r="E228" s="262"/>
      <c r="F228" s="261" t="s">
        <v>205</v>
      </c>
      <c r="G228" s="262"/>
      <c r="I228" s="432">
        <f t="shared" si="104"/>
        <v>156</v>
      </c>
      <c r="J228" s="432">
        <f t="shared" si="105"/>
        <v>325</v>
      </c>
      <c r="K228" s="1288">
        <v>85</v>
      </c>
    </row>
    <row r="229" spans="2:11">
      <c r="B229" s="260" t="s">
        <v>510</v>
      </c>
      <c r="C229" s="262"/>
      <c r="D229" s="262"/>
      <c r="E229" s="261" t="s">
        <v>205</v>
      </c>
      <c r="F229" s="261" t="s">
        <v>205</v>
      </c>
      <c r="G229" s="262"/>
      <c r="I229" s="432">
        <f t="shared" ref="I229:I230" si="106">60*$J$180</f>
        <v>78</v>
      </c>
      <c r="J229" s="432">
        <f t="shared" ref="J229:J230" si="107">120*$J$180</f>
        <v>156</v>
      </c>
      <c r="K229" s="1288">
        <v>-10</v>
      </c>
    </row>
    <row r="230" spans="2:11" ht="25.5">
      <c r="B230" s="260" t="s">
        <v>690</v>
      </c>
      <c r="C230" s="262"/>
      <c r="D230" s="262"/>
      <c r="E230" s="262" t="s">
        <v>205</v>
      </c>
      <c r="F230" s="261" t="s">
        <v>205</v>
      </c>
      <c r="G230" s="261"/>
      <c r="I230" s="432">
        <f t="shared" si="106"/>
        <v>78</v>
      </c>
      <c r="J230" s="432">
        <f t="shared" si="107"/>
        <v>156</v>
      </c>
      <c r="K230" s="1288">
        <v>-10</v>
      </c>
    </row>
    <row r="231" spans="2:11" ht="25.5">
      <c r="B231" s="260" t="s">
        <v>363</v>
      </c>
      <c r="C231" s="262"/>
      <c r="D231" s="262"/>
      <c r="E231" s="262"/>
      <c r="F231" s="261" t="s">
        <v>205</v>
      </c>
      <c r="G231" s="261" t="s">
        <v>205</v>
      </c>
      <c r="I231" s="432">
        <f t="shared" ref="I231:I242" si="108">120*$J$180</f>
        <v>156</v>
      </c>
      <c r="J231" s="432">
        <f t="shared" ref="J231:J242" si="109">250*$J$180</f>
        <v>325</v>
      </c>
      <c r="K231" s="1288">
        <v>85</v>
      </c>
    </row>
    <row r="232" spans="2:11">
      <c r="B232" s="260" t="s">
        <v>511</v>
      </c>
      <c r="C232" s="262"/>
      <c r="D232" s="262"/>
      <c r="E232" s="262"/>
      <c r="F232" s="261"/>
      <c r="G232" s="261" t="s">
        <v>205</v>
      </c>
      <c r="I232" s="432">
        <f t="shared" si="108"/>
        <v>156</v>
      </c>
      <c r="J232" s="432">
        <f t="shared" si="109"/>
        <v>325</v>
      </c>
      <c r="K232" s="1288">
        <v>85</v>
      </c>
    </row>
    <row r="233" spans="2:11" ht="25.5">
      <c r="B233" s="260" t="s">
        <v>512</v>
      </c>
      <c r="C233" s="262"/>
      <c r="D233" s="262"/>
      <c r="E233" s="262"/>
      <c r="F233" s="261" t="s">
        <v>205</v>
      </c>
      <c r="G233" s="261"/>
      <c r="I233" s="432">
        <f t="shared" si="108"/>
        <v>156</v>
      </c>
      <c r="J233" s="432">
        <f t="shared" si="109"/>
        <v>325</v>
      </c>
      <c r="K233" s="1288">
        <v>85</v>
      </c>
    </row>
    <row r="234" spans="2:11" ht="25.5">
      <c r="B234" s="260" t="s">
        <v>513</v>
      </c>
      <c r="C234" s="262"/>
      <c r="D234" s="262"/>
      <c r="E234" s="262" t="s">
        <v>205</v>
      </c>
      <c r="F234" s="262" t="s">
        <v>205</v>
      </c>
      <c r="G234" s="261"/>
      <c r="I234" s="432">
        <f t="shared" si="108"/>
        <v>156</v>
      </c>
      <c r="J234" s="432">
        <f t="shared" si="109"/>
        <v>325</v>
      </c>
      <c r="K234" s="1288">
        <v>85</v>
      </c>
    </row>
    <row r="235" spans="2:11">
      <c r="B235" s="260" t="s">
        <v>514</v>
      </c>
      <c r="C235" s="262"/>
      <c r="D235" s="262"/>
      <c r="E235" s="262"/>
      <c r="F235" s="261"/>
      <c r="G235" s="262" t="s">
        <v>205</v>
      </c>
      <c r="I235" s="432">
        <f t="shared" si="108"/>
        <v>156</v>
      </c>
      <c r="J235" s="432">
        <f t="shared" si="109"/>
        <v>325</v>
      </c>
      <c r="K235" s="1288">
        <v>85</v>
      </c>
    </row>
    <row r="236" spans="2:11">
      <c r="B236" s="260" t="s">
        <v>515</v>
      </c>
      <c r="C236" s="262"/>
      <c r="D236" s="262" t="s">
        <v>205</v>
      </c>
      <c r="E236" s="262" t="s">
        <v>205</v>
      </c>
      <c r="F236" s="262"/>
      <c r="G236" s="261"/>
      <c r="I236" s="432">
        <f t="shared" si="108"/>
        <v>156</v>
      </c>
      <c r="J236" s="432">
        <f t="shared" si="109"/>
        <v>325</v>
      </c>
      <c r="K236" s="1288">
        <v>85</v>
      </c>
    </row>
    <row r="237" spans="2:11" ht="15.75">
      <c r="B237" s="266" t="s">
        <v>668</v>
      </c>
      <c r="C237" s="274"/>
      <c r="D237" s="274"/>
      <c r="E237" s="274"/>
      <c r="F237" s="274"/>
      <c r="G237" s="274"/>
      <c r="I237" s="432">
        <f t="shared" si="108"/>
        <v>156</v>
      </c>
      <c r="J237" s="432">
        <f t="shared" si="109"/>
        <v>325</v>
      </c>
      <c r="K237" s="1288"/>
    </row>
    <row r="238" spans="2:11" ht="25.5">
      <c r="B238" s="260" t="s">
        <v>519</v>
      </c>
      <c r="C238" s="262"/>
      <c r="D238" s="262"/>
      <c r="E238" s="261"/>
      <c r="F238" s="262" t="s">
        <v>205</v>
      </c>
      <c r="G238" s="262" t="s">
        <v>205</v>
      </c>
      <c r="I238" s="432">
        <f t="shared" si="108"/>
        <v>156</v>
      </c>
      <c r="J238" s="432">
        <f t="shared" si="109"/>
        <v>325</v>
      </c>
      <c r="K238" s="1288">
        <v>85</v>
      </c>
    </row>
    <row r="239" spans="2:11" ht="25.5">
      <c r="B239" s="260" t="s">
        <v>520</v>
      </c>
      <c r="C239" s="262"/>
      <c r="D239" s="262"/>
      <c r="E239" s="261"/>
      <c r="F239" s="262" t="s">
        <v>205</v>
      </c>
      <c r="G239" s="262" t="s">
        <v>205</v>
      </c>
      <c r="I239" s="432">
        <f t="shared" si="108"/>
        <v>156</v>
      </c>
      <c r="J239" s="432">
        <f t="shared" si="109"/>
        <v>325</v>
      </c>
      <c r="K239" s="1288">
        <v>85</v>
      </c>
    </row>
    <row r="240" spans="2:11" ht="25.5">
      <c r="B240" s="260" t="s">
        <v>521</v>
      </c>
      <c r="C240" s="262"/>
      <c r="D240" s="262"/>
      <c r="E240" s="261" t="s">
        <v>205</v>
      </c>
      <c r="F240" s="262" t="s">
        <v>205</v>
      </c>
      <c r="G240" s="262"/>
      <c r="I240" s="432">
        <f t="shared" si="108"/>
        <v>156</v>
      </c>
      <c r="J240" s="432">
        <f t="shared" si="109"/>
        <v>325</v>
      </c>
      <c r="K240" s="1288">
        <v>85</v>
      </c>
    </row>
    <row r="241" spans="1:16">
      <c r="B241" s="260" t="s">
        <v>522</v>
      </c>
      <c r="C241" s="262"/>
      <c r="D241" s="262"/>
      <c r="E241" s="262" t="s">
        <v>205</v>
      </c>
      <c r="F241" s="261"/>
      <c r="G241" s="261"/>
      <c r="I241" s="432">
        <f t="shared" si="108"/>
        <v>156</v>
      </c>
      <c r="J241" s="432">
        <f t="shared" si="109"/>
        <v>325</v>
      </c>
      <c r="K241" s="1288">
        <v>85</v>
      </c>
    </row>
    <row r="242" spans="1:16" ht="25.5">
      <c r="B242" s="1289" t="s">
        <v>646</v>
      </c>
      <c r="C242" s="1290"/>
      <c r="D242" s="1290"/>
      <c r="E242" s="1290" t="s">
        <v>205</v>
      </c>
      <c r="F242" s="1291"/>
      <c r="G242" s="1291"/>
      <c r="I242" s="1292">
        <f t="shared" si="108"/>
        <v>156</v>
      </c>
      <c r="J242" s="1292">
        <f t="shared" si="109"/>
        <v>325</v>
      </c>
      <c r="K242" s="1293">
        <v>85</v>
      </c>
    </row>
    <row r="244" spans="1:16" ht="15.75">
      <c r="A244" s="356"/>
      <c r="B244" s="356" t="s">
        <v>532</v>
      </c>
      <c r="C244" s="356"/>
      <c r="D244" s="356"/>
      <c r="E244" s="356"/>
      <c r="F244" s="356"/>
      <c r="G244" s="356"/>
      <c r="H244" s="355"/>
      <c r="I244" s="356" t="s">
        <v>525</v>
      </c>
      <c r="J244" s="358"/>
      <c r="K244" s="358"/>
      <c r="L244" s="358"/>
      <c r="M244" s="358"/>
      <c r="N244" s="358"/>
      <c r="P244" s="355"/>
    </row>
    <row r="245" spans="1:16" ht="15.75">
      <c r="A245" s="187" t="s">
        <v>3</v>
      </c>
      <c r="B245" s="189" t="s">
        <v>91</v>
      </c>
      <c r="C245" s="189"/>
      <c r="D245" s="189"/>
      <c r="E245" s="189"/>
      <c r="F245" s="242" t="s">
        <v>98</v>
      </c>
      <c r="G245" s="956"/>
      <c r="I245" s="197" t="s">
        <v>70</v>
      </c>
      <c r="J245" s="197"/>
      <c r="K245" s="197" t="s">
        <v>174</v>
      </c>
      <c r="L245" s="197"/>
      <c r="M245" s="197"/>
      <c r="N245" s="197"/>
      <c r="O245" s="197"/>
    </row>
    <row r="246" spans="1:16" ht="15.75">
      <c r="A246" s="190" t="s">
        <v>4</v>
      </c>
      <c r="B246" s="192" t="s">
        <v>164</v>
      </c>
      <c r="C246" s="192"/>
      <c r="D246" s="192"/>
      <c r="E246" s="192"/>
      <c r="F246" s="243" t="s">
        <v>98</v>
      </c>
      <c r="G246" s="957"/>
      <c r="I246" s="198" t="s">
        <v>71</v>
      </c>
      <c r="J246" s="198"/>
      <c r="K246" s="198" t="s">
        <v>175</v>
      </c>
      <c r="L246" s="198"/>
      <c r="M246" s="198"/>
      <c r="N246" s="198"/>
      <c r="O246" s="198"/>
    </row>
    <row r="247" spans="1:16" ht="15.75">
      <c r="A247" s="190" t="s">
        <v>5</v>
      </c>
      <c r="B247" s="192" t="s">
        <v>85</v>
      </c>
      <c r="C247" s="192"/>
      <c r="D247" s="192"/>
      <c r="E247" s="192"/>
      <c r="F247" s="243" t="s">
        <v>68</v>
      </c>
      <c r="G247" s="957"/>
      <c r="I247" s="198" t="s">
        <v>72</v>
      </c>
      <c r="J247" s="198"/>
      <c r="K247" s="198" t="s">
        <v>176</v>
      </c>
      <c r="L247" s="198"/>
      <c r="M247" s="198"/>
      <c r="N247" s="198"/>
      <c r="O247" s="198"/>
    </row>
    <row r="248" spans="1:16" ht="15.75">
      <c r="A248" s="190" t="s">
        <v>93</v>
      </c>
      <c r="B248" s="192" t="s">
        <v>96</v>
      </c>
      <c r="C248" s="192"/>
      <c r="D248" s="192"/>
      <c r="E248" s="192"/>
      <c r="F248" s="243" t="s">
        <v>98</v>
      </c>
      <c r="G248" s="957"/>
      <c r="I248" s="198" t="s">
        <v>73</v>
      </c>
      <c r="J248" s="198"/>
      <c r="K248" s="198" t="s">
        <v>177</v>
      </c>
      <c r="L248" s="198"/>
      <c r="M248" s="198"/>
      <c r="N248" s="198"/>
      <c r="O248" s="198"/>
    </row>
    <row r="249" spans="1:16" ht="15.75">
      <c r="A249" s="193" t="s">
        <v>94</v>
      </c>
      <c r="B249" s="195" t="s">
        <v>97</v>
      </c>
      <c r="C249" s="195"/>
      <c r="D249" s="195"/>
      <c r="E249" s="195"/>
      <c r="F249" s="244" t="s">
        <v>68</v>
      </c>
      <c r="G249" s="958"/>
      <c r="I249" s="199" t="s">
        <v>74</v>
      </c>
      <c r="J249" s="199"/>
      <c r="K249" s="199" t="s">
        <v>178</v>
      </c>
      <c r="L249" s="199"/>
      <c r="M249" s="199"/>
      <c r="N249" s="199"/>
      <c r="O249" s="199"/>
    </row>
    <row r="250" spans="1:16" ht="15.75">
      <c r="A250" s="77"/>
      <c r="B250" s="77"/>
      <c r="C250" s="77"/>
      <c r="D250" s="77"/>
      <c r="E250" s="77"/>
      <c r="F250" s="240" t="s">
        <v>99</v>
      </c>
      <c r="G250" s="183">
        <f>SUM(G245:G249)</f>
        <v>0</v>
      </c>
    </row>
    <row r="251" spans="1:16" ht="15.75">
      <c r="B251" s="50" t="s">
        <v>193</v>
      </c>
      <c r="C251" s="48"/>
      <c r="D251" s="48"/>
      <c r="E251" s="48"/>
      <c r="F251" s="241" t="str">
        <f>IF(G250&lt;9,I245,IF(G250&lt;16,I246,IF(G250&lt;23,I247,IF(G250&lt;30,I248,IF(G250&lt;37,I249,"NAPAKA")))))</f>
        <v>Cenovni razred I</v>
      </c>
      <c r="G251" s="48"/>
    </row>
    <row r="258" spans="2:7" ht="15.75">
      <c r="B258" s="256" t="s">
        <v>370</v>
      </c>
      <c r="C258" s="289" t="s">
        <v>200</v>
      </c>
      <c r="D258" s="289" t="s">
        <v>201</v>
      </c>
      <c r="E258" s="289" t="s">
        <v>202</v>
      </c>
      <c r="F258" s="289" t="s">
        <v>203</v>
      </c>
      <c r="G258" s="289" t="s">
        <v>204</v>
      </c>
    </row>
    <row r="259" spans="2:7" ht="15.75">
      <c r="B259" s="1320" t="s">
        <v>669</v>
      </c>
      <c r="C259" s="1320"/>
      <c r="D259" s="1320"/>
      <c r="E259" s="1320"/>
      <c r="F259" s="1320"/>
      <c r="G259" s="1320"/>
    </row>
    <row r="260" spans="2:7" ht="15">
      <c r="B260" s="267" t="s">
        <v>676</v>
      </c>
      <c r="C260" s="268" t="s">
        <v>205</v>
      </c>
      <c r="D260" s="275"/>
      <c r="E260" s="268"/>
      <c r="F260" s="275"/>
      <c r="G260" s="275"/>
    </row>
    <row r="261" spans="2:7" ht="33" customHeight="1">
      <c r="B261" s="1318" t="s">
        <v>670</v>
      </c>
      <c r="C261" s="1318"/>
      <c r="D261" s="1318"/>
      <c r="E261" s="1318"/>
      <c r="F261" s="1318"/>
      <c r="G261" s="1318"/>
    </row>
    <row r="262" spans="2:7" ht="15">
      <c r="B262" s="267" t="s">
        <v>295</v>
      </c>
      <c r="C262" s="275"/>
      <c r="D262" s="268" t="s">
        <v>205</v>
      </c>
      <c r="E262" s="275"/>
      <c r="F262" s="275"/>
      <c r="G262" s="275"/>
    </row>
    <row r="263" spans="2:7" ht="15">
      <c r="B263" s="267" t="s">
        <v>296</v>
      </c>
      <c r="C263" s="275"/>
      <c r="D263" s="268" t="s">
        <v>205</v>
      </c>
      <c r="E263" s="275"/>
      <c r="F263" s="275"/>
      <c r="G263" s="275"/>
    </row>
    <row r="264" spans="2:7" ht="15">
      <c r="B264" s="267" t="s">
        <v>264</v>
      </c>
      <c r="C264" s="275"/>
      <c r="D264" s="275"/>
      <c r="E264" s="268" t="s">
        <v>205</v>
      </c>
      <c r="F264" s="275"/>
      <c r="G264" s="275"/>
    </row>
    <row r="265" spans="2:7" ht="15">
      <c r="B265" s="267" t="s">
        <v>265</v>
      </c>
      <c r="C265" s="275"/>
      <c r="D265" s="275"/>
      <c r="E265" s="275"/>
      <c r="F265" s="268" t="s">
        <v>205</v>
      </c>
      <c r="G265" s="275"/>
    </row>
    <row r="266" spans="2:7" ht="15">
      <c r="B266" s="267" t="s">
        <v>233</v>
      </c>
      <c r="C266" s="275"/>
      <c r="D266" s="275"/>
      <c r="E266" s="275"/>
      <c r="F266" s="276"/>
      <c r="G266" s="268" t="s">
        <v>205</v>
      </c>
    </row>
    <row r="267" spans="2:7" ht="33.75" customHeight="1">
      <c r="B267" s="1318" t="s">
        <v>671</v>
      </c>
      <c r="C267" s="1318"/>
      <c r="D267" s="1318"/>
      <c r="E267" s="1318"/>
      <c r="F267" s="1318"/>
      <c r="G267" s="1318"/>
    </row>
    <row r="268" spans="2:7" ht="25.5">
      <c r="B268" s="267" t="s">
        <v>364</v>
      </c>
      <c r="C268" s="275"/>
      <c r="D268" s="268" t="s">
        <v>205</v>
      </c>
      <c r="E268" s="275"/>
      <c r="F268" s="275"/>
      <c r="G268" s="275"/>
    </row>
    <row r="269" spans="2:7" ht="38.25">
      <c r="B269" s="267" t="s">
        <v>242</v>
      </c>
      <c r="C269" s="268" t="s">
        <v>205</v>
      </c>
      <c r="D269" s="275"/>
      <c r="E269" s="275"/>
      <c r="F269" s="275"/>
      <c r="G269" s="275"/>
    </row>
    <row r="270" spans="2:7" ht="25.5">
      <c r="B270" s="267" t="s">
        <v>241</v>
      </c>
      <c r="C270" s="275"/>
      <c r="D270" s="268" t="s">
        <v>205</v>
      </c>
      <c r="E270" s="275"/>
      <c r="F270" s="275"/>
      <c r="G270" s="275"/>
    </row>
    <row r="271" spans="2:7" ht="25.5">
      <c r="B271" s="267" t="s">
        <v>251</v>
      </c>
      <c r="C271" s="276"/>
      <c r="D271" s="275"/>
      <c r="E271" s="268" t="s">
        <v>205</v>
      </c>
      <c r="F271" s="275"/>
      <c r="G271" s="275"/>
    </row>
    <row r="272" spans="2:7" ht="51">
      <c r="B272" s="267" t="s">
        <v>266</v>
      </c>
      <c r="C272" s="275"/>
      <c r="D272" s="275"/>
      <c r="E272" s="275"/>
      <c r="F272" s="268" t="s">
        <v>205</v>
      </c>
      <c r="G272" s="275"/>
    </row>
    <row r="273" spans="2:7" ht="25.5">
      <c r="B273" s="267" t="s">
        <v>442</v>
      </c>
      <c r="C273" s="268" t="s">
        <v>205</v>
      </c>
      <c r="D273" s="275"/>
      <c r="E273" s="275"/>
      <c r="F273" s="275"/>
      <c r="G273" s="275"/>
    </row>
    <row r="274" spans="2:7" ht="38.25">
      <c r="B274" s="267" t="s">
        <v>443</v>
      </c>
      <c r="C274" s="276"/>
      <c r="D274" s="268" t="s">
        <v>205</v>
      </c>
      <c r="E274" s="275"/>
      <c r="F274" s="275"/>
      <c r="G274" s="275"/>
    </row>
    <row r="275" spans="2:7" ht="25.5">
      <c r="B275" s="267" t="s">
        <v>252</v>
      </c>
      <c r="C275" s="275"/>
      <c r="D275" s="275"/>
      <c r="E275" s="268" t="s">
        <v>205</v>
      </c>
      <c r="F275" s="275"/>
      <c r="G275" s="275"/>
    </row>
    <row r="276" spans="2:7" ht="15">
      <c r="B276" s="267" t="s">
        <v>267</v>
      </c>
      <c r="C276" s="275"/>
      <c r="D276" s="275"/>
      <c r="E276" s="275"/>
      <c r="F276" s="268" t="s">
        <v>205</v>
      </c>
      <c r="G276" s="275"/>
    </row>
    <row r="277" spans="2:7" ht="15">
      <c r="B277" s="267" t="s">
        <v>365</v>
      </c>
      <c r="C277" s="275"/>
      <c r="D277" s="275"/>
      <c r="E277" s="275"/>
      <c r="F277" s="275"/>
      <c r="G277" s="268" t="s">
        <v>205</v>
      </c>
    </row>
    <row r="278" spans="2:7" ht="15">
      <c r="B278" s="267" t="s">
        <v>243</v>
      </c>
      <c r="C278" s="275"/>
      <c r="D278" s="268" t="s">
        <v>205</v>
      </c>
      <c r="E278" s="275"/>
      <c r="F278" s="275"/>
      <c r="G278" s="275"/>
    </row>
    <row r="279" spans="2:7" ht="15">
      <c r="B279" s="267" t="s">
        <v>210</v>
      </c>
      <c r="C279" s="275"/>
      <c r="D279" s="275"/>
      <c r="E279" s="268" t="s">
        <v>205</v>
      </c>
      <c r="F279" s="275"/>
      <c r="G279" s="275"/>
    </row>
    <row r="280" spans="2:7" ht="15">
      <c r="B280" s="267" t="s">
        <v>268</v>
      </c>
      <c r="C280" s="275"/>
      <c r="D280" s="275"/>
      <c r="E280" s="275"/>
      <c r="F280" s="268" t="s">
        <v>205</v>
      </c>
      <c r="G280" s="275"/>
    </row>
    <row r="281" spans="2:7" ht="15">
      <c r="B281" s="267" t="s">
        <v>206</v>
      </c>
      <c r="C281" s="268" t="s">
        <v>205</v>
      </c>
      <c r="D281" s="275"/>
      <c r="E281" s="275"/>
      <c r="F281" s="275"/>
      <c r="G281" s="275"/>
    </row>
    <row r="282" spans="2:7" ht="15">
      <c r="B282" s="267" t="s">
        <v>244</v>
      </c>
      <c r="C282" s="275"/>
      <c r="D282" s="268" t="s">
        <v>205</v>
      </c>
      <c r="E282" s="275"/>
      <c r="F282" s="275"/>
      <c r="G282" s="275"/>
    </row>
    <row r="283" spans="2:7" ht="15">
      <c r="B283" s="267" t="s">
        <v>297</v>
      </c>
      <c r="C283" s="275"/>
      <c r="D283" s="275"/>
      <c r="E283" s="268" t="s">
        <v>205</v>
      </c>
      <c r="F283" s="275"/>
      <c r="G283" s="275"/>
    </row>
    <row r="284" spans="2:7" ht="15">
      <c r="B284" s="267" t="s">
        <v>298</v>
      </c>
      <c r="C284" s="275"/>
      <c r="D284" s="275"/>
      <c r="E284" s="275"/>
      <c r="F284" s="268" t="s">
        <v>205</v>
      </c>
      <c r="G284" s="275"/>
    </row>
    <row r="285" spans="2:7" ht="15">
      <c r="B285" s="267" t="s">
        <v>253</v>
      </c>
      <c r="C285" s="275"/>
      <c r="D285" s="268" t="s">
        <v>205</v>
      </c>
      <c r="E285" s="275"/>
      <c r="F285" s="275"/>
      <c r="G285" s="275"/>
    </row>
    <row r="286" spans="2:7" ht="15">
      <c r="B286" s="267" t="s">
        <v>211</v>
      </c>
      <c r="C286" s="275"/>
      <c r="D286" s="275"/>
      <c r="E286" s="268" t="s">
        <v>205</v>
      </c>
      <c r="F286" s="275"/>
      <c r="G286" s="275"/>
    </row>
    <row r="287" spans="2:7" ht="15">
      <c r="B287" s="267" t="s">
        <v>212</v>
      </c>
      <c r="C287" s="275"/>
      <c r="D287" s="275"/>
      <c r="E287" s="268" t="s">
        <v>205</v>
      </c>
      <c r="F287" s="275"/>
      <c r="G287" s="275"/>
    </row>
    <row r="288" spans="2:7" ht="15">
      <c r="B288" s="267" t="s">
        <v>221</v>
      </c>
      <c r="C288" s="275"/>
      <c r="D288" s="275"/>
      <c r="E288" s="275"/>
      <c r="F288" s="268" t="s">
        <v>205</v>
      </c>
      <c r="G288" s="275"/>
    </row>
    <row r="289" spans="2:7" ht="15">
      <c r="B289" s="267" t="s">
        <v>269</v>
      </c>
      <c r="C289" s="275"/>
      <c r="D289" s="275"/>
      <c r="E289" s="268" t="s">
        <v>205</v>
      </c>
      <c r="F289" s="275"/>
      <c r="G289" s="275"/>
    </row>
    <row r="290" spans="2:7" ht="15">
      <c r="B290" s="267" t="s">
        <v>270</v>
      </c>
      <c r="C290" s="275"/>
      <c r="D290" s="275"/>
      <c r="E290" s="275"/>
      <c r="F290" s="268" t="s">
        <v>205</v>
      </c>
      <c r="G290" s="275"/>
    </row>
    <row r="291" spans="2:7" ht="15">
      <c r="B291" s="267" t="s">
        <v>254</v>
      </c>
      <c r="C291" s="275"/>
      <c r="D291" s="275"/>
      <c r="E291" s="268" t="s">
        <v>205</v>
      </c>
      <c r="F291" s="275"/>
      <c r="G291" s="275"/>
    </row>
    <row r="292" spans="2:7" ht="15">
      <c r="B292" s="267" t="s">
        <v>222</v>
      </c>
      <c r="C292" s="275"/>
      <c r="D292" s="275"/>
      <c r="E292" s="275"/>
      <c r="F292" s="268" t="s">
        <v>205</v>
      </c>
      <c r="G292" s="275"/>
    </row>
    <row r="293" spans="2:7" ht="15">
      <c r="B293" s="267" t="s">
        <v>283</v>
      </c>
      <c r="C293" s="275"/>
      <c r="D293" s="275"/>
      <c r="E293" s="275"/>
      <c r="F293" s="275"/>
      <c r="G293" s="268" t="s">
        <v>205</v>
      </c>
    </row>
    <row r="294" spans="2:7" ht="15">
      <c r="B294" s="267" t="s">
        <v>271</v>
      </c>
      <c r="C294" s="275"/>
      <c r="D294" s="275"/>
      <c r="E294" s="268" t="s">
        <v>205</v>
      </c>
      <c r="F294" s="275"/>
      <c r="G294" s="275"/>
    </row>
    <row r="295" spans="2:7" ht="15">
      <c r="B295" s="267" t="s">
        <v>272</v>
      </c>
      <c r="C295" s="275"/>
      <c r="D295" s="275"/>
      <c r="E295" s="275"/>
      <c r="F295" s="268" t="s">
        <v>205</v>
      </c>
      <c r="G295" s="275"/>
    </row>
    <row r="296" spans="2:7" ht="15">
      <c r="B296" s="267" t="s">
        <v>284</v>
      </c>
      <c r="C296" s="275"/>
      <c r="D296" s="275"/>
      <c r="E296" s="275"/>
      <c r="F296" s="276"/>
      <c r="G296" s="268" t="s">
        <v>205</v>
      </c>
    </row>
    <row r="297" spans="2:7" ht="15">
      <c r="B297" s="249" t="s">
        <v>238</v>
      </c>
      <c r="C297" s="268" t="s">
        <v>205</v>
      </c>
      <c r="D297" s="275"/>
      <c r="E297" s="275"/>
      <c r="F297" s="275"/>
      <c r="G297" s="275"/>
    </row>
    <row r="298" spans="2:7" ht="25.5">
      <c r="B298" s="249" t="s">
        <v>285</v>
      </c>
      <c r="C298" s="276"/>
      <c r="D298" s="268" t="s">
        <v>205</v>
      </c>
      <c r="E298" s="275"/>
      <c r="F298" s="275"/>
      <c r="G298" s="275"/>
    </row>
    <row r="299" spans="2:7" ht="25.5">
      <c r="B299" s="249" t="s">
        <v>286</v>
      </c>
      <c r="C299" s="275"/>
      <c r="D299" s="275"/>
      <c r="E299" s="268" t="s">
        <v>205</v>
      </c>
      <c r="F299" s="275"/>
      <c r="G299" s="275"/>
    </row>
    <row r="300" spans="2:7" ht="25.5">
      <c r="B300" s="267" t="s">
        <v>287</v>
      </c>
      <c r="C300" s="275"/>
      <c r="D300" s="276"/>
      <c r="E300" s="275"/>
      <c r="F300" s="268" t="s">
        <v>205</v>
      </c>
      <c r="G300" s="275"/>
    </row>
    <row r="301" spans="2:7" ht="15">
      <c r="B301" s="267" t="s">
        <v>234</v>
      </c>
      <c r="C301" s="275"/>
      <c r="D301" s="275"/>
      <c r="E301" s="275"/>
      <c r="F301" s="275"/>
      <c r="G301" s="268" t="s">
        <v>205</v>
      </c>
    </row>
    <row r="302" spans="2:7" ht="15">
      <c r="B302" s="267" t="s">
        <v>245</v>
      </c>
      <c r="C302" s="268" t="s">
        <v>205</v>
      </c>
      <c r="D302" s="275"/>
      <c r="E302" s="275"/>
      <c r="F302" s="275"/>
      <c r="G302" s="275"/>
    </row>
    <row r="303" spans="2:7" ht="15">
      <c r="B303" s="267" t="s">
        <v>207</v>
      </c>
      <c r="C303" s="275"/>
      <c r="D303" s="268" t="s">
        <v>205</v>
      </c>
      <c r="E303" s="275"/>
      <c r="F303" s="275"/>
      <c r="G303" s="275"/>
    </row>
    <row r="304" spans="2:7" ht="15">
      <c r="B304" s="267" t="s">
        <v>213</v>
      </c>
      <c r="C304" s="275"/>
      <c r="D304" s="276"/>
      <c r="E304" s="268" t="s">
        <v>205</v>
      </c>
      <c r="F304" s="275"/>
      <c r="G304" s="275"/>
    </row>
    <row r="305" spans="2:7" ht="15">
      <c r="B305" s="267" t="s">
        <v>216</v>
      </c>
      <c r="C305" s="275"/>
      <c r="D305" s="275"/>
      <c r="E305" s="268" t="s">
        <v>205</v>
      </c>
      <c r="F305" s="275"/>
      <c r="G305" s="275"/>
    </row>
    <row r="306" spans="2:7" ht="15">
      <c r="B306" s="267" t="s">
        <v>223</v>
      </c>
      <c r="C306" s="275"/>
      <c r="D306" s="275"/>
      <c r="E306" s="275"/>
      <c r="F306" s="268" t="s">
        <v>205</v>
      </c>
      <c r="G306" s="275"/>
    </row>
    <row r="307" spans="2:7" ht="15">
      <c r="B307" s="267" t="s">
        <v>235</v>
      </c>
      <c r="C307" s="275"/>
      <c r="D307" s="275"/>
      <c r="E307" s="276"/>
      <c r="F307" s="275"/>
      <c r="G307" s="268" t="s">
        <v>205</v>
      </c>
    </row>
    <row r="308" spans="2:7" ht="15">
      <c r="B308" s="267" t="s">
        <v>208</v>
      </c>
      <c r="C308" s="275"/>
      <c r="D308" s="268" t="s">
        <v>205</v>
      </c>
      <c r="E308" s="275"/>
      <c r="F308" s="275"/>
      <c r="G308" s="275"/>
    </row>
    <row r="309" spans="2:7" ht="15">
      <c r="B309" s="267" t="s">
        <v>214</v>
      </c>
      <c r="C309" s="275"/>
      <c r="D309" s="275"/>
      <c r="E309" s="268" t="s">
        <v>205</v>
      </c>
      <c r="F309" s="275"/>
      <c r="G309" s="275"/>
    </row>
    <row r="310" spans="2:7" ht="15">
      <c r="B310" s="267" t="s">
        <v>224</v>
      </c>
      <c r="C310" s="275"/>
      <c r="D310" s="275"/>
      <c r="E310" s="275"/>
      <c r="F310" s="268" t="s">
        <v>205</v>
      </c>
      <c r="G310" s="275"/>
    </row>
    <row r="311" spans="2:7" ht="15">
      <c r="B311" s="267" t="s">
        <v>288</v>
      </c>
      <c r="C311" s="275"/>
      <c r="D311" s="275"/>
      <c r="E311" s="275"/>
      <c r="F311" s="275"/>
      <c r="G311" s="268" t="s">
        <v>205</v>
      </c>
    </row>
    <row r="312" spans="2:7" ht="15">
      <c r="B312" s="267" t="s">
        <v>215</v>
      </c>
      <c r="C312" s="275"/>
      <c r="D312" s="275"/>
      <c r="E312" s="268" t="s">
        <v>205</v>
      </c>
      <c r="F312" s="275"/>
      <c r="G312" s="275"/>
    </row>
    <row r="313" spans="2:7" ht="15">
      <c r="B313" s="267" t="s">
        <v>225</v>
      </c>
      <c r="C313" s="275"/>
      <c r="D313" s="275"/>
      <c r="E313" s="275"/>
      <c r="F313" s="268" t="s">
        <v>205</v>
      </c>
      <c r="G313" s="275"/>
    </row>
    <row r="314" spans="2:7" ht="15">
      <c r="B314" s="267" t="s">
        <v>289</v>
      </c>
      <c r="C314" s="275"/>
      <c r="D314" s="275"/>
      <c r="E314" s="275"/>
      <c r="F314" s="275"/>
      <c r="G314" s="268" t="s">
        <v>205</v>
      </c>
    </row>
    <row r="315" spans="2:7" ht="15.75">
      <c r="B315" s="1318" t="s">
        <v>672</v>
      </c>
      <c r="C315" s="1318"/>
      <c r="D315" s="1318"/>
      <c r="E315" s="1318"/>
      <c r="F315" s="1318"/>
      <c r="G315" s="1318"/>
    </row>
    <row r="316" spans="2:7" ht="15.75">
      <c r="B316" s="269"/>
      <c r="C316" s="269"/>
      <c r="D316" s="269"/>
      <c r="E316" s="269"/>
      <c r="F316" s="269"/>
      <c r="G316" s="269"/>
    </row>
    <row r="317" spans="2:7" ht="15.75">
      <c r="B317" s="1318" t="s">
        <v>673</v>
      </c>
      <c r="C317" s="1318"/>
      <c r="D317" s="1318"/>
      <c r="E317" s="1318"/>
      <c r="F317" s="1318"/>
      <c r="G317" s="1318"/>
    </row>
    <row r="318" spans="2:7" ht="25.5">
      <c r="B318" s="267" t="s">
        <v>246</v>
      </c>
      <c r="C318" s="268" t="s">
        <v>205</v>
      </c>
      <c r="D318" s="275"/>
      <c r="E318" s="275"/>
      <c r="F318" s="275"/>
      <c r="G318" s="275"/>
    </row>
    <row r="319" spans="2:7" ht="25.5">
      <c r="B319" s="267" t="s">
        <v>217</v>
      </c>
      <c r="C319" s="276"/>
      <c r="D319" s="268" t="s">
        <v>205</v>
      </c>
      <c r="E319" s="275"/>
      <c r="F319" s="275"/>
      <c r="G319" s="275"/>
    </row>
    <row r="320" spans="2:7" ht="25.5">
      <c r="B320" s="267" t="s">
        <v>255</v>
      </c>
      <c r="C320" s="275"/>
      <c r="D320" s="275"/>
      <c r="E320" s="268" t="s">
        <v>205</v>
      </c>
      <c r="F320" s="275"/>
      <c r="G320" s="275"/>
    </row>
    <row r="321" spans="2:7" ht="15">
      <c r="B321" s="267" t="s">
        <v>300</v>
      </c>
      <c r="C321" s="275"/>
      <c r="D321" s="268" t="s">
        <v>205</v>
      </c>
      <c r="E321" s="275"/>
      <c r="F321" s="275"/>
      <c r="G321" s="275"/>
    </row>
    <row r="322" spans="2:7" ht="15">
      <c r="B322" s="267" t="s">
        <v>256</v>
      </c>
      <c r="C322" s="275"/>
      <c r="D322" s="275"/>
      <c r="E322" s="268" t="s">
        <v>205</v>
      </c>
      <c r="F322" s="275"/>
      <c r="G322" s="275"/>
    </row>
    <row r="323" spans="2:7" ht="15">
      <c r="B323" s="267" t="s">
        <v>299</v>
      </c>
      <c r="C323" s="275"/>
      <c r="D323" s="275"/>
      <c r="E323" s="275"/>
      <c r="F323" s="268" t="s">
        <v>205</v>
      </c>
      <c r="G323" s="275"/>
    </row>
    <row r="324" spans="2:7" ht="15">
      <c r="B324" s="267" t="s">
        <v>209</v>
      </c>
      <c r="C324" s="275"/>
      <c r="D324" s="268" t="s">
        <v>205</v>
      </c>
      <c r="E324" s="275"/>
      <c r="F324" s="275"/>
      <c r="G324" s="275"/>
    </row>
    <row r="325" spans="2:7" ht="15">
      <c r="B325" s="267" t="s">
        <v>257</v>
      </c>
      <c r="C325" s="275"/>
      <c r="D325" s="275"/>
      <c r="E325" s="268" t="s">
        <v>205</v>
      </c>
      <c r="F325" s="275"/>
      <c r="G325" s="275"/>
    </row>
    <row r="326" spans="2:7" ht="15">
      <c r="B326" s="267" t="s">
        <v>247</v>
      </c>
      <c r="C326" s="275"/>
      <c r="D326" s="268" t="s">
        <v>205</v>
      </c>
      <c r="E326" s="275"/>
      <c r="F326" s="275"/>
      <c r="G326" s="275"/>
    </row>
    <row r="327" spans="2:7" ht="15">
      <c r="B327" s="267" t="s">
        <v>219</v>
      </c>
      <c r="C327" s="275"/>
      <c r="D327" s="275"/>
      <c r="E327" s="268" t="s">
        <v>205</v>
      </c>
      <c r="F327" s="275"/>
      <c r="G327" s="275"/>
    </row>
    <row r="328" spans="2:7" ht="15">
      <c r="B328" s="267" t="s">
        <v>218</v>
      </c>
      <c r="C328" s="275"/>
      <c r="D328" s="268" t="s">
        <v>205</v>
      </c>
      <c r="E328" s="275"/>
      <c r="F328" s="275"/>
      <c r="G328" s="275"/>
    </row>
    <row r="329" spans="2:7" ht="15">
      <c r="B329" s="267" t="s">
        <v>258</v>
      </c>
      <c r="C329" s="275"/>
      <c r="D329" s="275"/>
      <c r="E329" s="268" t="s">
        <v>205</v>
      </c>
      <c r="F329" s="275"/>
      <c r="G329" s="275"/>
    </row>
    <row r="330" spans="2:7" ht="15">
      <c r="B330" s="267" t="s">
        <v>226</v>
      </c>
      <c r="C330" s="275"/>
      <c r="D330" s="275"/>
      <c r="E330" s="275"/>
      <c r="F330" s="268" t="s">
        <v>205</v>
      </c>
      <c r="G330" s="275"/>
    </row>
    <row r="331" spans="2:7" ht="15">
      <c r="B331" s="267" t="s">
        <v>259</v>
      </c>
      <c r="C331" s="275"/>
      <c r="D331" s="275"/>
      <c r="E331" s="268" t="s">
        <v>205</v>
      </c>
      <c r="F331" s="275"/>
      <c r="G331" s="275"/>
    </row>
    <row r="332" spans="2:7" ht="25.5">
      <c r="B332" s="267" t="s">
        <v>273</v>
      </c>
      <c r="C332" s="275"/>
      <c r="D332" s="275"/>
      <c r="E332" s="275"/>
      <c r="F332" s="268" t="s">
        <v>205</v>
      </c>
      <c r="G332" s="275"/>
    </row>
    <row r="333" spans="2:7" ht="15">
      <c r="B333" s="267" t="s">
        <v>274</v>
      </c>
      <c r="C333" s="275"/>
      <c r="D333" s="275"/>
      <c r="E333" s="275"/>
      <c r="F333" s="268" t="s">
        <v>205</v>
      </c>
      <c r="G333" s="275"/>
    </row>
    <row r="334" spans="2:7" ht="15">
      <c r="B334" s="267" t="s">
        <v>290</v>
      </c>
      <c r="C334" s="275"/>
      <c r="D334" s="275"/>
      <c r="E334" s="275"/>
      <c r="F334" s="275"/>
      <c r="G334" s="268" t="s">
        <v>205</v>
      </c>
    </row>
    <row r="335" spans="2:7" ht="15">
      <c r="B335" s="267" t="s">
        <v>275</v>
      </c>
      <c r="C335" s="275"/>
      <c r="D335" s="275"/>
      <c r="E335" s="275"/>
      <c r="F335" s="268" t="s">
        <v>205</v>
      </c>
      <c r="G335" s="275"/>
    </row>
    <row r="336" spans="2:7" ht="15">
      <c r="B336" s="267" t="s">
        <v>276</v>
      </c>
      <c r="C336" s="275"/>
      <c r="D336" s="275"/>
      <c r="E336" s="275"/>
      <c r="F336" s="268" t="s">
        <v>205</v>
      </c>
      <c r="G336" s="275"/>
    </row>
    <row r="337" spans="2:7" ht="15">
      <c r="B337" s="267" t="s">
        <v>277</v>
      </c>
      <c r="C337" s="275"/>
      <c r="D337" s="275"/>
      <c r="E337" s="275"/>
      <c r="F337" s="268" t="s">
        <v>205</v>
      </c>
      <c r="G337" s="275"/>
    </row>
    <row r="338" spans="2:7" ht="15">
      <c r="B338" s="267" t="s">
        <v>279</v>
      </c>
      <c r="C338" s="275"/>
      <c r="D338" s="275"/>
      <c r="E338" s="268" t="s">
        <v>205</v>
      </c>
      <c r="F338" s="275"/>
      <c r="G338" s="275"/>
    </row>
    <row r="339" spans="2:7" ht="25.5">
      <c r="B339" s="267" t="s">
        <v>278</v>
      </c>
      <c r="C339" s="275"/>
      <c r="D339" s="275"/>
      <c r="E339" s="276"/>
      <c r="F339" s="268" t="s">
        <v>205</v>
      </c>
      <c r="G339" s="275"/>
    </row>
    <row r="340" spans="2:7" ht="15">
      <c r="B340" s="267" t="s">
        <v>227</v>
      </c>
      <c r="C340" s="275"/>
      <c r="D340" s="275"/>
      <c r="E340" s="275"/>
      <c r="F340" s="268" t="s">
        <v>205</v>
      </c>
      <c r="G340" s="275"/>
    </row>
    <row r="341" spans="2:7" ht="15">
      <c r="B341" s="267" t="s">
        <v>302</v>
      </c>
      <c r="C341" s="275"/>
      <c r="D341" s="275"/>
      <c r="E341" s="275"/>
      <c r="F341" s="268" t="s">
        <v>205</v>
      </c>
      <c r="G341" s="275"/>
    </row>
    <row r="342" spans="2:7" ht="15">
      <c r="B342" s="267" t="s">
        <v>301</v>
      </c>
      <c r="C342" s="275"/>
      <c r="D342" s="275"/>
      <c r="E342" s="275"/>
      <c r="F342" s="275"/>
      <c r="G342" s="268" t="s">
        <v>205</v>
      </c>
    </row>
    <row r="343" spans="2:7" ht="15.75">
      <c r="B343" s="269" t="s">
        <v>674</v>
      </c>
      <c r="C343" s="277"/>
      <c r="D343" s="277"/>
      <c r="E343" s="277"/>
      <c r="F343" s="277"/>
      <c r="G343" s="277"/>
    </row>
    <row r="344" spans="2:7" ht="15">
      <c r="B344" s="267" t="s">
        <v>239</v>
      </c>
      <c r="C344" s="268" t="s">
        <v>205</v>
      </c>
      <c r="D344" s="275"/>
      <c r="E344" s="275"/>
      <c r="F344" s="275"/>
      <c r="G344" s="275"/>
    </row>
    <row r="345" spans="2:7" ht="15">
      <c r="B345" s="267" t="s">
        <v>248</v>
      </c>
      <c r="C345" s="275"/>
      <c r="D345" s="268" t="s">
        <v>205</v>
      </c>
      <c r="E345" s="275"/>
      <c r="F345" s="275"/>
      <c r="G345" s="275"/>
    </row>
    <row r="346" spans="2:7" ht="15">
      <c r="B346" s="267" t="s">
        <v>260</v>
      </c>
      <c r="C346" s="275"/>
      <c r="D346" s="275"/>
      <c r="E346" s="268" t="s">
        <v>205</v>
      </c>
      <c r="F346" s="275"/>
      <c r="G346" s="275"/>
    </row>
    <row r="347" spans="2:7" ht="15">
      <c r="B347" s="267" t="s">
        <v>280</v>
      </c>
      <c r="C347" s="275"/>
      <c r="D347" s="275"/>
      <c r="E347" s="275"/>
      <c r="F347" s="268" t="s">
        <v>205</v>
      </c>
      <c r="G347" s="275"/>
    </row>
    <row r="348" spans="2:7" ht="15">
      <c r="B348" s="267" t="s">
        <v>261</v>
      </c>
      <c r="C348" s="275"/>
      <c r="D348" s="268" t="s">
        <v>205</v>
      </c>
      <c r="E348" s="275"/>
      <c r="F348" s="275"/>
      <c r="G348" s="275"/>
    </row>
    <row r="349" spans="2:7" ht="15">
      <c r="B349" s="267" t="s">
        <v>220</v>
      </c>
      <c r="C349" s="275"/>
      <c r="D349" s="275"/>
      <c r="E349" s="268" t="s">
        <v>205</v>
      </c>
      <c r="F349" s="275"/>
      <c r="G349" s="275"/>
    </row>
    <row r="350" spans="2:7" ht="15">
      <c r="B350" s="267" t="s">
        <v>228</v>
      </c>
      <c r="C350" s="275"/>
      <c r="D350" s="275"/>
      <c r="E350" s="268" t="s">
        <v>205</v>
      </c>
      <c r="F350" s="275"/>
      <c r="G350" s="275"/>
    </row>
    <row r="351" spans="2:7" ht="15">
      <c r="B351" s="267" t="s">
        <v>291</v>
      </c>
      <c r="C351" s="275"/>
      <c r="D351" s="275"/>
      <c r="E351" s="275"/>
      <c r="F351" s="268" t="s">
        <v>205</v>
      </c>
      <c r="G351" s="275"/>
    </row>
    <row r="352" spans="2:7" ht="15">
      <c r="B352" s="267" t="s">
        <v>292</v>
      </c>
      <c r="C352" s="275"/>
      <c r="D352" s="275"/>
      <c r="E352" s="275"/>
      <c r="F352" s="275"/>
      <c r="G352" s="268" t="s">
        <v>205</v>
      </c>
    </row>
    <row r="353" spans="2:7" ht="15">
      <c r="B353" s="267" t="s">
        <v>306</v>
      </c>
      <c r="C353" s="275"/>
      <c r="D353" s="275"/>
      <c r="E353" s="275"/>
      <c r="F353" s="275"/>
      <c r="G353" s="268" t="s">
        <v>205</v>
      </c>
    </row>
    <row r="354" spans="2:7" ht="15">
      <c r="B354" s="267" t="s">
        <v>303</v>
      </c>
      <c r="C354" s="275"/>
      <c r="D354" s="275"/>
      <c r="E354" s="268" t="s">
        <v>205</v>
      </c>
      <c r="F354" s="275"/>
      <c r="G354" s="275"/>
    </row>
    <row r="355" spans="2:7" ht="15">
      <c r="B355" s="267" t="s">
        <v>304</v>
      </c>
      <c r="C355" s="275"/>
      <c r="D355" s="275"/>
      <c r="E355" s="275"/>
      <c r="F355" s="268" t="s">
        <v>205</v>
      </c>
      <c r="G355" s="275"/>
    </row>
    <row r="356" spans="2:7" ht="15">
      <c r="B356" s="267" t="s">
        <v>305</v>
      </c>
      <c r="C356" s="275"/>
      <c r="D356" s="275"/>
      <c r="E356" s="275"/>
      <c r="F356" s="275"/>
      <c r="G356" s="268" t="s">
        <v>205</v>
      </c>
    </row>
    <row r="357" spans="2:7" ht="15">
      <c r="B357" s="267" t="s">
        <v>281</v>
      </c>
      <c r="C357" s="275"/>
      <c r="D357" s="275"/>
      <c r="E357" s="268" t="s">
        <v>205</v>
      </c>
      <c r="F357" s="275"/>
      <c r="G357" s="275"/>
    </row>
    <row r="358" spans="2:7" ht="15">
      <c r="B358" s="267" t="s">
        <v>293</v>
      </c>
      <c r="C358" s="275"/>
      <c r="D358" s="275"/>
      <c r="E358" s="275"/>
      <c r="F358" s="268" t="s">
        <v>205</v>
      </c>
      <c r="G358" s="275"/>
    </row>
    <row r="359" spans="2:7" ht="15">
      <c r="B359" s="267" t="s">
        <v>294</v>
      </c>
      <c r="C359" s="275"/>
      <c r="D359" s="275"/>
      <c r="E359" s="275"/>
      <c r="F359" s="275"/>
      <c r="G359" s="268" t="s">
        <v>205</v>
      </c>
    </row>
    <row r="360" spans="2:7" ht="15.75">
      <c r="B360" s="269" t="s">
        <v>675</v>
      </c>
      <c r="C360" s="277"/>
      <c r="D360" s="277"/>
      <c r="E360" s="277"/>
      <c r="F360" s="277"/>
      <c r="G360" s="277"/>
    </row>
    <row r="361" spans="2:7" ht="15">
      <c r="B361" s="267" t="s">
        <v>263</v>
      </c>
      <c r="C361" s="275"/>
      <c r="D361" s="268" t="s">
        <v>205</v>
      </c>
      <c r="E361" s="275"/>
      <c r="F361" s="275"/>
      <c r="G361" s="275"/>
    </row>
    <row r="362" spans="2:7" ht="15">
      <c r="B362" s="267" t="s">
        <v>262</v>
      </c>
      <c r="C362" s="275"/>
      <c r="D362" s="275"/>
      <c r="E362" s="268" t="s">
        <v>205</v>
      </c>
      <c r="F362" s="275"/>
      <c r="G362" s="275"/>
    </row>
    <row r="363" spans="2:7" ht="15">
      <c r="B363" s="267" t="s">
        <v>229</v>
      </c>
      <c r="C363" s="275"/>
      <c r="D363" s="275"/>
      <c r="E363" s="275"/>
      <c r="F363" s="268" t="s">
        <v>205</v>
      </c>
      <c r="G363" s="275"/>
    </row>
    <row r="364" spans="2:7" ht="15">
      <c r="B364" s="267" t="s">
        <v>236</v>
      </c>
      <c r="C364" s="275"/>
      <c r="D364" s="275"/>
      <c r="E364" s="275"/>
      <c r="F364" s="275"/>
      <c r="G364" s="268" t="s">
        <v>205</v>
      </c>
    </row>
    <row r="365" spans="2:7" ht="15">
      <c r="B365" s="267" t="s">
        <v>366</v>
      </c>
      <c r="C365" s="268" t="s">
        <v>205</v>
      </c>
      <c r="D365" s="275"/>
      <c r="E365" s="275"/>
      <c r="F365" s="275"/>
      <c r="G365" s="275"/>
    </row>
    <row r="366" spans="2:7" ht="15">
      <c r="B366" s="267" t="s">
        <v>249</v>
      </c>
      <c r="C366" s="275"/>
      <c r="D366" s="268" t="s">
        <v>205</v>
      </c>
      <c r="E366" s="275"/>
      <c r="F366" s="275"/>
      <c r="G366" s="275"/>
    </row>
    <row r="367" spans="2:7" ht="15">
      <c r="B367" s="267" t="s">
        <v>367</v>
      </c>
      <c r="C367" s="275"/>
      <c r="D367" s="275"/>
      <c r="E367" s="268" t="s">
        <v>205</v>
      </c>
      <c r="F367" s="275"/>
      <c r="G367" s="275"/>
    </row>
    <row r="368" spans="2:7" ht="15">
      <c r="B368" s="267" t="s">
        <v>368</v>
      </c>
      <c r="C368" s="275"/>
      <c r="D368" s="275"/>
      <c r="E368" s="275"/>
      <c r="F368" s="268" t="s">
        <v>205</v>
      </c>
      <c r="G368" s="275"/>
    </row>
    <row r="369" spans="1:16" ht="25.5">
      <c r="B369" s="267" t="s">
        <v>369</v>
      </c>
      <c r="C369" s="275"/>
      <c r="D369" s="275"/>
      <c r="E369" s="275"/>
      <c r="F369" s="275"/>
      <c r="G369" s="268" t="s">
        <v>205</v>
      </c>
    </row>
    <row r="370" spans="1:16" ht="15">
      <c r="B370" s="267" t="s">
        <v>230</v>
      </c>
      <c r="C370" s="275"/>
      <c r="D370" s="275"/>
      <c r="E370" s="275"/>
      <c r="F370" s="268" t="s">
        <v>205</v>
      </c>
      <c r="G370" s="275"/>
    </row>
    <row r="371" spans="1:16" ht="38.25">
      <c r="B371" s="267" t="s">
        <v>240</v>
      </c>
      <c r="C371" s="268" t="s">
        <v>205</v>
      </c>
      <c r="D371" s="275"/>
      <c r="E371" s="275"/>
      <c r="F371" s="275"/>
      <c r="G371" s="275"/>
    </row>
    <row r="372" spans="1:16" ht="25.5">
      <c r="B372" s="267" t="s">
        <v>250</v>
      </c>
      <c r="C372" s="275"/>
      <c r="D372" s="268" t="s">
        <v>205</v>
      </c>
      <c r="E372" s="275"/>
      <c r="F372" s="275"/>
      <c r="G372" s="275"/>
    </row>
    <row r="373" spans="1:16" ht="25.5">
      <c r="B373" s="267" t="s">
        <v>282</v>
      </c>
      <c r="C373" s="275"/>
      <c r="D373" s="275"/>
      <c r="E373" s="268" t="s">
        <v>205</v>
      </c>
      <c r="F373" s="275"/>
      <c r="G373" s="275"/>
    </row>
    <row r="374" spans="1:16" ht="15">
      <c r="B374" s="267" t="s">
        <v>231</v>
      </c>
      <c r="C374" s="275"/>
      <c r="D374" s="275"/>
      <c r="E374" s="275"/>
      <c r="F374" s="268" t="s">
        <v>205</v>
      </c>
      <c r="G374" s="275"/>
    </row>
    <row r="375" spans="1:16" ht="15">
      <c r="B375" s="267" t="s">
        <v>237</v>
      </c>
      <c r="C375" s="275"/>
      <c r="D375" s="275"/>
      <c r="E375" s="275"/>
      <c r="F375" s="275"/>
      <c r="G375" s="268" t="s">
        <v>205</v>
      </c>
    </row>
    <row r="376" spans="1:16" ht="25.5">
      <c r="B376" s="267" t="s">
        <v>307</v>
      </c>
      <c r="C376" s="275"/>
      <c r="D376" s="275"/>
      <c r="E376" s="268" t="s">
        <v>205</v>
      </c>
      <c r="F376" s="275"/>
      <c r="G376" s="275"/>
    </row>
    <row r="377" spans="1:16" ht="25.5">
      <c r="B377" s="267" t="s">
        <v>232</v>
      </c>
      <c r="C377" s="275"/>
      <c r="D377" s="275"/>
      <c r="E377" s="275"/>
      <c r="F377" s="268" t="s">
        <v>205</v>
      </c>
      <c r="G377" s="275"/>
    </row>
    <row r="378" spans="1:16" ht="15">
      <c r="B378" s="346" t="s">
        <v>308</v>
      </c>
      <c r="C378" s="347"/>
      <c r="D378" s="347"/>
      <c r="E378" s="347"/>
      <c r="F378" s="347"/>
      <c r="G378" s="348" t="s">
        <v>205</v>
      </c>
      <c r="I378" s="344"/>
      <c r="J378" s="344"/>
      <c r="K378" s="344"/>
      <c r="L378" s="344"/>
      <c r="M378" s="344"/>
      <c r="N378" s="344"/>
      <c r="O378" s="344"/>
    </row>
    <row r="380" spans="1:16" ht="15.75">
      <c r="A380" s="355"/>
      <c r="B380" s="356" t="s">
        <v>526</v>
      </c>
      <c r="C380" s="356"/>
      <c r="D380" s="356"/>
      <c r="E380" s="356"/>
      <c r="F380" s="356"/>
      <c r="G380" s="356"/>
      <c r="H380" s="355"/>
      <c r="I380" s="356" t="s">
        <v>527</v>
      </c>
      <c r="J380" s="358"/>
      <c r="K380" s="358"/>
      <c r="L380" s="358"/>
      <c r="M380" s="358"/>
      <c r="N380" s="358"/>
      <c r="O380" s="355"/>
      <c r="P380" s="355"/>
    </row>
    <row r="381" spans="1:16" ht="15.75">
      <c r="A381" s="187" t="s">
        <v>3</v>
      </c>
      <c r="B381" s="189" t="s">
        <v>385</v>
      </c>
      <c r="C381" s="189"/>
      <c r="D381" s="189"/>
      <c r="E381" s="189"/>
      <c r="F381" s="242" t="s">
        <v>389</v>
      </c>
      <c r="G381" s="956"/>
      <c r="I381" s="197" t="s">
        <v>70</v>
      </c>
      <c r="J381" s="197"/>
      <c r="K381" s="197" t="s">
        <v>169</v>
      </c>
      <c r="L381" s="197"/>
      <c r="M381" s="197"/>
      <c r="N381" s="197"/>
      <c r="O381" s="197"/>
    </row>
    <row r="382" spans="1:16" ht="15.75">
      <c r="A382" s="190" t="s">
        <v>4</v>
      </c>
      <c r="B382" s="192" t="s">
        <v>386</v>
      </c>
      <c r="C382" s="192"/>
      <c r="D382" s="192"/>
      <c r="E382" s="192"/>
      <c r="F382" s="243" t="s">
        <v>389</v>
      </c>
      <c r="G382" s="957"/>
      <c r="I382" s="198" t="s">
        <v>71</v>
      </c>
      <c r="J382" s="198"/>
      <c r="K382" s="198" t="s">
        <v>393</v>
      </c>
      <c r="L382" s="198"/>
      <c r="M382" s="198"/>
      <c r="N382" s="198"/>
      <c r="O382" s="198"/>
    </row>
    <row r="383" spans="1:16" ht="15.75">
      <c r="A383" s="190" t="s">
        <v>5</v>
      </c>
      <c r="B383" s="192" t="s">
        <v>387</v>
      </c>
      <c r="C383" s="192"/>
      <c r="D383" s="192"/>
      <c r="E383" s="192"/>
      <c r="F383" s="243" t="s">
        <v>389</v>
      </c>
      <c r="G383" s="957"/>
      <c r="I383" s="198" t="s">
        <v>72</v>
      </c>
      <c r="J383" s="198"/>
      <c r="K383" s="198" t="s">
        <v>394</v>
      </c>
      <c r="L383" s="198"/>
      <c r="M383" s="198"/>
      <c r="N383" s="198"/>
      <c r="O383" s="198"/>
    </row>
    <row r="384" spans="1:16" ht="15.75">
      <c r="A384" s="190" t="s">
        <v>93</v>
      </c>
      <c r="B384" s="192" t="s">
        <v>388</v>
      </c>
      <c r="C384" s="192"/>
      <c r="D384" s="192"/>
      <c r="E384" s="192"/>
      <c r="F384" s="243" t="s">
        <v>390</v>
      </c>
      <c r="G384" s="957"/>
      <c r="I384" s="198" t="s">
        <v>73</v>
      </c>
      <c r="J384" s="198"/>
      <c r="K384" s="198" t="s">
        <v>395</v>
      </c>
      <c r="L384" s="198"/>
      <c r="M384" s="198"/>
      <c r="N384" s="198"/>
      <c r="O384" s="198"/>
    </row>
    <row r="385" spans="1:15" ht="15.75">
      <c r="A385" s="193" t="s">
        <v>94</v>
      </c>
      <c r="B385" s="195" t="s">
        <v>384</v>
      </c>
      <c r="C385" s="195"/>
      <c r="D385" s="195"/>
      <c r="E385" s="195"/>
      <c r="F385" s="244" t="s">
        <v>391</v>
      </c>
      <c r="G385" s="958"/>
      <c r="I385" s="199" t="s">
        <v>74</v>
      </c>
      <c r="J385" s="199"/>
      <c r="K385" s="199" t="s">
        <v>396</v>
      </c>
      <c r="L385" s="199"/>
      <c r="M385" s="199"/>
      <c r="N385" s="199"/>
      <c r="O385" s="199"/>
    </row>
    <row r="386" spans="1:15" ht="15.75">
      <c r="A386" s="77"/>
      <c r="B386" s="77"/>
      <c r="C386" s="77"/>
      <c r="D386" s="77"/>
      <c r="E386" s="77"/>
      <c r="F386" s="240" t="s">
        <v>392</v>
      </c>
      <c r="G386" s="183">
        <f>SUM(G381:G385)</f>
        <v>0</v>
      </c>
    </row>
    <row r="387" spans="1:15" ht="15.75">
      <c r="B387" s="50" t="s">
        <v>193</v>
      </c>
      <c r="C387" s="48"/>
      <c r="D387" s="48"/>
      <c r="E387" s="48"/>
      <c r="F387" s="241" t="str">
        <f>IF(G386&lt;10,I381,IF(G386&lt;18,I382,IF(G386&lt;26,I383,IF(G386&lt;34,I384,IF(G386&lt;41,I385,"NAPAKA")))))</f>
        <v>Cenovni razred I</v>
      </c>
      <c r="G387" s="48"/>
    </row>
    <row r="391" spans="1:15" ht="15.75">
      <c r="B391" s="256" t="s">
        <v>348</v>
      </c>
      <c r="C391" s="289" t="s">
        <v>200</v>
      </c>
      <c r="D391" s="289" t="s">
        <v>201</v>
      </c>
      <c r="E391" s="289" t="s">
        <v>202</v>
      </c>
      <c r="F391" s="289" t="s">
        <v>203</v>
      </c>
      <c r="G391" s="289" t="s">
        <v>204</v>
      </c>
    </row>
    <row r="392" spans="1:15" ht="15.75">
      <c r="B392" s="313" t="s">
        <v>677</v>
      </c>
      <c r="C392" s="275"/>
      <c r="D392" s="275"/>
      <c r="E392" s="268"/>
      <c r="F392" s="275"/>
      <c r="G392" s="275"/>
    </row>
    <row r="393" spans="1:15" ht="15">
      <c r="B393" s="312" t="s">
        <v>401</v>
      </c>
      <c r="C393" s="275"/>
      <c r="D393" s="275"/>
      <c r="E393" s="275"/>
      <c r="F393" s="268"/>
      <c r="G393" s="275"/>
    </row>
    <row r="394" spans="1:15" ht="15">
      <c r="B394" s="267" t="s">
        <v>402</v>
      </c>
      <c r="C394" s="275"/>
      <c r="D394" s="275" t="s">
        <v>205</v>
      </c>
      <c r="E394" s="268"/>
      <c r="F394" s="275"/>
      <c r="G394" s="275"/>
    </row>
    <row r="395" spans="1:15" ht="15">
      <c r="B395" s="267" t="s">
        <v>403</v>
      </c>
      <c r="C395" s="275"/>
      <c r="D395" s="275"/>
      <c r="E395" s="275" t="s">
        <v>205</v>
      </c>
      <c r="F395" s="268"/>
      <c r="G395" s="275"/>
    </row>
    <row r="396" spans="1:15" ht="25.5">
      <c r="B396" s="267" t="s">
        <v>404</v>
      </c>
      <c r="C396" s="275"/>
      <c r="D396" s="275"/>
      <c r="E396" s="268"/>
      <c r="F396" s="275" t="s">
        <v>205</v>
      </c>
      <c r="G396" s="275"/>
    </row>
    <row r="397" spans="1:15" ht="15">
      <c r="B397" s="267" t="s">
        <v>405</v>
      </c>
      <c r="C397" s="275"/>
      <c r="D397" s="275"/>
      <c r="E397" s="275"/>
      <c r="F397" s="268"/>
      <c r="G397" s="275" t="s">
        <v>205</v>
      </c>
    </row>
    <row r="398" spans="1:15" ht="15">
      <c r="B398" s="311" t="s">
        <v>406</v>
      </c>
      <c r="C398" s="275"/>
      <c r="D398" s="275"/>
      <c r="E398" s="268"/>
      <c r="F398" s="275"/>
      <c r="G398" s="275"/>
    </row>
    <row r="399" spans="1:15" ht="15">
      <c r="B399" s="267" t="s">
        <v>407</v>
      </c>
      <c r="C399" s="275"/>
      <c r="D399" s="275" t="s">
        <v>205</v>
      </c>
      <c r="E399" s="275"/>
      <c r="F399" s="268"/>
      <c r="G399" s="275"/>
    </row>
    <row r="400" spans="1:15" ht="25.5">
      <c r="B400" s="267" t="s">
        <v>408</v>
      </c>
      <c r="C400" s="275"/>
      <c r="D400" s="275"/>
      <c r="E400" s="268" t="s">
        <v>205</v>
      </c>
      <c r="F400" s="275"/>
      <c r="G400" s="275"/>
    </row>
    <row r="401" spans="2:7" ht="25.5">
      <c r="B401" s="267" t="s">
        <v>409</v>
      </c>
      <c r="C401" s="275"/>
      <c r="D401" s="275"/>
      <c r="E401" s="275"/>
      <c r="F401" s="268" t="s">
        <v>205</v>
      </c>
      <c r="G401" s="275"/>
    </row>
    <row r="402" spans="2:7" ht="25.5">
      <c r="B402" s="267" t="s">
        <v>409</v>
      </c>
      <c r="C402" s="275"/>
      <c r="D402" s="275"/>
      <c r="E402" s="268"/>
      <c r="F402" s="275"/>
      <c r="G402" s="275" t="s">
        <v>205</v>
      </c>
    </row>
    <row r="403" spans="2:7" ht="15">
      <c r="B403" s="311" t="s">
        <v>410</v>
      </c>
      <c r="C403" s="275"/>
      <c r="D403" s="275"/>
      <c r="E403" s="275"/>
      <c r="F403" s="268"/>
      <c r="G403" s="275"/>
    </row>
    <row r="404" spans="2:7" ht="15">
      <c r="B404" s="267" t="s">
        <v>411</v>
      </c>
      <c r="C404" s="275" t="s">
        <v>205</v>
      </c>
      <c r="D404" s="275"/>
      <c r="E404" s="268"/>
      <c r="F404" s="275"/>
      <c r="G404" s="275"/>
    </row>
    <row r="405" spans="2:7" ht="15">
      <c r="B405" s="267" t="s">
        <v>412</v>
      </c>
      <c r="C405" s="275"/>
      <c r="D405" s="275" t="s">
        <v>205</v>
      </c>
      <c r="E405" s="275"/>
      <c r="F405" s="268"/>
      <c r="G405" s="275"/>
    </row>
    <row r="406" spans="2:7" ht="15">
      <c r="B406" s="267" t="s">
        <v>413</v>
      </c>
      <c r="C406" s="275"/>
      <c r="D406" s="275"/>
      <c r="E406" s="268" t="s">
        <v>205</v>
      </c>
      <c r="F406" s="275"/>
      <c r="G406" s="275"/>
    </row>
    <row r="407" spans="2:7" ht="15">
      <c r="B407" s="311" t="s">
        <v>414</v>
      </c>
      <c r="C407" s="275"/>
      <c r="D407" s="275"/>
      <c r="E407" s="275"/>
      <c r="F407" s="268"/>
      <c r="G407" s="275"/>
    </row>
    <row r="408" spans="2:7" ht="15">
      <c r="B408" s="267" t="s">
        <v>415</v>
      </c>
      <c r="C408" s="275" t="s">
        <v>205</v>
      </c>
      <c r="D408" s="275"/>
      <c r="E408" s="268"/>
      <c r="F408" s="275"/>
      <c r="G408" s="275"/>
    </row>
    <row r="409" spans="2:7" ht="15">
      <c r="B409" s="267" t="s">
        <v>416</v>
      </c>
      <c r="C409" s="275"/>
      <c r="D409" s="275" t="s">
        <v>205</v>
      </c>
      <c r="E409" s="275"/>
      <c r="F409" s="268"/>
      <c r="G409" s="275"/>
    </row>
    <row r="410" spans="2:7" ht="15">
      <c r="B410" s="267" t="s">
        <v>417</v>
      </c>
      <c r="C410" s="275"/>
      <c r="D410" s="275"/>
      <c r="E410" s="268" t="s">
        <v>418</v>
      </c>
      <c r="F410" s="275"/>
      <c r="G410" s="275"/>
    </row>
    <row r="411" spans="2:7" ht="15">
      <c r="B411" s="267" t="s">
        <v>419</v>
      </c>
      <c r="C411" s="275"/>
      <c r="D411" s="275"/>
      <c r="E411" s="275"/>
      <c r="F411" s="268" t="s">
        <v>205</v>
      </c>
      <c r="G411" s="275"/>
    </row>
    <row r="412" spans="2:7" ht="15">
      <c r="B412" s="267" t="s">
        <v>420</v>
      </c>
      <c r="C412" s="275"/>
      <c r="D412" s="275"/>
      <c r="E412" s="268" t="s">
        <v>205</v>
      </c>
      <c r="F412" s="275"/>
      <c r="G412" s="275"/>
    </row>
    <row r="413" spans="2:7" ht="15">
      <c r="B413" s="267" t="s">
        <v>421</v>
      </c>
      <c r="C413" s="275"/>
      <c r="D413" s="275"/>
      <c r="E413" s="275"/>
      <c r="F413" s="268" t="s">
        <v>205</v>
      </c>
      <c r="G413" s="275"/>
    </row>
    <row r="414" spans="2:7" ht="15">
      <c r="B414" s="311" t="s">
        <v>422</v>
      </c>
      <c r="C414" s="275"/>
      <c r="D414" s="275"/>
      <c r="E414" s="268"/>
      <c r="F414" s="275"/>
      <c r="G414" s="275"/>
    </row>
    <row r="415" spans="2:7" ht="15">
      <c r="B415" s="267" t="s">
        <v>423</v>
      </c>
      <c r="C415" s="275" t="s">
        <v>205</v>
      </c>
      <c r="D415" s="275"/>
      <c r="E415" s="275"/>
      <c r="F415" s="268"/>
      <c r="G415" s="275"/>
    </row>
    <row r="416" spans="2:7" ht="15">
      <c r="B416" s="267" t="s">
        <v>424</v>
      </c>
      <c r="C416" s="275"/>
      <c r="D416" s="275"/>
      <c r="E416" s="268" t="s">
        <v>205</v>
      </c>
      <c r="F416" s="275"/>
      <c r="G416" s="275"/>
    </row>
    <row r="417" spans="2:7" ht="15">
      <c r="B417" s="311" t="s">
        <v>425</v>
      </c>
      <c r="C417" s="275"/>
      <c r="D417" s="275"/>
      <c r="E417" s="275"/>
      <c r="F417" s="268"/>
      <c r="G417" s="275"/>
    </row>
    <row r="418" spans="2:7" ht="15">
      <c r="B418" s="267" t="s">
        <v>426</v>
      </c>
      <c r="C418" s="275"/>
      <c r="D418" s="275" t="s">
        <v>205</v>
      </c>
      <c r="E418" s="268"/>
      <c r="F418" s="275"/>
      <c r="G418" s="275"/>
    </row>
    <row r="419" spans="2:7" ht="15">
      <c r="B419" s="267" t="s">
        <v>427</v>
      </c>
      <c r="C419" s="275"/>
      <c r="D419" s="275"/>
      <c r="E419" s="275" t="s">
        <v>205</v>
      </c>
      <c r="F419" s="268"/>
      <c r="G419" s="275"/>
    </row>
    <row r="420" spans="2:7" ht="15">
      <c r="B420" s="267" t="s">
        <v>428</v>
      </c>
      <c r="C420" s="275"/>
      <c r="D420" s="275"/>
      <c r="E420" s="268"/>
      <c r="F420" s="275" t="s">
        <v>205</v>
      </c>
      <c r="G420" s="275"/>
    </row>
    <row r="421" spans="2:7" ht="15">
      <c r="B421" s="267" t="s">
        <v>429</v>
      </c>
      <c r="C421" s="275"/>
      <c r="D421" s="275"/>
      <c r="E421" s="275" t="s">
        <v>205</v>
      </c>
      <c r="F421" s="268"/>
      <c r="G421" s="275"/>
    </row>
    <row r="422" spans="2:7" ht="15">
      <c r="B422" s="267" t="s">
        <v>430</v>
      </c>
      <c r="C422" s="275"/>
      <c r="D422" s="275"/>
      <c r="E422" s="268"/>
      <c r="F422" s="275" t="s">
        <v>205</v>
      </c>
      <c r="G422" s="275"/>
    </row>
    <row r="423" spans="2:7" ht="15">
      <c r="B423" s="267" t="s">
        <v>431</v>
      </c>
      <c r="C423" s="275"/>
      <c r="D423" s="275"/>
      <c r="E423" s="275"/>
      <c r="F423" s="268"/>
      <c r="G423" s="275" t="s">
        <v>205</v>
      </c>
    </row>
    <row r="424" spans="2:7" ht="15.75">
      <c r="B424" s="269" t="s">
        <v>678</v>
      </c>
      <c r="C424" s="275"/>
      <c r="D424" s="275"/>
      <c r="E424" s="268"/>
      <c r="F424" s="275"/>
      <c r="G424" s="275"/>
    </row>
    <row r="425" spans="2:7" ht="15">
      <c r="B425" s="311" t="s">
        <v>432</v>
      </c>
      <c r="C425" s="275"/>
      <c r="D425" s="275"/>
      <c r="E425" s="275"/>
      <c r="F425" s="268"/>
      <c r="G425" s="275"/>
    </row>
    <row r="426" spans="2:7" ht="15">
      <c r="B426" s="267" t="s">
        <v>433</v>
      </c>
      <c r="C426" s="275" t="s">
        <v>205</v>
      </c>
      <c r="D426" s="275"/>
      <c r="E426" s="268"/>
      <c r="F426" s="275"/>
      <c r="G426" s="275"/>
    </row>
    <row r="427" spans="2:7" ht="15">
      <c r="B427" s="267" t="s">
        <v>402</v>
      </c>
      <c r="C427" s="275"/>
      <c r="D427" s="275" t="s">
        <v>205</v>
      </c>
      <c r="E427" s="275"/>
      <c r="F427" s="268"/>
      <c r="G427" s="275"/>
    </row>
    <row r="428" spans="2:7" ht="15">
      <c r="B428" s="267" t="s">
        <v>403</v>
      </c>
      <c r="C428" s="275"/>
      <c r="D428" s="275"/>
      <c r="E428" s="268" t="s">
        <v>205</v>
      </c>
      <c r="F428" s="275"/>
      <c r="G428" s="275"/>
    </row>
    <row r="429" spans="2:7" ht="25.5">
      <c r="B429" s="267" t="s">
        <v>404</v>
      </c>
      <c r="C429" s="275"/>
      <c r="D429" s="275"/>
      <c r="E429" s="275"/>
      <c r="F429" s="268" t="s">
        <v>205</v>
      </c>
      <c r="G429" s="275"/>
    </row>
    <row r="430" spans="2:7" ht="15">
      <c r="B430" s="311" t="s">
        <v>434</v>
      </c>
      <c r="C430" s="275"/>
      <c r="D430" s="275"/>
      <c r="E430" s="268"/>
      <c r="F430" s="275"/>
      <c r="G430" s="275"/>
    </row>
    <row r="431" spans="2:7" ht="15">
      <c r="B431" s="267" t="s">
        <v>435</v>
      </c>
      <c r="C431" s="275"/>
      <c r="D431" s="275" t="s">
        <v>205</v>
      </c>
      <c r="E431" s="275"/>
      <c r="F431" s="268"/>
      <c r="G431" s="275"/>
    </row>
    <row r="432" spans="2:7" ht="15">
      <c r="B432" s="267" t="s">
        <v>436</v>
      </c>
      <c r="C432" s="275"/>
      <c r="D432" s="275"/>
      <c r="E432" s="268" t="s">
        <v>205</v>
      </c>
      <c r="F432" s="275"/>
      <c r="G432" s="275"/>
    </row>
    <row r="433" spans="1:16" ht="15">
      <c r="B433" s="267" t="s">
        <v>437</v>
      </c>
      <c r="C433" s="275"/>
      <c r="D433" s="275"/>
      <c r="E433" s="275"/>
      <c r="F433" s="268" t="s">
        <v>205</v>
      </c>
      <c r="G433" s="275"/>
    </row>
    <row r="434" spans="1:16" ht="15.75">
      <c r="B434" s="269" t="s">
        <v>679</v>
      </c>
      <c r="C434" s="275"/>
      <c r="D434" s="275"/>
      <c r="E434" s="268"/>
      <c r="F434" s="275"/>
      <c r="G434" s="275"/>
    </row>
    <row r="435" spans="1:16" ht="15">
      <c r="B435" s="267" t="s">
        <v>438</v>
      </c>
      <c r="C435" s="275"/>
      <c r="D435" s="275" t="s">
        <v>205</v>
      </c>
      <c r="E435" s="275"/>
      <c r="F435" s="268"/>
      <c r="G435" s="275"/>
    </row>
    <row r="436" spans="1:16" ht="25.5">
      <c r="B436" s="267" t="s">
        <v>439</v>
      </c>
      <c r="C436" s="275"/>
      <c r="D436" s="275"/>
      <c r="E436" s="268" t="s">
        <v>440</v>
      </c>
      <c r="F436" s="275"/>
      <c r="G436" s="275"/>
    </row>
    <row r="437" spans="1:16" ht="15">
      <c r="B437" s="349" t="s">
        <v>441</v>
      </c>
      <c r="C437" s="350"/>
      <c r="D437" s="350"/>
      <c r="E437" s="350"/>
      <c r="F437" s="351" t="s">
        <v>205</v>
      </c>
      <c r="G437" s="350"/>
    </row>
    <row r="438" spans="1:16">
      <c r="A438" s="228"/>
      <c r="B438" s="352"/>
      <c r="C438" s="353"/>
      <c r="D438" s="353"/>
      <c r="E438" s="353"/>
      <c r="F438" s="353"/>
      <c r="G438" s="353"/>
    </row>
    <row r="439" spans="1:16">
      <c r="A439" s="228"/>
      <c r="B439" s="228"/>
      <c r="C439" s="230"/>
      <c r="D439" s="230"/>
      <c r="E439" s="230"/>
      <c r="F439" s="230"/>
      <c r="G439" s="230"/>
    </row>
    <row r="440" spans="1:16" ht="15.75">
      <c r="A440" s="355"/>
      <c r="B440" s="356" t="s">
        <v>529</v>
      </c>
      <c r="C440" s="356"/>
      <c r="D440" s="356"/>
      <c r="E440" s="356"/>
      <c r="F440" s="356"/>
      <c r="G440" s="356"/>
      <c r="H440" s="355"/>
      <c r="I440" s="356" t="s">
        <v>528</v>
      </c>
      <c r="J440" s="358"/>
      <c r="K440" s="358"/>
      <c r="L440" s="358"/>
      <c r="M440" s="358"/>
      <c r="N440" s="358"/>
      <c r="O440" s="358"/>
      <c r="P440" s="355"/>
    </row>
    <row r="441" spans="1:16" ht="15.75">
      <c r="A441" s="187" t="s">
        <v>3</v>
      </c>
      <c r="B441" s="189" t="s">
        <v>385</v>
      </c>
      <c r="C441" s="189"/>
      <c r="D441" s="189"/>
      <c r="E441" s="189"/>
      <c r="F441" s="242" t="s">
        <v>389</v>
      </c>
      <c r="G441" s="956"/>
      <c r="I441" s="197" t="s">
        <v>70</v>
      </c>
      <c r="J441" s="197"/>
      <c r="K441" s="197" t="s">
        <v>169</v>
      </c>
      <c r="L441" s="197"/>
      <c r="M441" s="197"/>
      <c r="N441" s="197"/>
      <c r="O441" s="197"/>
    </row>
    <row r="442" spans="1:16" ht="15.75">
      <c r="A442" s="190" t="s">
        <v>4</v>
      </c>
      <c r="B442" s="192" t="s">
        <v>386</v>
      </c>
      <c r="C442" s="192"/>
      <c r="D442" s="192"/>
      <c r="E442" s="192"/>
      <c r="F442" s="243" t="s">
        <v>389</v>
      </c>
      <c r="G442" s="957"/>
      <c r="I442" s="198" t="s">
        <v>71</v>
      </c>
      <c r="J442" s="198"/>
      <c r="K442" s="198" t="s">
        <v>393</v>
      </c>
      <c r="L442" s="198"/>
      <c r="M442" s="198"/>
      <c r="N442" s="198"/>
      <c r="O442" s="198"/>
    </row>
    <row r="443" spans="1:16" ht="15.75">
      <c r="A443" s="190" t="s">
        <v>5</v>
      </c>
      <c r="B443" s="192" t="s">
        <v>397</v>
      </c>
      <c r="C443" s="192"/>
      <c r="D443" s="192"/>
      <c r="E443" s="192"/>
      <c r="F443" s="243" t="s">
        <v>391</v>
      </c>
      <c r="G443" s="957"/>
      <c r="I443" s="198" t="s">
        <v>72</v>
      </c>
      <c r="J443" s="198"/>
      <c r="K443" s="198" t="s">
        <v>394</v>
      </c>
      <c r="L443" s="198"/>
      <c r="M443" s="198"/>
      <c r="N443" s="198"/>
      <c r="O443" s="198"/>
    </row>
    <row r="444" spans="1:16" ht="15.75">
      <c r="A444" s="190" t="s">
        <v>93</v>
      </c>
      <c r="B444" s="192" t="s">
        <v>388</v>
      </c>
      <c r="C444" s="192"/>
      <c r="D444" s="192"/>
      <c r="E444" s="192"/>
      <c r="F444" s="243" t="s">
        <v>390</v>
      </c>
      <c r="G444" s="957"/>
      <c r="I444" s="198" t="s">
        <v>73</v>
      </c>
      <c r="J444" s="198"/>
      <c r="K444" s="198" t="s">
        <v>395</v>
      </c>
      <c r="L444" s="198"/>
      <c r="M444" s="198"/>
      <c r="N444" s="198"/>
      <c r="O444" s="198"/>
    </row>
    <row r="445" spans="1:16" ht="15.75">
      <c r="A445" s="193" t="s">
        <v>94</v>
      </c>
      <c r="B445" s="195" t="s">
        <v>384</v>
      </c>
      <c r="C445" s="195"/>
      <c r="D445" s="195"/>
      <c r="E445" s="195"/>
      <c r="F445" s="244" t="s">
        <v>389</v>
      </c>
      <c r="G445" s="958"/>
      <c r="I445" s="199" t="s">
        <v>74</v>
      </c>
      <c r="J445" s="199"/>
      <c r="K445" s="199" t="s">
        <v>396</v>
      </c>
      <c r="L445" s="199"/>
      <c r="M445" s="199"/>
      <c r="N445" s="199"/>
      <c r="O445" s="199"/>
    </row>
    <row r="446" spans="1:16" ht="15.75">
      <c r="A446" s="77"/>
      <c r="B446" s="77"/>
      <c r="C446" s="77"/>
      <c r="D446" s="77"/>
      <c r="E446" s="77"/>
      <c r="F446" s="240" t="s">
        <v>392</v>
      </c>
      <c r="G446" s="183">
        <f>SUM(G441:G445)</f>
        <v>0</v>
      </c>
    </row>
    <row r="447" spans="1:16" ht="15.75">
      <c r="B447" s="50" t="s">
        <v>193</v>
      </c>
      <c r="C447" s="48"/>
      <c r="D447" s="48"/>
      <c r="E447" s="48"/>
      <c r="F447" s="241" t="str">
        <f>IF(G446&lt;10,I441,IF(G446&lt;18,I442,IF(G446&lt;26,I443,IF(G446&lt;34,I444,IF(G446&lt;41,I445,"NAPAKA")))))</f>
        <v>Cenovni razred I</v>
      </c>
      <c r="G447" s="48"/>
    </row>
    <row r="454" spans="1:7" ht="15.75">
      <c r="B454" s="256" t="s">
        <v>349</v>
      </c>
      <c r="C454" s="289" t="s">
        <v>200</v>
      </c>
      <c r="D454" s="289" t="s">
        <v>201</v>
      </c>
      <c r="E454" s="289" t="s">
        <v>202</v>
      </c>
      <c r="F454" s="289" t="s">
        <v>203</v>
      </c>
      <c r="G454" s="289" t="s">
        <v>204</v>
      </c>
    </row>
    <row r="455" spans="1:7" ht="51">
      <c r="A455" s="316"/>
      <c r="B455" s="318" t="s">
        <v>444</v>
      </c>
      <c r="C455" s="319" t="s">
        <v>205</v>
      </c>
      <c r="D455" s="319"/>
      <c r="E455" s="319"/>
      <c r="F455" s="319"/>
      <c r="G455" s="319"/>
    </row>
    <row r="456" spans="1:7" ht="38.25">
      <c r="A456" s="316"/>
      <c r="B456" s="320" t="s">
        <v>501</v>
      </c>
      <c r="C456" s="321"/>
      <c r="D456" s="321" t="s">
        <v>205</v>
      </c>
      <c r="E456" s="321"/>
      <c r="F456" s="321"/>
      <c r="G456" s="321"/>
    </row>
    <row r="457" spans="1:7" ht="38.25">
      <c r="A457" s="316"/>
      <c r="B457" s="320" t="s">
        <v>500</v>
      </c>
      <c r="C457" s="359"/>
      <c r="D457" s="359"/>
      <c r="E457" s="359" t="s">
        <v>205</v>
      </c>
      <c r="F457" s="359"/>
      <c r="G457" s="359"/>
    </row>
    <row r="458" spans="1:7" ht="51">
      <c r="A458" s="317"/>
      <c r="B458" s="322" t="s">
        <v>499</v>
      </c>
      <c r="C458" s="250"/>
      <c r="D458" s="250"/>
      <c r="E458" s="250"/>
      <c r="F458" s="268" t="s">
        <v>205</v>
      </c>
      <c r="G458" s="250"/>
    </row>
    <row r="459" spans="1:7" ht="25.5">
      <c r="A459" s="316"/>
      <c r="B459" s="320" t="s">
        <v>498</v>
      </c>
      <c r="C459" s="250"/>
      <c r="D459" s="250"/>
      <c r="E459" s="250"/>
      <c r="F459" s="250"/>
      <c r="G459" s="268" t="s">
        <v>205</v>
      </c>
    </row>
    <row r="460" spans="1:7" ht="15.75">
      <c r="A460" s="314"/>
      <c r="B460" s="251" t="s">
        <v>445</v>
      </c>
      <c r="C460" s="360"/>
      <c r="D460" s="360"/>
      <c r="E460" s="360"/>
      <c r="F460" s="360"/>
      <c r="G460" s="360"/>
    </row>
    <row r="461" spans="1:7" ht="38.25">
      <c r="A461" s="316"/>
      <c r="B461" s="267" t="s">
        <v>240</v>
      </c>
      <c r="C461" s="268" t="s">
        <v>205</v>
      </c>
      <c r="D461" s="250"/>
      <c r="E461" s="250"/>
      <c r="F461" s="250"/>
      <c r="G461" s="250"/>
    </row>
    <row r="462" spans="1:7" ht="39.6" customHeight="1">
      <c r="A462" s="316"/>
      <c r="B462" s="267" t="s">
        <v>250</v>
      </c>
      <c r="C462" s="250"/>
      <c r="D462" s="268" t="s">
        <v>205</v>
      </c>
      <c r="E462" s="250"/>
      <c r="F462" s="250"/>
      <c r="G462" s="250"/>
    </row>
    <row r="463" spans="1:7" ht="13.15" customHeight="1">
      <c r="A463" s="316"/>
      <c r="B463" s="267" t="s">
        <v>282</v>
      </c>
      <c r="C463" s="250"/>
      <c r="D463" s="250"/>
      <c r="E463" s="268" t="s">
        <v>205</v>
      </c>
      <c r="F463" s="250"/>
      <c r="G463" s="250"/>
    </row>
    <row r="464" spans="1:7">
      <c r="A464" s="316"/>
      <c r="B464" s="267" t="s">
        <v>231</v>
      </c>
      <c r="C464" s="250"/>
      <c r="D464" s="250"/>
      <c r="E464" s="250"/>
      <c r="F464" s="268" t="s">
        <v>205</v>
      </c>
      <c r="G464" s="250"/>
    </row>
    <row r="465" spans="1:7">
      <c r="A465" s="316"/>
      <c r="B465" s="267" t="s">
        <v>237</v>
      </c>
      <c r="C465" s="250"/>
      <c r="D465" s="250"/>
      <c r="E465" s="250"/>
      <c r="F465" s="250"/>
      <c r="G465" s="268" t="s">
        <v>205</v>
      </c>
    </row>
    <row r="466" spans="1:7" ht="15.75">
      <c r="A466" s="315"/>
      <c r="B466" s="251" t="s">
        <v>446</v>
      </c>
      <c r="C466" s="360"/>
      <c r="D466" s="360"/>
      <c r="E466" s="360"/>
      <c r="F466" s="360"/>
      <c r="G466" s="360"/>
    </row>
    <row r="467" spans="1:7">
      <c r="A467" s="316"/>
      <c r="B467" s="320" t="s">
        <v>447</v>
      </c>
      <c r="C467" s="250"/>
      <c r="D467" s="268" t="s">
        <v>205</v>
      </c>
      <c r="E467" s="250"/>
      <c r="F467" s="250"/>
      <c r="G467" s="250"/>
    </row>
    <row r="468" spans="1:7" ht="34.9" customHeight="1">
      <c r="A468" s="316"/>
      <c r="B468" s="324" t="s">
        <v>448</v>
      </c>
      <c r="C468" s="250"/>
      <c r="D468" s="250"/>
      <c r="E468" s="268" t="s">
        <v>205</v>
      </c>
      <c r="F468" s="250"/>
      <c r="G468" s="250"/>
    </row>
    <row r="469" spans="1:7" ht="29.45" customHeight="1">
      <c r="A469" s="316"/>
      <c r="B469" s="324" t="s">
        <v>449</v>
      </c>
      <c r="C469" s="250"/>
      <c r="D469" s="250"/>
      <c r="E469" s="250"/>
      <c r="F469" s="268" t="s">
        <v>205</v>
      </c>
      <c r="G469" s="250"/>
    </row>
    <row r="470" spans="1:7">
      <c r="A470" s="315"/>
      <c r="B470" s="323"/>
      <c r="C470" s="360"/>
      <c r="D470" s="360"/>
      <c r="E470" s="360"/>
      <c r="F470" s="360"/>
      <c r="G470" s="360"/>
    </row>
    <row r="471" spans="1:7" ht="25.5">
      <c r="A471" s="316"/>
      <c r="B471" s="320" t="s">
        <v>450</v>
      </c>
      <c r="C471" s="250"/>
      <c r="D471" s="268" t="s">
        <v>205</v>
      </c>
      <c r="E471" s="250"/>
      <c r="F471" s="250"/>
      <c r="G471" s="250"/>
    </row>
    <row r="472" spans="1:7">
      <c r="A472" s="316"/>
      <c r="B472" s="320" t="s">
        <v>452</v>
      </c>
      <c r="C472" s="250"/>
      <c r="D472" s="250"/>
      <c r="E472" s="268" t="s">
        <v>205</v>
      </c>
      <c r="F472" s="250"/>
      <c r="G472" s="250"/>
    </row>
    <row r="473" spans="1:7" ht="25.5">
      <c r="A473" s="316"/>
      <c r="B473" s="320" t="s">
        <v>451</v>
      </c>
      <c r="C473" s="250"/>
      <c r="D473" s="250"/>
      <c r="E473" s="250"/>
      <c r="F473" s="268" t="s">
        <v>205</v>
      </c>
      <c r="G473" s="250"/>
    </row>
    <row r="474" spans="1:7" ht="15.75">
      <c r="A474" s="315"/>
      <c r="B474" s="251" t="s">
        <v>453</v>
      </c>
      <c r="C474" s="360"/>
      <c r="D474" s="360"/>
      <c r="E474" s="360"/>
      <c r="F474" s="360"/>
      <c r="G474" s="360"/>
    </row>
    <row r="475" spans="1:7">
      <c r="A475" s="316"/>
      <c r="B475" s="320" t="s">
        <v>454</v>
      </c>
      <c r="C475" s="250"/>
      <c r="D475" s="250"/>
      <c r="E475" s="268" t="s">
        <v>205</v>
      </c>
      <c r="F475" s="250"/>
      <c r="G475" s="250"/>
    </row>
    <row r="476" spans="1:7">
      <c r="A476" s="316"/>
      <c r="B476" s="320" t="s">
        <v>455</v>
      </c>
      <c r="C476" s="250"/>
      <c r="D476" s="250"/>
      <c r="E476" s="250"/>
      <c r="F476" s="268" t="s">
        <v>205</v>
      </c>
      <c r="G476" s="250"/>
    </row>
    <row r="477" spans="1:7" ht="15.75">
      <c r="A477" s="315"/>
      <c r="B477" s="251" t="s">
        <v>456</v>
      </c>
      <c r="C477" s="360"/>
      <c r="D477" s="360"/>
      <c r="E477" s="360"/>
      <c r="F477" s="360"/>
      <c r="G477" s="360"/>
    </row>
    <row r="478" spans="1:7">
      <c r="A478" s="316"/>
      <c r="B478" s="320" t="s">
        <v>457</v>
      </c>
      <c r="C478" s="250"/>
      <c r="D478" s="268" t="s">
        <v>205</v>
      </c>
      <c r="E478" s="250"/>
      <c r="F478" s="250"/>
      <c r="G478" s="250"/>
    </row>
    <row r="479" spans="1:7">
      <c r="A479" s="316"/>
      <c r="B479" s="320" t="s">
        <v>458</v>
      </c>
      <c r="C479" s="250"/>
      <c r="D479" s="250"/>
      <c r="E479" s="268" t="s">
        <v>205</v>
      </c>
      <c r="F479" s="250"/>
      <c r="G479" s="250"/>
    </row>
    <row r="480" spans="1:7">
      <c r="A480" s="316"/>
      <c r="B480" s="320" t="s">
        <v>459</v>
      </c>
      <c r="C480" s="250"/>
      <c r="D480" s="250"/>
      <c r="E480" s="250"/>
      <c r="F480" s="268" t="s">
        <v>205</v>
      </c>
      <c r="G480" s="250"/>
    </row>
    <row r="481" spans="1:7">
      <c r="A481" s="316"/>
      <c r="B481" s="320" t="s">
        <v>459</v>
      </c>
      <c r="C481" s="250"/>
      <c r="D481" s="250"/>
      <c r="E481" s="250"/>
      <c r="F481" s="250"/>
      <c r="G481" s="268" t="s">
        <v>205</v>
      </c>
    </row>
    <row r="482" spans="1:7">
      <c r="A482" s="316"/>
      <c r="B482" s="320" t="s">
        <v>460</v>
      </c>
      <c r="C482" s="250"/>
      <c r="D482" s="250"/>
      <c r="E482" s="250"/>
      <c r="F482" s="268" t="s">
        <v>205</v>
      </c>
      <c r="G482" s="250"/>
    </row>
    <row r="483" spans="1:7">
      <c r="A483" s="316"/>
      <c r="B483" s="320" t="s">
        <v>461</v>
      </c>
      <c r="C483" s="250"/>
      <c r="D483" s="250"/>
      <c r="E483" s="250"/>
      <c r="F483" s="250"/>
      <c r="G483" s="268" t="s">
        <v>205</v>
      </c>
    </row>
    <row r="484" spans="1:7">
      <c r="A484" s="316"/>
      <c r="B484" s="320" t="s">
        <v>462</v>
      </c>
      <c r="C484" s="250"/>
      <c r="D484" s="250"/>
      <c r="E484" s="250"/>
      <c r="F484" s="268" t="s">
        <v>205</v>
      </c>
      <c r="G484" s="250"/>
    </row>
    <row r="485" spans="1:7">
      <c r="A485" s="316"/>
      <c r="B485" s="320" t="s">
        <v>463</v>
      </c>
      <c r="C485" s="250"/>
      <c r="D485" s="250"/>
      <c r="E485" s="250"/>
      <c r="F485" s="250"/>
      <c r="G485" s="268" t="s">
        <v>205</v>
      </c>
    </row>
    <row r="486" spans="1:7">
      <c r="A486" s="316"/>
      <c r="B486" s="320" t="s">
        <v>474</v>
      </c>
      <c r="C486" s="250"/>
      <c r="D486" s="250"/>
      <c r="E486" s="250"/>
      <c r="F486" s="268" t="s">
        <v>205</v>
      </c>
      <c r="G486" s="250"/>
    </row>
    <row r="487" spans="1:7" ht="25.5">
      <c r="A487" s="316"/>
      <c r="B487" s="320" t="s">
        <v>475</v>
      </c>
      <c r="C487" s="250"/>
      <c r="D487" s="250"/>
      <c r="E487" s="250"/>
      <c r="F487" s="250"/>
      <c r="G487" s="268" t="s">
        <v>205</v>
      </c>
    </row>
    <row r="488" spans="1:7">
      <c r="A488" s="316"/>
      <c r="B488" s="320" t="s">
        <v>464</v>
      </c>
      <c r="C488" s="250"/>
      <c r="D488" s="250"/>
      <c r="E488" s="250"/>
      <c r="F488" s="268" t="s">
        <v>205</v>
      </c>
      <c r="G488" s="250"/>
    </row>
    <row r="489" spans="1:7" ht="25.5">
      <c r="A489" s="316"/>
      <c r="B489" s="320" t="s">
        <v>465</v>
      </c>
      <c r="C489" s="250"/>
      <c r="D489" s="250"/>
      <c r="E489" s="268" t="s">
        <v>205</v>
      </c>
      <c r="F489" s="250"/>
      <c r="G489" s="250"/>
    </row>
    <row r="490" spans="1:7">
      <c r="A490" s="316"/>
      <c r="B490" s="320" t="s">
        <v>466</v>
      </c>
      <c r="C490" s="250"/>
      <c r="D490" s="250"/>
      <c r="E490" s="250"/>
      <c r="F490" s="268" t="s">
        <v>205</v>
      </c>
      <c r="G490" s="250"/>
    </row>
    <row r="491" spans="1:7">
      <c r="A491" s="316"/>
      <c r="B491" s="325" t="s">
        <v>467</v>
      </c>
      <c r="C491" s="250"/>
      <c r="D491" s="250"/>
      <c r="E491" s="250"/>
      <c r="F491" s="250"/>
      <c r="G491" s="268" t="s">
        <v>205</v>
      </c>
    </row>
    <row r="492" spans="1:7" ht="15.75">
      <c r="A492" s="315"/>
      <c r="B492" s="251" t="s">
        <v>472</v>
      </c>
      <c r="C492" s="360"/>
      <c r="D492" s="360"/>
      <c r="E492" s="360"/>
      <c r="F492" s="360"/>
      <c r="G492" s="360"/>
    </row>
    <row r="493" spans="1:7">
      <c r="A493" s="316"/>
      <c r="B493" s="320" t="s">
        <v>468</v>
      </c>
      <c r="C493" s="250"/>
      <c r="D493" s="250"/>
      <c r="E493" s="268" t="s">
        <v>205</v>
      </c>
      <c r="F493" s="250"/>
      <c r="G493" s="250"/>
    </row>
    <row r="494" spans="1:7" ht="25.5">
      <c r="A494" s="316"/>
      <c r="B494" s="324" t="s">
        <v>469</v>
      </c>
      <c r="C494" s="250"/>
      <c r="D494" s="250"/>
      <c r="E494" s="250"/>
      <c r="F494" s="268" t="s">
        <v>205</v>
      </c>
      <c r="G494" s="250"/>
    </row>
    <row r="495" spans="1:7" ht="25.5">
      <c r="A495" s="316"/>
      <c r="B495" s="320" t="s">
        <v>470</v>
      </c>
      <c r="C495" s="250"/>
      <c r="D495" s="250"/>
      <c r="E495" s="268" t="s">
        <v>205</v>
      </c>
      <c r="F495" s="250"/>
      <c r="G495" s="250"/>
    </row>
    <row r="496" spans="1:7">
      <c r="A496" s="316"/>
      <c r="B496" s="320" t="s">
        <v>471</v>
      </c>
      <c r="C496" s="250"/>
      <c r="D496" s="250"/>
      <c r="E496" s="250"/>
      <c r="F496" s="268" t="s">
        <v>205</v>
      </c>
      <c r="G496" s="250"/>
    </row>
    <row r="497" spans="1:7" ht="25.5">
      <c r="A497" s="316"/>
      <c r="B497" s="320" t="s">
        <v>473</v>
      </c>
      <c r="C497" s="250"/>
      <c r="D497" s="250"/>
      <c r="E497" s="250"/>
      <c r="F497" s="250"/>
      <c r="G497" s="268" t="s">
        <v>205</v>
      </c>
    </row>
    <row r="498" spans="1:7">
      <c r="A498" s="316"/>
      <c r="B498" s="320" t="s">
        <v>476</v>
      </c>
      <c r="C498" s="250"/>
      <c r="D498" s="250"/>
      <c r="E498" s="250"/>
      <c r="F498" s="268" t="s">
        <v>205</v>
      </c>
      <c r="G498" s="250"/>
    </row>
    <row r="499" spans="1:7">
      <c r="A499" s="316"/>
      <c r="B499" s="320" t="s">
        <v>477</v>
      </c>
      <c r="C499" s="250"/>
      <c r="D499" s="250"/>
      <c r="E499" s="250"/>
      <c r="F499" s="250"/>
      <c r="G499" s="268" t="s">
        <v>205</v>
      </c>
    </row>
    <row r="500" spans="1:7" ht="15.75">
      <c r="A500" s="315"/>
      <c r="B500" s="251" t="s">
        <v>478</v>
      </c>
      <c r="C500" s="360"/>
      <c r="D500" s="360"/>
      <c r="E500" s="360"/>
      <c r="F500" s="360"/>
      <c r="G500" s="360"/>
    </row>
    <row r="501" spans="1:7">
      <c r="A501" s="316"/>
      <c r="B501" s="320" t="s">
        <v>479</v>
      </c>
      <c r="C501" s="250"/>
      <c r="D501" s="250"/>
      <c r="E501" s="250"/>
      <c r="F501" s="268" t="s">
        <v>205</v>
      </c>
      <c r="G501" s="250"/>
    </row>
    <row r="502" spans="1:7">
      <c r="A502" s="316"/>
      <c r="B502" s="320" t="s">
        <v>483</v>
      </c>
      <c r="C502" s="250"/>
      <c r="D502" s="250"/>
      <c r="E502" s="250"/>
      <c r="F502" s="250"/>
      <c r="G502" s="268" t="s">
        <v>205</v>
      </c>
    </row>
    <row r="503" spans="1:7" ht="15.75">
      <c r="A503" s="315"/>
      <c r="B503" s="251" t="s">
        <v>480</v>
      </c>
      <c r="C503" s="360"/>
      <c r="D503" s="360"/>
      <c r="E503" s="360"/>
      <c r="F503" s="360"/>
      <c r="G503" s="360"/>
    </row>
    <row r="504" spans="1:7">
      <c r="A504" s="316"/>
      <c r="B504" s="320" t="s">
        <v>481</v>
      </c>
      <c r="C504" s="250"/>
      <c r="D504" s="250"/>
      <c r="E504" s="250"/>
      <c r="F504" s="268" t="s">
        <v>205</v>
      </c>
      <c r="G504" s="250"/>
    </row>
    <row r="505" spans="1:7">
      <c r="A505" s="316"/>
      <c r="B505" s="320" t="s">
        <v>482</v>
      </c>
      <c r="C505" s="250"/>
      <c r="D505" s="250"/>
      <c r="E505" s="250"/>
      <c r="F505" s="250"/>
      <c r="G505" s="268" t="s">
        <v>205</v>
      </c>
    </row>
    <row r="506" spans="1:7" ht="15.75">
      <c r="A506" s="315"/>
      <c r="B506" s="251" t="s">
        <v>484</v>
      </c>
      <c r="C506" s="360"/>
      <c r="D506" s="360"/>
      <c r="E506" s="360"/>
      <c r="F506" s="360"/>
      <c r="G506" s="360"/>
    </row>
    <row r="507" spans="1:7" ht="25.5">
      <c r="A507" s="316"/>
      <c r="B507" s="320" t="s">
        <v>485</v>
      </c>
      <c r="C507" s="250"/>
      <c r="D507" s="250"/>
      <c r="E507" s="250"/>
      <c r="F507" s="268" t="s">
        <v>205</v>
      </c>
      <c r="G507" s="250"/>
    </row>
    <row r="508" spans="1:7" ht="25.5">
      <c r="A508" s="316"/>
      <c r="B508" s="320" t="s">
        <v>486</v>
      </c>
      <c r="C508" s="250"/>
      <c r="D508" s="250"/>
      <c r="E508" s="250"/>
      <c r="F508" s="250"/>
      <c r="G508" s="268" t="s">
        <v>205</v>
      </c>
    </row>
    <row r="509" spans="1:7">
      <c r="A509" s="316"/>
      <c r="B509" s="320" t="s">
        <v>487</v>
      </c>
      <c r="C509" s="250"/>
      <c r="D509" s="250"/>
      <c r="E509" s="250"/>
      <c r="F509" s="250"/>
      <c r="G509" s="268" t="s">
        <v>205</v>
      </c>
    </row>
    <row r="510" spans="1:7" ht="25.5">
      <c r="A510" s="316"/>
      <c r="B510" s="324" t="s">
        <v>488</v>
      </c>
      <c r="C510" s="250"/>
      <c r="D510" s="250"/>
      <c r="E510" s="250"/>
      <c r="F510" s="250"/>
      <c r="G510" s="268" t="s">
        <v>205</v>
      </c>
    </row>
    <row r="511" spans="1:7" ht="25.5">
      <c r="A511" s="316"/>
      <c r="B511" s="324" t="s">
        <v>489</v>
      </c>
      <c r="C511" s="250"/>
      <c r="D511" s="250"/>
      <c r="E511" s="250"/>
      <c r="F511" s="250"/>
      <c r="G511" s="268" t="s">
        <v>205</v>
      </c>
    </row>
    <row r="512" spans="1:7" ht="15.75">
      <c r="A512" s="315"/>
      <c r="B512" s="251" t="s">
        <v>490</v>
      </c>
      <c r="C512" s="360"/>
      <c r="D512" s="360"/>
      <c r="E512" s="360"/>
      <c r="F512" s="360"/>
      <c r="G512" s="360"/>
    </row>
    <row r="513" spans="1:7">
      <c r="A513" s="316"/>
      <c r="B513" s="320" t="s">
        <v>491</v>
      </c>
      <c r="C513" s="250"/>
      <c r="D513" s="250"/>
      <c r="E513" s="268" t="s">
        <v>205</v>
      </c>
      <c r="F513" s="250"/>
      <c r="G513" s="250"/>
    </row>
    <row r="514" spans="1:7">
      <c r="A514" s="316"/>
      <c r="B514" s="320" t="s">
        <v>492</v>
      </c>
      <c r="C514" s="250"/>
      <c r="D514" s="250"/>
      <c r="E514" s="250"/>
      <c r="F514" s="268" t="s">
        <v>205</v>
      </c>
      <c r="G514" s="250"/>
    </row>
    <row r="515" spans="1:7">
      <c r="A515" s="316"/>
      <c r="B515" s="320" t="s">
        <v>493</v>
      </c>
      <c r="C515" s="250"/>
      <c r="D515" s="250"/>
      <c r="E515" s="250"/>
      <c r="F515" s="250"/>
      <c r="G515" s="268" t="s">
        <v>205</v>
      </c>
    </row>
    <row r="516" spans="1:7" ht="15.75">
      <c r="A516" s="315"/>
      <c r="B516" s="251" t="s">
        <v>497</v>
      </c>
      <c r="C516" s="360"/>
      <c r="D516" s="360"/>
      <c r="E516" s="360"/>
      <c r="F516" s="360"/>
      <c r="G516" s="360"/>
    </row>
    <row r="517" spans="1:7">
      <c r="A517" s="316"/>
      <c r="B517" s="320" t="s">
        <v>494</v>
      </c>
      <c r="C517" s="249"/>
      <c r="D517" s="268" t="s">
        <v>205</v>
      </c>
      <c r="E517" s="249"/>
      <c r="F517" s="249"/>
      <c r="G517" s="249"/>
    </row>
    <row r="518" spans="1:7">
      <c r="A518" s="316"/>
      <c r="B518" s="320" t="s">
        <v>495</v>
      </c>
      <c r="C518" s="249"/>
      <c r="D518" s="249"/>
      <c r="E518" s="249"/>
      <c r="F518" s="268" t="s">
        <v>205</v>
      </c>
      <c r="G518" s="249"/>
    </row>
    <row r="519" spans="1:7" ht="25.5">
      <c r="A519" s="316"/>
      <c r="B519" s="320" t="s">
        <v>496</v>
      </c>
      <c r="C519" s="249"/>
      <c r="D519" s="249"/>
      <c r="E519" s="249"/>
      <c r="F519" s="249"/>
      <c r="G519" s="268" t="s">
        <v>205</v>
      </c>
    </row>
    <row r="525" spans="1:7">
      <c r="F525"/>
      <c r="G525"/>
    </row>
    <row r="526" spans="1:7">
      <c r="F526"/>
      <c r="G526"/>
    </row>
    <row r="527" spans="1:7" ht="15.75">
      <c r="B527" s="256" t="s">
        <v>345</v>
      </c>
      <c r="C527" s="289" t="s">
        <v>200</v>
      </c>
      <c r="D527" s="289" t="s">
        <v>201</v>
      </c>
      <c r="E527" s="289" t="s">
        <v>202</v>
      </c>
      <c r="F527"/>
      <c r="G527"/>
    </row>
    <row r="528" spans="1:7" ht="15.75">
      <c r="B528" s="251" t="s">
        <v>534</v>
      </c>
      <c r="F528"/>
      <c r="G528"/>
    </row>
    <row r="529" spans="2:7" ht="26.25" customHeight="1">
      <c r="B529" s="320" t="s">
        <v>535</v>
      </c>
      <c r="C529" s="268" t="s">
        <v>205</v>
      </c>
      <c r="D529" s="321"/>
      <c r="E529" s="321"/>
      <c r="F529"/>
      <c r="G529"/>
    </row>
    <row r="530" spans="2:7" ht="38.25">
      <c r="B530" s="320" t="s">
        <v>536</v>
      </c>
      <c r="C530" s="268"/>
      <c r="D530" s="268" t="s">
        <v>205</v>
      </c>
      <c r="E530" s="321"/>
      <c r="F530"/>
      <c r="G530"/>
    </row>
    <row r="531" spans="2:7" ht="51">
      <c r="B531" s="320" t="s">
        <v>537</v>
      </c>
      <c r="C531" s="268"/>
      <c r="D531" s="268"/>
      <c r="E531" s="268" t="s">
        <v>205</v>
      </c>
      <c r="F531"/>
      <c r="G531"/>
    </row>
    <row r="532" spans="2:7">
      <c r="B532" s="320" t="s">
        <v>538</v>
      </c>
      <c r="C532" s="268"/>
      <c r="D532" s="268"/>
      <c r="E532" s="268" t="s">
        <v>205</v>
      </c>
      <c r="F532"/>
      <c r="G532"/>
    </row>
    <row r="533" spans="2:7">
      <c r="B533" s="320" t="s">
        <v>545</v>
      </c>
      <c r="C533" s="268" t="s">
        <v>205</v>
      </c>
      <c r="D533" s="321"/>
      <c r="E533" s="321"/>
      <c r="F533"/>
      <c r="G533"/>
    </row>
    <row r="534" spans="2:7" ht="25.5">
      <c r="B534" s="320" t="s">
        <v>542</v>
      </c>
      <c r="C534" s="268"/>
      <c r="D534" s="268" t="s">
        <v>205</v>
      </c>
      <c r="E534" s="321"/>
      <c r="F534"/>
      <c r="G534"/>
    </row>
    <row r="535" spans="2:7">
      <c r="B535" s="320" t="s">
        <v>539</v>
      </c>
      <c r="C535" s="268"/>
      <c r="D535" s="268" t="s">
        <v>205</v>
      </c>
      <c r="E535" s="321"/>
      <c r="F535"/>
      <c r="G535"/>
    </row>
    <row r="536" spans="2:7">
      <c r="B536" s="320" t="s">
        <v>540</v>
      </c>
      <c r="C536" s="268"/>
      <c r="D536" s="268" t="s">
        <v>205</v>
      </c>
      <c r="E536" s="321"/>
      <c r="F536"/>
      <c r="G536"/>
    </row>
    <row r="537" spans="2:7">
      <c r="B537" s="320" t="s">
        <v>541</v>
      </c>
      <c r="C537" s="268"/>
      <c r="D537" s="268" t="s">
        <v>205</v>
      </c>
      <c r="E537" s="321"/>
      <c r="F537"/>
      <c r="G537"/>
    </row>
    <row r="538" spans="2:7">
      <c r="B538" s="320" t="s">
        <v>543</v>
      </c>
      <c r="C538" s="268"/>
      <c r="D538" s="268"/>
      <c r="E538" s="268" t="s">
        <v>205</v>
      </c>
      <c r="F538"/>
      <c r="G538"/>
    </row>
    <row r="539" spans="2:7" ht="38.25">
      <c r="B539" s="320" t="s">
        <v>544</v>
      </c>
      <c r="C539" s="268"/>
      <c r="D539" s="268"/>
      <c r="E539" s="268" t="s">
        <v>205</v>
      </c>
      <c r="F539"/>
      <c r="G539"/>
    </row>
    <row r="540" spans="2:7">
      <c r="B540" s="320" t="s">
        <v>533</v>
      </c>
      <c r="C540" s="268" t="s">
        <v>205</v>
      </c>
      <c r="D540" s="321"/>
      <c r="E540" s="321"/>
      <c r="F540"/>
      <c r="G540"/>
    </row>
    <row r="541" spans="2:7" ht="25.5">
      <c r="B541" s="320" t="s">
        <v>546</v>
      </c>
      <c r="C541" s="268"/>
      <c r="D541" s="268" t="s">
        <v>205</v>
      </c>
      <c r="E541" s="321"/>
      <c r="F541"/>
      <c r="G541"/>
    </row>
    <row r="542" spans="2:7" ht="25.5">
      <c r="B542" s="320" t="s">
        <v>547</v>
      </c>
      <c r="C542" s="268"/>
      <c r="D542" s="268"/>
      <c r="E542" s="268" t="s">
        <v>205</v>
      </c>
      <c r="F542"/>
      <c r="G542"/>
    </row>
    <row r="543" spans="2:7" ht="25.5">
      <c r="B543" s="320" t="s">
        <v>548</v>
      </c>
      <c r="C543" s="268"/>
      <c r="D543" s="268"/>
      <c r="E543" s="268" t="s">
        <v>205</v>
      </c>
      <c r="F543"/>
      <c r="G543"/>
    </row>
    <row r="544" spans="2:7">
      <c r="B544" s="320" t="s">
        <v>550</v>
      </c>
      <c r="C544" s="268"/>
      <c r="D544" s="268"/>
      <c r="E544" s="268" t="s">
        <v>205</v>
      </c>
      <c r="F544"/>
      <c r="G544"/>
    </row>
    <row r="545" spans="2:7">
      <c r="B545" s="320" t="s">
        <v>549</v>
      </c>
      <c r="C545" s="268"/>
      <c r="D545" s="268"/>
      <c r="E545" s="268" t="s">
        <v>205</v>
      </c>
      <c r="F545"/>
      <c r="G545"/>
    </row>
    <row r="546" spans="2:7" ht="15.75">
      <c r="B546" s="251" t="s">
        <v>551</v>
      </c>
      <c r="C546" s="268"/>
      <c r="D546" s="321"/>
      <c r="E546" s="321"/>
      <c r="F546"/>
      <c r="G546"/>
    </row>
    <row r="547" spans="2:7" ht="25.5">
      <c r="B547" s="320" t="s">
        <v>553</v>
      </c>
      <c r="C547" s="268" t="s">
        <v>205</v>
      </c>
      <c r="D547" s="321"/>
      <c r="E547" s="321"/>
      <c r="F547"/>
      <c r="G547"/>
    </row>
    <row r="548" spans="2:7">
      <c r="B548" s="320" t="s">
        <v>552</v>
      </c>
      <c r="C548" s="268" t="s">
        <v>205</v>
      </c>
      <c r="D548" s="321"/>
      <c r="E548" s="321"/>
      <c r="F548"/>
      <c r="G548"/>
    </row>
    <row r="549" spans="2:7" ht="38.25">
      <c r="B549" s="320" t="s">
        <v>554</v>
      </c>
      <c r="C549" s="321"/>
      <c r="D549" s="268" t="s">
        <v>205</v>
      </c>
      <c r="E549" s="321"/>
      <c r="F549"/>
      <c r="G549"/>
    </row>
    <row r="550" spans="2:7" ht="25.5">
      <c r="B550" s="320" t="s">
        <v>560</v>
      </c>
      <c r="C550" s="321"/>
      <c r="D550" s="268" t="s">
        <v>205</v>
      </c>
      <c r="E550" s="321"/>
      <c r="F550"/>
      <c r="G550"/>
    </row>
    <row r="551" spans="2:7">
      <c r="B551" s="320" t="s">
        <v>555</v>
      </c>
      <c r="C551" s="321"/>
      <c r="D551" s="268" t="s">
        <v>205</v>
      </c>
      <c r="E551" s="321"/>
      <c r="F551"/>
      <c r="G551"/>
    </row>
    <row r="552" spans="2:7">
      <c r="B552" s="320" t="s">
        <v>556</v>
      </c>
      <c r="C552" s="321"/>
      <c r="D552" s="268" t="s">
        <v>205</v>
      </c>
      <c r="E552" s="321"/>
      <c r="F552"/>
      <c r="G552"/>
    </row>
    <row r="553" spans="2:7" ht="25.5">
      <c r="B553" s="320" t="s">
        <v>557</v>
      </c>
      <c r="C553" s="321"/>
      <c r="D553" s="268" t="s">
        <v>205</v>
      </c>
      <c r="E553" s="321"/>
      <c r="F553"/>
      <c r="G553"/>
    </row>
    <row r="554" spans="2:7">
      <c r="B554" s="320" t="s">
        <v>558</v>
      </c>
      <c r="C554" s="321"/>
      <c r="D554" s="268" t="s">
        <v>205</v>
      </c>
      <c r="E554" s="321"/>
      <c r="F554"/>
      <c r="G554"/>
    </row>
    <row r="555" spans="2:7" ht="51">
      <c r="B555" s="320" t="s">
        <v>559</v>
      </c>
      <c r="C555" s="321"/>
      <c r="D555" s="321"/>
      <c r="E555" s="268" t="s">
        <v>205</v>
      </c>
      <c r="F555"/>
      <c r="G555"/>
    </row>
    <row r="556" spans="2:7" ht="25.5">
      <c r="B556" s="320" t="s">
        <v>561</v>
      </c>
      <c r="C556" s="321"/>
      <c r="D556" s="321"/>
      <c r="E556" s="268" t="s">
        <v>205</v>
      </c>
      <c r="F556"/>
      <c r="G556"/>
    </row>
    <row r="557" spans="2:7" ht="25.5">
      <c r="B557" s="320" t="s">
        <v>562</v>
      </c>
      <c r="C557" s="321"/>
      <c r="D557" s="321"/>
      <c r="E557" s="268" t="s">
        <v>205</v>
      </c>
      <c r="F557"/>
      <c r="G557"/>
    </row>
    <row r="558" spans="2:7" ht="25.5">
      <c r="B558" s="320" t="s">
        <v>563</v>
      </c>
      <c r="C558" s="321"/>
      <c r="D558" s="321"/>
      <c r="E558" s="268" t="s">
        <v>205</v>
      </c>
      <c r="F558"/>
      <c r="G558"/>
    </row>
    <row r="559" spans="2:7">
      <c r="B559" s="320" t="s">
        <v>564</v>
      </c>
      <c r="C559" s="268" t="s">
        <v>205</v>
      </c>
      <c r="D559" s="321"/>
      <c r="E559" s="321"/>
      <c r="F559"/>
      <c r="G559"/>
    </row>
    <row r="560" spans="2:7">
      <c r="B560" s="320" t="s">
        <v>565</v>
      </c>
      <c r="C560" s="321"/>
      <c r="D560" s="268" t="s">
        <v>205</v>
      </c>
      <c r="E560" s="321"/>
      <c r="F560"/>
      <c r="G560"/>
    </row>
    <row r="561" spans="2:7" ht="63.75">
      <c r="B561" s="320" t="s">
        <v>566</v>
      </c>
      <c r="C561" s="321"/>
      <c r="D561" s="321"/>
      <c r="E561" s="268" t="s">
        <v>205</v>
      </c>
      <c r="F561"/>
      <c r="G561"/>
    </row>
    <row r="562" spans="2:7" ht="15.75">
      <c r="B562" s="251" t="s">
        <v>567</v>
      </c>
      <c r="C562" s="321"/>
      <c r="D562" s="321"/>
      <c r="E562" s="321"/>
      <c r="F562"/>
      <c r="G562"/>
    </row>
    <row r="563" spans="2:7">
      <c r="B563" s="320" t="s">
        <v>568</v>
      </c>
      <c r="C563" s="268" t="s">
        <v>205</v>
      </c>
      <c r="D563" s="321"/>
      <c r="E563" s="321"/>
      <c r="F563"/>
      <c r="G563"/>
    </row>
    <row r="564" spans="2:7" ht="25.5">
      <c r="B564" s="320" t="s">
        <v>569</v>
      </c>
      <c r="C564" s="321"/>
      <c r="D564" s="268" t="s">
        <v>205</v>
      </c>
      <c r="E564" s="321"/>
      <c r="F564"/>
      <c r="G564"/>
    </row>
    <row r="565" spans="2:7" ht="25.5">
      <c r="B565" s="320" t="s">
        <v>570</v>
      </c>
      <c r="C565" s="321"/>
      <c r="D565" s="321"/>
      <c r="E565" s="268" t="s">
        <v>205</v>
      </c>
      <c r="F565"/>
      <c r="G565"/>
    </row>
    <row r="566" spans="2:7" ht="15.75">
      <c r="B566" s="251" t="s">
        <v>571</v>
      </c>
      <c r="C566" s="321"/>
      <c r="D566" s="321"/>
      <c r="E566" s="321"/>
      <c r="F566"/>
      <c r="G566"/>
    </row>
    <row r="567" spans="2:7">
      <c r="B567" s="320" t="s">
        <v>572</v>
      </c>
      <c r="C567" s="268" t="s">
        <v>205</v>
      </c>
      <c r="D567" s="321"/>
      <c r="E567" s="321"/>
      <c r="F567"/>
      <c r="G567"/>
    </row>
    <row r="568" spans="2:7" ht="25.5">
      <c r="B568" s="320" t="s">
        <v>573</v>
      </c>
      <c r="C568" s="321"/>
      <c r="D568" s="268" t="s">
        <v>205</v>
      </c>
      <c r="E568" s="321"/>
      <c r="F568"/>
      <c r="G568"/>
    </row>
    <row r="569" spans="2:7" ht="25.5">
      <c r="B569" s="320" t="s">
        <v>574</v>
      </c>
      <c r="C569" s="321"/>
      <c r="D569" s="268" t="s">
        <v>205</v>
      </c>
      <c r="E569" s="321"/>
      <c r="F569"/>
      <c r="G569"/>
    </row>
    <row r="570" spans="2:7" ht="51">
      <c r="B570" s="320" t="s">
        <v>575</v>
      </c>
      <c r="C570" s="321"/>
      <c r="D570" s="321"/>
      <c r="E570" s="268" t="s">
        <v>205</v>
      </c>
      <c r="F570"/>
      <c r="G570"/>
    </row>
    <row r="571" spans="2:7">
      <c r="B571" s="320" t="s">
        <v>576</v>
      </c>
      <c r="C571" s="268" t="s">
        <v>205</v>
      </c>
      <c r="D571" s="321"/>
      <c r="E571" s="321"/>
      <c r="F571"/>
      <c r="G571"/>
    </row>
    <row r="572" spans="2:7">
      <c r="B572" s="320" t="s">
        <v>577</v>
      </c>
      <c r="C572" s="321"/>
      <c r="D572" s="268" t="s">
        <v>205</v>
      </c>
      <c r="E572" s="321"/>
      <c r="F572"/>
      <c r="G572"/>
    </row>
    <row r="573" spans="2:7">
      <c r="B573" s="320" t="s">
        <v>578</v>
      </c>
      <c r="C573" s="321"/>
      <c r="D573" s="321"/>
      <c r="E573" s="268" t="s">
        <v>205</v>
      </c>
      <c r="F573"/>
      <c r="G573"/>
    </row>
    <row r="574" spans="2:7" ht="25.5">
      <c r="B574" s="320" t="s">
        <v>579</v>
      </c>
      <c r="C574" s="268" t="s">
        <v>205</v>
      </c>
      <c r="D574" s="321"/>
      <c r="E574" s="321"/>
      <c r="F574"/>
      <c r="G574"/>
    </row>
    <row r="575" spans="2:7" ht="38.25">
      <c r="B575" s="320" t="s">
        <v>580</v>
      </c>
      <c r="C575" s="321"/>
      <c r="D575" s="268" t="s">
        <v>205</v>
      </c>
      <c r="E575" s="321"/>
      <c r="F575"/>
      <c r="G575"/>
    </row>
    <row r="576" spans="2:7" ht="25.5">
      <c r="B576" s="320" t="s">
        <v>581</v>
      </c>
      <c r="C576" s="321"/>
      <c r="D576" s="321"/>
      <c r="E576" s="268" t="s">
        <v>205</v>
      </c>
      <c r="F576"/>
      <c r="G576"/>
    </row>
    <row r="577" spans="2:7">
      <c r="B577" s="320" t="s">
        <v>585</v>
      </c>
      <c r="C577" s="268" t="s">
        <v>205</v>
      </c>
      <c r="D577" s="321"/>
      <c r="E577" s="268"/>
      <c r="F577"/>
      <c r="G577"/>
    </row>
    <row r="578" spans="2:7" ht="25.5">
      <c r="B578" s="320" t="s">
        <v>586</v>
      </c>
      <c r="C578" s="321"/>
      <c r="D578" s="268" t="s">
        <v>205</v>
      </c>
      <c r="E578" s="268"/>
      <c r="F578"/>
      <c r="G578"/>
    </row>
    <row r="579" spans="2:7">
      <c r="B579" s="320" t="s">
        <v>587</v>
      </c>
      <c r="C579" s="321"/>
      <c r="D579" s="268" t="s">
        <v>205</v>
      </c>
      <c r="E579" s="268"/>
      <c r="F579"/>
      <c r="G579"/>
    </row>
    <row r="580" spans="2:7">
      <c r="B580" s="320" t="s">
        <v>588</v>
      </c>
      <c r="C580" s="321"/>
      <c r="D580" s="321"/>
      <c r="E580" s="268" t="s">
        <v>205</v>
      </c>
      <c r="F580"/>
      <c r="G580"/>
    </row>
    <row r="581" spans="2:7" ht="38.25">
      <c r="B581" s="320" t="s">
        <v>589</v>
      </c>
      <c r="C581" s="321"/>
      <c r="D581" s="321"/>
      <c r="E581" s="268" t="s">
        <v>205</v>
      </c>
      <c r="F581"/>
      <c r="G581"/>
    </row>
    <row r="582" spans="2:7" ht="25.5">
      <c r="B582" s="320" t="s">
        <v>590</v>
      </c>
      <c r="C582" s="321"/>
      <c r="D582" s="321"/>
      <c r="E582" s="268" t="s">
        <v>205</v>
      </c>
      <c r="F582"/>
      <c r="G582"/>
    </row>
    <row r="583" spans="2:7" ht="38.25">
      <c r="B583" s="320" t="s">
        <v>591</v>
      </c>
      <c r="C583" s="321"/>
      <c r="D583" s="321"/>
      <c r="E583" s="268" t="s">
        <v>205</v>
      </c>
      <c r="F583"/>
      <c r="G583"/>
    </row>
    <row r="584" spans="2:7">
      <c r="B584" s="320" t="s">
        <v>592</v>
      </c>
      <c r="C584" s="321"/>
      <c r="D584" s="321"/>
      <c r="E584" s="268" t="s">
        <v>205</v>
      </c>
      <c r="F584"/>
      <c r="G584"/>
    </row>
    <row r="585" spans="2:7" ht="25.5">
      <c r="B585" s="320" t="s">
        <v>593</v>
      </c>
      <c r="C585" s="321"/>
      <c r="D585" s="321"/>
      <c r="E585" s="268" t="s">
        <v>205</v>
      </c>
      <c r="F585"/>
      <c r="G585"/>
    </row>
    <row r="586" spans="2:7">
      <c r="B586" s="320" t="s">
        <v>594</v>
      </c>
      <c r="C586" s="321"/>
      <c r="D586" s="268" t="s">
        <v>205</v>
      </c>
      <c r="E586" s="321"/>
      <c r="F586"/>
      <c r="G586"/>
    </row>
    <row r="587" spans="2:7">
      <c r="B587" s="320" t="s">
        <v>595</v>
      </c>
      <c r="C587" s="321"/>
      <c r="D587" s="321"/>
      <c r="E587" s="268" t="s">
        <v>205</v>
      </c>
      <c r="F587"/>
      <c r="G587"/>
    </row>
    <row r="588" spans="2:7" ht="15.75">
      <c r="B588" s="251" t="s">
        <v>596</v>
      </c>
      <c r="C588" s="321"/>
      <c r="D588" s="321"/>
      <c r="E588" s="268"/>
      <c r="F588"/>
      <c r="G588"/>
    </row>
    <row r="589" spans="2:7" ht="38.25">
      <c r="B589" s="320" t="s">
        <v>597</v>
      </c>
      <c r="C589" s="321"/>
      <c r="D589" s="268" t="s">
        <v>205</v>
      </c>
      <c r="E589" s="268"/>
      <c r="F589"/>
      <c r="G589"/>
    </row>
    <row r="590" spans="2:7" ht="38.25">
      <c r="B590" s="320" t="s">
        <v>598</v>
      </c>
      <c r="C590" s="321"/>
      <c r="D590" s="321"/>
      <c r="E590" s="268" t="s">
        <v>205</v>
      </c>
      <c r="F590"/>
      <c r="G590"/>
    </row>
    <row r="591" spans="2:7" ht="25.5">
      <c r="B591" s="320" t="s">
        <v>599</v>
      </c>
      <c r="C591" s="321"/>
      <c r="D591" s="268" t="s">
        <v>205</v>
      </c>
      <c r="E591" s="268"/>
      <c r="F591"/>
      <c r="G591"/>
    </row>
    <row r="592" spans="2:7" ht="25.5">
      <c r="B592" s="320" t="s">
        <v>600</v>
      </c>
      <c r="C592" s="321"/>
      <c r="D592" s="321"/>
      <c r="E592" s="268" t="s">
        <v>205</v>
      </c>
      <c r="F592"/>
      <c r="G592"/>
    </row>
    <row r="593" spans="2:7" ht="25.5">
      <c r="B593" s="320" t="s">
        <v>601</v>
      </c>
      <c r="C593" s="321"/>
      <c r="D593" s="268" t="s">
        <v>205</v>
      </c>
      <c r="E593" s="268"/>
      <c r="F593"/>
      <c r="G593"/>
    </row>
    <row r="594" spans="2:7">
      <c r="B594" s="320" t="s">
        <v>602</v>
      </c>
      <c r="C594" s="321"/>
      <c r="D594" s="321"/>
      <c r="E594" s="268" t="s">
        <v>205</v>
      </c>
      <c r="F594"/>
      <c r="G594"/>
    </row>
    <row r="595" spans="2:7">
      <c r="B595" s="320" t="s">
        <v>603</v>
      </c>
      <c r="C595" s="321"/>
      <c r="D595" s="268" t="s">
        <v>205</v>
      </c>
      <c r="E595" s="268"/>
      <c r="F595"/>
      <c r="G595"/>
    </row>
    <row r="596" spans="2:7">
      <c r="B596" s="320" t="s">
        <v>604</v>
      </c>
      <c r="C596" s="321"/>
      <c r="D596" s="321"/>
      <c r="E596" s="268" t="s">
        <v>205</v>
      </c>
      <c r="F596"/>
      <c r="G596"/>
    </row>
    <row r="597" spans="2:7">
      <c r="B597" s="320" t="s">
        <v>605</v>
      </c>
      <c r="C597" s="321"/>
      <c r="D597" s="268" t="s">
        <v>205</v>
      </c>
      <c r="E597" s="268"/>
      <c r="F597"/>
      <c r="G597"/>
    </row>
    <row r="598" spans="2:7">
      <c r="B598" s="320" t="s">
        <v>606</v>
      </c>
      <c r="C598" s="321"/>
      <c r="D598" s="321"/>
      <c r="E598" s="268" t="s">
        <v>205</v>
      </c>
      <c r="F598"/>
      <c r="G598"/>
    </row>
    <row r="599" spans="2:7">
      <c r="B599" s="320" t="s">
        <v>607</v>
      </c>
      <c r="C599" s="321"/>
      <c r="D599" s="268" t="s">
        <v>205</v>
      </c>
      <c r="E599" s="268"/>
      <c r="F599"/>
      <c r="G599"/>
    </row>
    <row r="600" spans="2:7">
      <c r="B600" s="320" t="s">
        <v>608</v>
      </c>
      <c r="C600" s="321"/>
      <c r="D600" s="268" t="s">
        <v>205</v>
      </c>
      <c r="E600" s="268"/>
      <c r="F600"/>
      <c r="G600"/>
    </row>
    <row r="601" spans="2:7">
      <c r="B601" s="320" t="s">
        <v>609</v>
      </c>
      <c r="C601" s="321"/>
      <c r="D601" s="321"/>
      <c r="E601" s="268" t="s">
        <v>205</v>
      </c>
      <c r="F601"/>
      <c r="G601"/>
    </row>
    <row r="602" spans="2:7" ht="25.5">
      <c r="B602" s="320" t="s">
        <v>610</v>
      </c>
      <c r="C602" s="321"/>
      <c r="D602" s="268" t="s">
        <v>205</v>
      </c>
      <c r="E602" s="268"/>
      <c r="F602"/>
      <c r="G602"/>
    </row>
    <row r="603" spans="2:7">
      <c r="B603" s="320" t="s">
        <v>611</v>
      </c>
      <c r="C603" s="321"/>
      <c r="D603" s="268" t="s">
        <v>205</v>
      </c>
      <c r="E603" s="268"/>
      <c r="F603"/>
      <c r="G603"/>
    </row>
    <row r="604" spans="2:7">
      <c r="B604" s="320" t="s">
        <v>612</v>
      </c>
      <c r="C604" s="321"/>
      <c r="D604" s="321"/>
      <c r="E604" s="268" t="s">
        <v>205</v>
      </c>
      <c r="F604"/>
      <c r="G604"/>
    </row>
    <row r="605" spans="2:7" ht="51">
      <c r="B605" s="320" t="s">
        <v>613</v>
      </c>
      <c r="C605" s="321"/>
      <c r="D605" s="268" t="s">
        <v>205</v>
      </c>
      <c r="E605" s="268"/>
      <c r="F605"/>
      <c r="G605"/>
    </row>
    <row r="606" spans="2:7" ht="38.25">
      <c r="B606" s="320" t="s">
        <v>614</v>
      </c>
      <c r="C606" s="321"/>
      <c r="D606" s="321"/>
      <c r="E606" s="268" t="s">
        <v>205</v>
      </c>
      <c r="F606"/>
      <c r="G606"/>
    </row>
    <row r="607" spans="2:7" ht="15.75">
      <c r="B607" s="251" t="s">
        <v>615</v>
      </c>
      <c r="C607" s="321"/>
      <c r="D607" s="321"/>
      <c r="E607" s="268"/>
      <c r="F607"/>
      <c r="G607"/>
    </row>
    <row r="608" spans="2:7" ht="25.5">
      <c r="B608" s="320" t="s">
        <v>616</v>
      </c>
      <c r="C608" s="321"/>
      <c r="D608" s="321"/>
      <c r="E608" s="268" t="s">
        <v>205</v>
      </c>
      <c r="F608"/>
      <c r="G608"/>
    </row>
    <row r="609" spans="2:7">
      <c r="C609"/>
      <c r="D609"/>
      <c r="E609"/>
      <c r="F609"/>
      <c r="G609"/>
    </row>
    <row r="610" spans="2:7">
      <c r="C610"/>
      <c r="D610"/>
      <c r="E610"/>
      <c r="F610"/>
      <c r="G610"/>
    </row>
    <row r="611" spans="2:7">
      <c r="C611"/>
      <c r="D611"/>
      <c r="E611"/>
      <c r="F611"/>
      <c r="G611"/>
    </row>
    <row r="612" spans="2:7" ht="15.75">
      <c r="B612" s="256" t="s">
        <v>354</v>
      </c>
      <c r="C612" s="247"/>
      <c r="D612" s="247"/>
      <c r="E612" s="247"/>
      <c r="F612"/>
      <c r="G612"/>
    </row>
    <row r="613" spans="2:7">
      <c r="B613" s="320" t="s">
        <v>582</v>
      </c>
      <c r="C613" s="268" t="s">
        <v>205</v>
      </c>
      <c r="D613" s="321"/>
      <c r="E613" s="321"/>
      <c r="F613"/>
      <c r="G613"/>
    </row>
    <row r="614" spans="2:7">
      <c r="B614" s="320" t="s">
        <v>583</v>
      </c>
      <c r="C614" s="321"/>
      <c r="D614" s="268" t="s">
        <v>205</v>
      </c>
      <c r="E614" s="321"/>
      <c r="F614"/>
      <c r="G614"/>
    </row>
    <row r="615" spans="2:7">
      <c r="B615" s="320" t="s">
        <v>584</v>
      </c>
      <c r="C615" s="321"/>
      <c r="D615" s="321"/>
      <c r="E615" s="268" t="s">
        <v>205</v>
      </c>
      <c r="F615"/>
      <c r="G615"/>
    </row>
    <row r="616" spans="2:7">
      <c r="C616"/>
      <c r="D616"/>
      <c r="E616"/>
      <c r="F616"/>
      <c r="G616"/>
    </row>
    <row r="617" spans="2:7">
      <c r="C617"/>
      <c r="D617"/>
      <c r="E617"/>
      <c r="F617"/>
      <c r="G617"/>
    </row>
    <row r="618" spans="2:7">
      <c r="C618"/>
      <c r="D618"/>
      <c r="E618"/>
      <c r="F618"/>
      <c r="G618"/>
    </row>
    <row r="619" spans="2:7" ht="15.75">
      <c r="B619" s="256" t="s">
        <v>352</v>
      </c>
      <c r="C619" s="247"/>
      <c r="D619" s="247"/>
      <c r="E619" s="247"/>
      <c r="F619"/>
      <c r="G619"/>
    </row>
    <row r="620" spans="2:7">
      <c r="B620" s="245" t="s">
        <v>371</v>
      </c>
      <c r="F620"/>
      <c r="G620"/>
    </row>
    <row r="621" spans="2:7">
      <c r="F621"/>
      <c r="G621"/>
    </row>
    <row r="622" spans="2:7">
      <c r="F622"/>
      <c r="G622"/>
    </row>
    <row r="624" spans="2:7" ht="15.75">
      <c r="B624" s="256" t="s">
        <v>66</v>
      </c>
      <c r="C624" s="289" t="s">
        <v>200</v>
      </c>
      <c r="D624" s="289" t="s">
        <v>201</v>
      </c>
      <c r="E624" s="289" t="s">
        <v>202</v>
      </c>
      <c r="F624"/>
      <c r="G624"/>
    </row>
    <row r="625" spans="2:7" ht="25.5">
      <c r="B625" s="233" t="s">
        <v>309</v>
      </c>
      <c r="C625" s="278" t="s">
        <v>205</v>
      </c>
      <c r="D625" s="278"/>
      <c r="E625" s="278"/>
      <c r="F625"/>
      <c r="G625"/>
    </row>
    <row r="626" spans="2:7">
      <c r="B626" s="234" t="s">
        <v>310</v>
      </c>
      <c r="C626" s="268"/>
      <c r="D626" s="268" t="s">
        <v>205</v>
      </c>
      <c r="E626" s="268"/>
      <c r="F626"/>
      <c r="G626"/>
    </row>
    <row r="627" spans="2:7">
      <c r="B627" s="234" t="s">
        <v>311</v>
      </c>
      <c r="C627" s="268"/>
      <c r="D627" s="268" t="s">
        <v>205</v>
      </c>
      <c r="E627" s="268"/>
      <c r="F627"/>
      <c r="G627"/>
    </row>
    <row r="628" spans="2:7">
      <c r="B628" s="234" t="s">
        <v>312</v>
      </c>
      <c r="C628" s="268"/>
      <c r="D628" s="268" t="s">
        <v>205</v>
      </c>
      <c r="E628" s="268"/>
      <c r="F628"/>
      <c r="G628"/>
    </row>
    <row r="629" spans="2:7">
      <c r="B629" s="234" t="s">
        <v>313</v>
      </c>
      <c r="C629" s="268"/>
      <c r="D629" s="268" t="s">
        <v>205</v>
      </c>
      <c r="E629" s="268"/>
      <c r="F629"/>
      <c r="G629"/>
    </row>
    <row r="630" spans="2:7">
      <c r="B630" s="234" t="s">
        <v>314</v>
      </c>
      <c r="C630" s="268"/>
      <c r="D630" s="268" t="s">
        <v>205</v>
      </c>
      <c r="E630" s="268"/>
      <c r="F630"/>
      <c r="G630"/>
    </row>
    <row r="631" spans="2:7">
      <c r="B631" s="234" t="s">
        <v>315</v>
      </c>
      <c r="C631" s="268"/>
      <c r="D631" s="268" t="s">
        <v>205</v>
      </c>
      <c r="E631" s="268"/>
      <c r="F631"/>
      <c r="G631"/>
    </row>
    <row r="632" spans="2:7">
      <c r="B632" s="234" t="s">
        <v>316</v>
      </c>
      <c r="C632" s="268"/>
      <c r="D632" s="268" t="s">
        <v>205</v>
      </c>
      <c r="E632" s="268"/>
      <c r="F632"/>
      <c r="G632"/>
    </row>
    <row r="633" spans="2:7">
      <c r="B633" s="234" t="s">
        <v>317</v>
      </c>
      <c r="C633" s="268"/>
      <c r="D633" s="268" t="s">
        <v>205</v>
      </c>
      <c r="E633" s="268"/>
      <c r="F633"/>
      <c r="G633"/>
    </row>
    <row r="634" spans="2:7">
      <c r="B634" s="234" t="s">
        <v>318</v>
      </c>
      <c r="C634" s="268"/>
      <c r="D634" s="268" t="s">
        <v>205</v>
      </c>
      <c r="E634" s="268"/>
      <c r="F634"/>
      <c r="G634"/>
    </row>
    <row r="635" spans="2:7">
      <c r="B635" s="234" t="s">
        <v>319</v>
      </c>
      <c r="C635" s="268"/>
      <c r="D635" s="268"/>
      <c r="E635" s="268" t="s">
        <v>205</v>
      </c>
      <c r="F635"/>
      <c r="G635"/>
    </row>
    <row r="636" spans="2:7">
      <c r="B636" s="234" t="s">
        <v>320</v>
      </c>
      <c r="C636" s="268"/>
      <c r="D636" s="268"/>
      <c r="E636" s="268" t="s">
        <v>205</v>
      </c>
      <c r="F636"/>
      <c r="G636"/>
    </row>
    <row r="637" spans="2:7" ht="25.5">
      <c r="B637" s="234" t="s">
        <v>321</v>
      </c>
      <c r="C637" s="268"/>
      <c r="D637" s="268"/>
      <c r="E637" s="268" t="s">
        <v>205</v>
      </c>
      <c r="F637"/>
      <c r="G637"/>
    </row>
    <row r="638" spans="2:7" ht="25.5">
      <c r="B638" s="234" t="s">
        <v>322</v>
      </c>
      <c r="C638" s="268"/>
      <c r="D638" s="268"/>
      <c r="E638" s="268" t="s">
        <v>205</v>
      </c>
      <c r="F638"/>
      <c r="G638"/>
    </row>
    <row r="639" spans="2:7">
      <c r="B639" s="234" t="s">
        <v>323</v>
      </c>
      <c r="C639" s="268"/>
      <c r="D639" s="268"/>
      <c r="E639" s="268" t="s">
        <v>205</v>
      </c>
      <c r="F639"/>
      <c r="G639"/>
    </row>
    <row r="640" spans="2:7">
      <c r="B640" s="228"/>
      <c r="C640" s="230"/>
      <c r="D640" s="230"/>
      <c r="E640" s="230"/>
      <c r="F640"/>
      <c r="G640"/>
    </row>
    <row r="641" spans="2:7">
      <c r="F641"/>
      <c r="G641"/>
    </row>
    <row r="643" spans="2:7" ht="15.75">
      <c r="B643" s="256" t="s">
        <v>353</v>
      </c>
      <c r="C643" s="289" t="s">
        <v>200</v>
      </c>
      <c r="D643" s="289" t="s">
        <v>201</v>
      </c>
      <c r="E643" s="289" t="s">
        <v>202</v>
      </c>
      <c r="F643" s="289" t="s">
        <v>203</v>
      </c>
      <c r="G643" s="289" t="s">
        <v>204</v>
      </c>
    </row>
    <row r="644" spans="2:7">
      <c r="B644" s="270" t="s">
        <v>324</v>
      </c>
      <c r="C644" s="279" t="s">
        <v>205</v>
      </c>
      <c r="D644" s="279"/>
      <c r="E644" s="279"/>
      <c r="F644" s="279"/>
      <c r="G644" s="279"/>
    </row>
    <row r="645" spans="2:7">
      <c r="B645" s="271" t="s">
        <v>325</v>
      </c>
      <c r="C645" s="261"/>
      <c r="D645" s="261" t="s">
        <v>205</v>
      </c>
      <c r="E645" s="261"/>
      <c r="F645" s="261"/>
      <c r="G645" s="261"/>
    </row>
    <row r="646" spans="2:7">
      <c r="B646" s="271" t="s">
        <v>326</v>
      </c>
      <c r="C646" s="261"/>
      <c r="D646" s="261"/>
      <c r="E646" s="261"/>
      <c r="F646" s="261"/>
      <c r="G646" s="261"/>
    </row>
    <row r="647" spans="2:7">
      <c r="B647" s="288" t="s">
        <v>327</v>
      </c>
      <c r="C647" s="261"/>
      <c r="D647" s="261" t="s">
        <v>205</v>
      </c>
      <c r="E647" s="261"/>
      <c r="F647" s="261"/>
      <c r="G647" s="261"/>
    </row>
    <row r="648" spans="2:7">
      <c r="B648" s="288" t="s">
        <v>328</v>
      </c>
      <c r="C648" s="261"/>
      <c r="D648" s="261"/>
      <c r="E648" s="261" t="s">
        <v>205</v>
      </c>
      <c r="F648" s="261"/>
      <c r="G648" s="261"/>
    </row>
    <row r="649" spans="2:7">
      <c r="B649" s="288" t="s">
        <v>329</v>
      </c>
      <c r="C649" s="261"/>
      <c r="D649" s="261"/>
      <c r="E649" s="261"/>
      <c r="F649" s="261" t="s">
        <v>205</v>
      </c>
      <c r="G649" s="261"/>
    </row>
    <row r="650" spans="2:7">
      <c r="B650" s="271" t="s">
        <v>330</v>
      </c>
      <c r="C650" s="261"/>
      <c r="D650" s="261"/>
      <c r="E650" s="261"/>
      <c r="F650" s="261"/>
      <c r="G650" s="261"/>
    </row>
    <row r="651" spans="2:7">
      <c r="B651" s="288" t="s">
        <v>331</v>
      </c>
      <c r="C651" s="261"/>
      <c r="D651" s="261" t="s">
        <v>205</v>
      </c>
      <c r="E651" s="261"/>
      <c r="F651" s="261"/>
      <c r="G651" s="261"/>
    </row>
    <row r="652" spans="2:7">
      <c r="B652" s="288" t="s">
        <v>332</v>
      </c>
      <c r="C652" s="261"/>
      <c r="D652" s="261"/>
      <c r="E652" s="261" t="s">
        <v>205</v>
      </c>
      <c r="F652" s="261"/>
      <c r="G652" s="261"/>
    </row>
    <row r="653" spans="2:7">
      <c r="B653" s="288" t="s">
        <v>333</v>
      </c>
      <c r="C653" s="261"/>
      <c r="D653" s="261"/>
      <c r="E653" s="261"/>
      <c r="F653" s="261" t="s">
        <v>205</v>
      </c>
      <c r="G653" s="261"/>
    </row>
    <row r="654" spans="2:7">
      <c r="B654" s="271" t="s">
        <v>334</v>
      </c>
      <c r="C654" s="261"/>
      <c r="D654" s="261"/>
      <c r="E654" s="261"/>
      <c r="F654" s="261"/>
      <c r="G654" s="261"/>
    </row>
    <row r="655" spans="2:7">
      <c r="B655" s="288" t="s">
        <v>331</v>
      </c>
      <c r="C655" s="261"/>
      <c r="D655" s="261" t="s">
        <v>205</v>
      </c>
      <c r="E655" s="261"/>
      <c r="F655" s="261"/>
      <c r="G655" s="261"/>
    </row>
    <row r="656" spans="2:7">
      <c r="B656" s="288" t="s">
        <v>332</v>
      </c>
      <c r="C656" s="261"/>
      <c r="D656" s="261"/>
      <c r="E656" s="261" t="s">
        <v>205</v>
      </c>
      <c r="F656" s="261"/>
      <c r="G656" s="261"/>
    </row>
    <row r="657" spans="2:7">
      <c r="B657" s="288" t="s">
        <v>333</v>
      </c>
      <c r="C657" s="261"/>
      <c r="D657" s="261"/>
      <c r="E657" s="261"/>
      <c r="F657" s="261" t="s">
        <v>205</v>
      </c>
      <c r="G657" s="261"/>
    </row>
    <row r="658" spans="2:7">
      <c r="B658" s="271" t="s">
        <v>335</v>
      </c>
      <c r="C658" s="261"/>
      <c r="D658" s="261"/>
      <c r="E658" s="261"/>
      <c r="F658" s="261"/>
      <c r="G658" s="261"/>
    </row>
    <row r="659" spans="2:7">
      <c r="B659" s="288" t="s">
        <v>336</v>
      </c>
      <c r="C659" s="261"/>
      <c r="D659" s="261" t="s">
        <v>205</v>
      </c>
      <c r="E659" s="261"/>
      <c r="F659" s="261"/>
      <c r="G659" s="261"/>
    </row>
    <row r="660" spans="2:7">
      <c r="B660" s="288" t="s">
        <v>337</v>
      </c>
      <c r="C660" s="261"/>
      <c r="D660" s="261"/>
      <c r="E660" s="261" t="s">
        <v>205</v>
      </c>
      <c r="F660" s="261"/>
      <c r="G660" s="261"/>
    </row>
    <row r="661" spans="2:7">
      <c r="B661" s="271" t="s">
        <v>338</v>
      </c>
      <c r="C661" s="261"/>
      <c r="D661" s="261"/>
      <c r="E661" s="261"/>
      <c r="F661" s="261"/>
      <c r="G661" s="261"/>
    </row>
    <row r="662" spans="2:7">
      <c r="B662" s="288" t="s">
        <v>339</v>
      </c>
      <c r="C662" s="261"/>
      <c r="D662" s="261"/>
      <c r="E662" s="261"/>
      <c r="F662" s="261" t="s">
        <v>205</v>
      </c>
      <c r="G662" s="261"/>
    </row>
    <row r="663" spans="2:7">
      <c r="B663" s="288" t="s">
        <v>333</v>
      </c>
      <c r="C663" s="261"/>
      <c r="D663" s="261"/>
      <c r="E663" s="261"/>
      <c r="F663" s="261"/>
      <c r="G663" s="261" t="s">
        <v>205</v>
      </c>
    </row>
    <row r="664" spans="2:7">
      <c r="B664" s="271" t="s">
        <v>340</v>
      </c>
      <c r="C664" s="261"/>
      <c r="D664" s="261"/>
      <c r="E664" s="261"/>
      <c r="F664" s="261"/>
      <c r="G664" s="261" t="s">
        <v>205</v>
      </c>
    </row>
    <row r="665" spans="2:7">
      <c r="B665" s="271" t="s">
        <v>341</v>
      </c>
      <c r="C665" s="261"/>
      <c r="D665" s="261"/>
      <c r="E665" s="261"/>
      <c r="F665" s="261"/>
      <c r="G665" s="261" t="s">
        <v>205</v>
      </c>
    </row>
    <row r="668" spans="2:7">
      <c r="C668"/>
      <c r="D668"/>
    </row>
    <row r="669" spans="2:7">
      <c r="C669"/>
      <c r="D669"/>
    </row>
    <row r="670" spans="2:7">
      <c r="C670"/>
      <c r="D670"/>
    </row>
    <row r="671" spans="2:7">
      <c r="C671"/>
      <c r="D671"/>
    </row>
    <row r="672" spans="2:7">
      <c r="C672"/>
      <c r="D672"/>
    </row>
    <row r="673" spans="3:4">
      <c r="C673"/>
      <c r="D673"/>
    </row>
  </sheetData>
  <sheetProtection algorithmName="SHA-512" hashValue="TPIoOkPRErmh4AzmZlw5r4m/BarOdpz96FtQHItRS6gNIJmag11vmI9oRvKoDlGUaPA3Witt4E+Bylz7tyKryA==" saltValue="HIm5NJNIpKn0fLNVaEIQbA==" spinCount="100000" sheet="1" objects="1" scenarios="1"/>
  <mergeCells count="6">
    <mergeCell ref="B261:G261"/>
    <mergeCell ref="B267:G267"/>
    <mergeCell ref="B317:G317"/>
    <mergeCell ref="B4:G4"/>
    <mergeCell ref="B259:G259"/>
    <mergeCell ref="B315:G315"/>
  </mergeCells>
  <phoneticPr fontId="6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outlinePr summaryBelow="0"/>
    <pageSetUpPr fitToPage="1"/>
  </sheetPr>
  <dimension ref="A1:S1515"/>
  <sheetViews>
    <sheetView showGridLines="0" topLeftCell="A247" workbookViewId="0">
      <selection activeCell="I17" sqref="I17"/>
    </sheetView>
    <sheetView topLeftCell="A21" workbookViewId="1"/>
  </sheetViews>
  <sheetFormatPr defaultColWidth="9.140625" defaultRowHeight="14.25"/>
  <cols>
    <col min="1" max="1" width="10.7109375" style="10" customWidth="1"/>
    <col min="2" max="2" width="43.42578125" style="8" customWidth="1"/>
    <col min="3" max="3" width="8.7109375" style="11" customWidth="1"/>
    <col min="4" max="6" width="8.7109375" style="8" customWidth="1"/>
    <col min="7" max="7" width="10" style="8" customWidth="1"/>
    <col min="8" max="8" width="12" style="8" customWidth="1"/>
    <col min="9" max="9" width="15.7109375" style="8" customWidth="1"/>
    <col min="10" max="10" width="10.5703125" style="8" customWidth="1"/>
    <col min="11" max="15" width="8.7109375" style="8" customWidth="1"/>
    <col min="16" max="17" width="12.28515625" style="8" customWidth="1"/>
    <col min="18" max="18" width="8.7109375" style="8" customWidth="1"/>
    <col min="19" max="16384" width="9.140625" style="8"/>
  </cols>
  <sheetData>
    <row r="1" spans="1:10" s="12" customFormat="1" ht="18" customHeight="1"/>
    <row r="2" spans="1:10" s="13" customFormat="1" ht="18" customHeight="1"/>
    <row r="3" spans="1:10" s="12" customFormat="1" ht="23.25">
      <c r="A3" s="13"/>
      <c r="B3" s="1264" t="str">
        <f>'OSNOVNI PODATKI'!B3</f>
        <v>ARHIGRAM 6</v>
      </c>
      <c r="C3" s="13"/>
      <c r="D3" s="13"/>
      <c r="E3" s="13"/>
      <c r="F3" s="13"/>
      <c r="G3" s="13"/>
      <c r="H3" s="13"/>
      <c r="I3" s="14"/>
      <c r="J3" s="13"/>
    </row>
    <row r="4" spans="1:10" s="14" customFormat="1" ht="26.25" customHeight="1">
      <c r="B4" s="1323" t="str">
        <f>'OSNOVNI PODATKI'!B4</f>
        <v>Vrednotenje storitev na področju arhitekturnega 
in krajinskoarhitekturnega projektiranja</v>
      </c>
      <c r="C4" s="1323"/>
    </row>
    <row r="5" spans="1:10" s="12" customFormat="1" ht="12.75">
      <c r="A5" s="34" t="str">
        <f>'OSNOVNI PODATKI'!A5</f>
        <v>V 6.17</v>
      </c>
      <c r="B5" s="595" t="str">
        <f>'OSNOVNI PODATKI'!B5</f>
        <v>september 2026</v>
      </c>
    </row>
    <row r="6" spans="1:10" s="12" customFormat="1" ht="18.75">
      <c r="A6" s="15"/>
      <c r="B6" s="16"/>
      <c r="C6" s="13"/>
      <c r="D6" s="13"/>
      <c r="E6" s="13"/>
      <c r="F6" s="13"/>
      <c r="G6" s="13"/>
      <c r="H6" s="13"/>
      <c r="I6" s="13"/>
      <c r="J6" s="13"/>
    </row>
    <row r="7" spans="1:10" s="14" customFormat="1" ht="15.75">
      <c r="A7" s="392" t="s">
        <v>55</v>
      </c>
      <c r="B7" s="596">
        <f>'OSNOVNI PODATKI'!E1</f>
        <v>0</v>
      </c>
      <c r="C7" s="41"/>
    </row>
    <row r="8" spans="1:10" s="14" customFormat="1" ht="15.75">
      <c r="A8" s="392"/>
      <c r="B8" s="596">
        <f>'OSNOVNI PODATKI'!E2</f>
        <v>0</v>
      </c>
      <c r="C8" s="41"/>
    </row>
    <row r="9" spans="1:10" s="14" customFormat="1" ht="15.75">
      <c r="A9" s="392" t="s">
        <v>56</v>
      </c>
      <c r="B9" s="596">
        <f>'OSNOVNI PODATKI'!E3</f>
        <v>0</v>
      </c>
      <c r="C9" s="41"/>
    </row>
    <row r="10" spans="1:10" s="14" customFormat="1" ht="15.75">
      <c r="A10" s="392" t="s">
        <v>57</v>
      </c>
      <c r="B10" s="596">
        <f>'OSNOVNI PODATKI'!E4</f>
        <v>0</v>
      </c>
      <c r="C10" s="41"/>
      <c r="D10" s="37"/>
      <c r="E10" s="37"/>
      <c r="F10" s="37"/>
      <c r="G10" s="37"/>
      <c r="H10" s="37"/>
      <c r="J10" s="37"/>
    </row>
    <row r="11" spans="1:10" s="14" customFormat="1" ht="15.75">
      <c r="A11" s="393" t="s">
        <v>58</v>
      </c>
      <c r="B11" s="599">
        <f ca="1">'OSNOVNI PODATKI'!E5</f>
        <v>46278</v>
      </c>
      <c r="C11" s="57"/>
      <c r="D11" s="37"/>
      <c r="E11" s="37"/>
      <c r="F11" s="37"/>
      <c r="G11" s="37"/>
      <c r="H11" s="37"/>
      <c r="J11" s="37"/>
    </row>
    <row r="12" spans="1:10" s="14" customFormat="1" ht="15.75"/>
    <row r="13" spans="1:10" s="60" customFormat="1" ht="26.25">
      <c r="A13" s="1263" t="s">
        <v>627</v>
      </c>
      <c r="B13" s="221"/>
      <c r="C13" s="221"/>
      <c r="D13" s="221"/>
      <c r="E13" s="221"/>
      <c r="F13" s="221"/>
      <c r="G13" s="221"/>
      <c r="H13" s="221"/>
      <c r="I13" s="221"/>
    </row>
    <row r="14" spans="1:10" s="14" customFormat="1" ht="15.75">
      <c r="A14" s="72"/>
      <c r="B14" s="18"/>
      <c r="C14" s="19"/>
      <c r="E14" s="19"/>
      <c r="F14" s="19"/>
      <c r="G14" s="20"/>
      <c r="H14" s="20"/>
      <c r="I14" s="21"/>
    </row>
    <row r="15" spans="1:10" s="218" customFormat="1" ht="15.75"/>
    <row r="16" spans="1:10" s="37" customFormat="1" ht="18.75">
      <c r="A16" s="415" t="s">
        <v>701</v>
      </c>
      <c r="B16" s="416"/>
      <c r="C16" s="416"/>
      <c r="D16" s="416"/>
      <c r="E16" s="416"/>
      <c r="F16" s="416"/>
      <c r="G16" s="416"/>
      <c r="H16" s="416"/>
      <c r="I16" s="1244">
        <v>62</v>
      </c>
    </row>
    <row r="17" spans="1:11" s="219" customFormat="1" ht="17.25" customHeight="1">
      <c r="I17" s="448" t="s">
        <v>192</v>
      </c>
    </row>
    <row r="18" spans="1:11" s="14" customFormat="1" ht="15.75"/>
    <row r="19" spans="1:11" ht="24.75">
      <c r="A19" s="395"/>
      <c r="B19" s="396"/>
      <c r="C19" s="396"/>
      <c r="D19" s="396"/>
      <c r="E19" s="406"/>
      <c r="F19" s="397"/>
      <c r="G19" s="446" t="s">
        <v>700</v>
      </c>
      <c r="H19" s="447" t="s">
        <v>54</v>
      </c>
      <c r="I19" s="446" t="s">
        <v>67</v>
      </c>
    </row>
    <row r="20" spans="1:11" s="671" customFormat="1" ht="16.5">
      <c r="A20" s="682" t="s">
        <v>30</v>
      </c>
      <c r="B20" s="673" t="s">
        <v>31</v>
      </c>
      <c r="C20" s="673"/>
      <c r="D20" s="673"/>
      <c r="E20" s="674"/>
      <c r="F20" s="675"/>
      <c r="G20" s="959"/>
      <c r="H20" s="676">
        <f>+H21+H35+H49</f>
        <v>0</v>
      </c>
      <c r="I20" s="677">
        <f>+I21+I35+I49</f>
        <v>0</v>
      </c>
    </row>
    <row r="21" spans="1:11" s="464" customFormat="1" ht="16.5" customHeight="1">
      <c r="A21" s="466" t="s">
        <v>32</v>
      </c>
      <c r="B21" s="493" t="s">
        <v>64</v>
      </c>
      <c r="C21" s="493"/>
      <c r="D21" s="493"/>
      <c r="E21" s="497"/>
      <c r="F21" s="498"/>
      <c r="G21" s="960" t="b">
        <v>0</v>
      </c>
      <c r="H21" s="499">
        <f>SUM(H22:H34)</f>
        <v>0</v>
      </c>
      <c r="I21" s="465">
        <f>SUM(I22:I34)</f>
        <v>0</v>
      </c>
    </row>
    <row r="22" spans="1:11" s="210" customFormat="1">
      <c r="A22" s="1321"/>
      <c r="B22" s="436" t="s">
        <v>801</v>
      </c>
      <c r="C22" s="437"/>
      <c r="D22" s="437"/>
      <c r="E22" s="438"/>
      <c r="F22" s="439"/>
      <c r="G22" s="961" t="b">
        <v>1</v>
      </c>
      <c r="H22" s="491">
        <f>IFERROR(IF(G21=TRUE,STAVBE!Q136+'NOTRANJA OPREMA'!Q118+'ODPRTI PROSTOR'!Q136,0),0)</f>
        <v>0</v>
      </c>
      <c r="I22" s="440">
        <f t="shared" ref="I22:I23" si="0">+H22*$I$16</f>
        <v>0</v>
      </c>
      <c r="K22" s="1298"/>
    </row>
    <row r="23" spans="1:11" s="441" customFormat="1" ht="12.6" customHeight="1">
      <c r="A23" s="1321"/>
      <c r="B23" s="436" t="s">
        <v>802</v>
      </c>
      <c r="C23" s="437"/>
      <c r="D23" s="437"/>
      <c r="E23" s="438"/>
      <c r="F23" s="439"/>
      <c r="G23" s="961" t="b">
        <v>1</v>
      </c>
      <c r="H23" s="491">
        <f>IFERROR(IF(G21=TRUE,STAVBE!G136,0),0)</f>
        <v>0</v>
      </c>
      <c r="I23" s="440">
        <f t="shared" si="0"/>
        <v>0</v>
      </c>
    </row>
    <row r="24" spans="1:11" s="441" customFormat="1" ht="12.75">
      <c r="A24" s="1321"/>
      <c r="B24" s="436" t="s">
        <v>2</v>
      </c>
      <c r="C24" s="442"/>
      <c r="D24" s="442"/>
      <c r="E24" s="443"/>
      <c r="F24" s="444"/>
      <c r="G24" s="962" t="b">
        <v>1</v>
      </c>
      <c r="H24" s="491">
        <f>IFERROR(IF(G21=TRUE,'NOTRANJA OPREMA'!G118,0),0)</f>
        <v>0</v>
      </c>
      <c r="I24" s="445">
        <f>+H24*$I$16</f>
        <v>0</v>
      </c>
    </row>
    <row r="25" spans="1:11" s="441" customFormat="1" ht="12.75">
      <c r="A25" s="1321"/>
      <c r="B25" s="436" t="s">
        <v>803</v>
      </c>
      <c r="C25" s="442"/>
      <c r="D25" s="442"/>
      <c r="E25" s="443"/>
      <c r="F25" s="444"/>
      <c r="G25" s="962" t="b">
        <v>1</v>
      </c>
      <c r="H25" s="491">
        <f>IFERROR(IF(G21=TRUE,'ODPRTI PROSTOR'!G136*'OSNOVNI PODATKI'!$F$378,0),0)</f>
        <v>0</v>
      </c>
      <c r="I25" s="445">
        <f>+H25*$I$16</f>
        <v>0</v>
      </c>
    </row>
    <row r="26" spans="1:11" s="441" customFormat="1" ht="12.75">
      <c r="A26" s="1321"/>
      <c r="B26" s="436" t="s">
        <v>804</v>
      </c>
      <c r="C26" s="442"/>
      <c r="D26" s="442"/>
      <c r="E26" s="443"/>
      <c r="F26" s="444"/>
      <c r="G26" s="962" t="b">
        <v>1</v>
      </c>
      <c r="H26" s="492">
        <f>IFERROR(IF(G21=TRUE,'ODPRTI PROSTOR'!G136*(100%-'OSNOVNI PODATKI'!$F$378),0),0)</f>
        <v>0</v>
      </c>
      <c r="I26" s="445">
        <f t="shared" ref="I26:I34" si="1">+H26*$I$16</f>
        <v>0</v>
      </c>
    </row>
    <row r="27" spans="1:11" s="453" customFormat="1" ht="12.75">
      <c r="A27" s="1321"/>
      <c r="B27" s="852" t="s">
        <v>349</v>
      </c>
      <c r="C27" s="853"/>
      <c r="D27" s="853"/>
      <c r="E27" s="854"/>
      <c r="F27" s="855"/>
      <c r="G27" s="963" t="b">
        <v>1</v>
      </c>
      <c r="H27" s="857">
        <f>IFERROR(IF(G21=TRUE,'GRADBENE KONSTRUKCIJE'!G136,0),0)</f>
        <v>0</v>
      </c>
      <c r="I27" s="858">
        <f t="shared" si="1"/>
        <v>0</v>
      </c>
    </row>
    <row r="28" spans="1:11" s="453" customFormat="1" ht="12.75">
      <c r="A28" s="1321"/>
      <c r="B28" s="852" t="s">
        <v>805</v>
      </c>
      <c r="C28" s="853"/>
      <c r="D28" s="853"/>
      <c r="E28" s="854"/>
      <c r="F28" s="855"/>
      <c r="G28" s="963" t="b">
        <v>1</v>
      </c>
      <c r="H28" s="857">
        <f>IFERROR(IF(G21=TRUE,'TEHNIČNA OPREMA'!G137,0),0)</f>
        <v>0</v>
      </c>
      <c r="I28" s="858">
        <f t="shared" si="1"/>
        <v>0</v>
      </c>
    </row>
    <row r="29" spans="1:11" s="453" customFormat="1" ht="12.75">
      <c r="A29" s="1321"/>
      <c r="B29" s="852" t="s">
        <v>806</v>
      </c>
      <c r="C29" s="853"/>
      <c r="D29" s="853"/>
      <c r="E29" s="854"/>
      <c r="F29" s="855"/>
      <c r="G29" s="963" t="b">
        <v>1</v>
      </c>
      <c r="H29" s="857">
        <f>IFERROR(IF(G21=TRUE,'TEHNIČNA OPREMA'!G189,0),0)</f>
        <v>0</v>
      </c>
      <c r="I29" s="858">
        <f t="shared" si="1"/>
        <v>0</v>
      </c>
    </row>
    <row r="30" spans="1:11" s="453" customFormat="1" ht="12.75">
      <c r="A30" s="1321"/>
      <c r="B30" s="852" t="s">
        <v>342</v>
      </c>
      <c r="C30" s="853"/>
      <c r="D30" s="853"/>
      <c r="E30" s="854"/>
      <c r="F30" s="855"/>
      <c r="G30" s="963" t="b">
        <v>1</v>
      </c>
      <c r="H30" s="857">
        <f>IFERROR(IF(G21=TRUE,'TEHNIČNA OPREMA'!G238,0),0)</f>
        <v>0</v>
      </c>
      <c r="I30" s="858">
        <f t="shared" si="1"/>
        <v>0</v>
      </c>
    </row>
    <row r="31" spans="1:11" s="453" customFormat="1" ht="12.75">
      <c r="A31" s="1321"/>
      <c r="B31" s="852" t="s">
        <v>354</v>
      </c>
      <c r="C31" s="853"/>
      <c r="D31" s="853"/>
      <c r="E31" s="854"/>
      <c r="F31" s="855"/>
      <c r="G31" s="963" t="b">
        <v>1</v>
      </c>
      <c r="H31" s="857">
        <f>IFERROR(IF(G21=TRUE,'POŽARNA VARNOST'!G156,0),0)</f>
        <v>0</v>
      </c>
      <c r="I31" s="858">
        <f t="shared" si="1"/>
        <v>0</v>
      </c>
    </row>
    <row r="32" spans="1:11" s="453" customFormat="1" ht="12.75">
      <c r="A32" s="1321"/>
      <c r="B32" s="853" t="s">
        <v>352</v>
      </c>
      <c r="C32" s="853"/>
      <c r="D32" s="853"/>
      <c r="E32" s="854"/>
      <c r="F32" s="855"/>
      <c r="G32" s="963" t="b">
        <v>1</v>
      </c>
      <c r="H32" s="857">
        <f>IFERROR(IF(G21=TRUE,'GRADBENA FIZIKA'!G141,0),0)</f>
        <v>0</v>
      </c>
      <c r="I32" s="858">
        <f t="shared" si="1"/>
        <v>0</v>
      </c>
    </row>
    <row r="33" spans="1:9" s="453" customFormat="1" ht="12.75">
      <c r="A33" s="1321"/>
      <c r="B33" s="859" t="s">
        <v>66</v>
      </c>
      <c r="C33" s="859"/>
      <c r="D33" s="859"/>
      <c r="E33" s="854"/>
      <c r="F33" s="855"/>
      <c r="G33" s="963" t="b">
        <v>1</v>
      </c>
      <c r="H33" s="857">
        <f>IFERROR(IF(G21=TRUE,'GRADBENA FIZIKA'!G187,0),0)</f>
        <v>0</v>
      </c>
      <c r="I33" s="858">
        <f t="shared" si="1"/>
        <v>0</v>
      </c>
    </row>
    <row r="34" spans="1:9" s="453" customFormat="1" ht="12.75">
      <c r="A34" s="1322"/>
      <c r="B34" s="860" t="s">
        <v>353</v>
      </c>
      <c r="C34" s="860"/>
      <c r="D34" s="860"/>
      <c r="E34" s="861"/>
      <c r="F34" s="862"/>
      <c r="G34" s="964" t="b">
        <v>1</v>
      </c>
      <c r="H34" s="863">
        <f>IFERROR(IF(G21=TRUE,'GRADBENA FIZIKA'!G233,0),0)</f>
        <v>0</v>
      </c>
      <c r="I34" s="864">
        <f t="shared" si="1"/>
        <v>0</v>
      </c>
    </row>
    <row r="35" spans="1:9" s="464" customFormat="1" ht="16.5" customHeight="1">
      <c r="A35" s="466" t="s">
        <v>33</v>
      </c>
      <c r="B35" s="493" t="s">
        <v>65</v>
      </c>
      <c r="C35" s="493"/>
      <c r="D35" s="493"/>
      <c r="E35" s="497"/>
      <c r="F35" s="498"/>
      <c r="G35" s="960" t="b">
        <v>0</v>
      </c>
      <c r="H35" s="499">
        <f>SUM(H36:H48)</f>
        <v>0</v>
      </c>
      <c r="I35" s="465">
        <f>SUM(I36:I48)</f>
        <v>0</v>
      </c>
    </row>
    <row r="36" spans="1:9" s="210" customFormat="1">
      <c r="A36" s="1321"/>
      <c r="B36" s="436" t="s">
        <v>801</v>
      </c>
      <c r="C36" s="437"/>
      <c r="D36" s="437"/>
      <c r="E36" s="438"/>
      <c r="F36" s="439"/>
      <c r="G36" s="961" t="b">
        <v>1</v>
      </c>
      <c r="H36" s="491">
        <f>IFERROR(IF(G35=TRUE,STAVBE!Q137+'NOTRANJA OPREMA'!Q119+'ODPRTI PROSTOR'!Q137,0),0)</f>
        <v>0</v>
      </c>
      <c r="I36" s="440">
        <f t="shared" ref="I36:I37" si="2">+H36*$I$16</f>
        <v>0</v>
      </c>
    </row>
    <row r="37" spans="1:9" s="441" customFormat="1" ht="12.6" customHeight="1">
      <c r="A37" s="1321"/>
      <c r="B37" s="436" t="s">
        <v>802</v>
      </c>
      <c r="C37" s="437"/>
      <c r="D37" s="437"/>
      <c r="E37" s="438"/>
      <c r="F37" s="439"/>
      <c r="G37" s="961" t="b">
        <v>1</v>
      </c>
      <c r="H37" s="491">
        <f>IFERROR(IF(G35=TRUE,STAVBE!G137,0),0)</f>
        <v>0</v>
      </c>
      <c r="I37" s="440">
        <f t="shared" si="2"/>
        <v>0</v>
      </c>
    </row>
    <row r="38" spans="1:9" s="441" customFormat="1" ht="12.75">
      <c r="A38" s="1321"/>
      <c r="B38" s="436" t="s">
        <v>2</v>
      </c>
      <c r="C38" s="442"/>
      <c r="D38" s="442"/>
      <c r="E38" s="443"/>
      <c r="F38" s="444"/>
      <c r="G38" s="962" t="b">
        <v>1</v>
      </c>
      <c r="H38" s="491">
        <f>IFERROR(IF(G35=TRUE,'NOTRANJA OPREMA'!G119,0),0)</f>
        <v>0</v>
      </c>
      <c r="I38" s="445">
        <f>+H38*$I$16</f>
        <v>0</v>
      </c>
    </row>
    <row r="39" spans="1:9" s="441" customFormat="1" ht="12.75">
      <c r="A39" s="1321"/>
      <c r="B39" s="436" t="s">
        <v>803</v>
      </c>
      <c r="C39" s="442"/>
      <c r="D39" s="442"/>
      <c r="E39" s="443"/>
      <c r="F39" s="444"/>
      <c r="G39" s="962" t="b">
        <v>1</v>
      </c>
      <c r="H39" s="491">
        <f>IFERROR(IF(G35=TRUE,'ODPRTI PROSTOR'!G137*'OSNOVNI PODATKI'!$F$378,0),0)</f>
        <v>0</v>
      </c>
      <c r="I39" s="445">
        <f>+H39*$I$16</f>
        <v>0</v>
      </c>
    </row>
    <row r="40" spans="1:9" s="441" customFormat="1" ht="12.75">
      <c r="A40" s="1321"/>
      <c r="B40" s="436" t="s">
        <v>804</v>
      </c>
      <c r="C40" s="442"/>
      <c r="D40" s="442"/>
      <c r="E40" s="443"/>
      <c r="F40" s="444"/>
      <c r="G40" s="962" t="b">
        <v>1</v>
      </c>
      <c r="H40" s="492">
        <f>IFERROR(IF(G35=TRUE,'ODPRTI PROSTOR'!G137*(100%-'OSNOVNI PODATKI'!$F$378),0),0)</f>
        <v>0</v>
      </c>
      <c r="I40" s="445">
        <f t="shared" ref="I40:I48" si="3">+H40*$I$16</f>
        <v>0</v>
      </c>
    </row>
    <row r="41" spans="1:9" s="453" customFormat="1" ht="12.75">
      <c r="A41" s="1321"/>
      <c r="B41" s="852" t="s">
        <v>349</v>
      </c>
      <c r="C41" s="853"/>
      <c r="D41" s="853"/>
      <c r="E41" s="854"/>
      <c r="F41" s="855"/>
      <c r="G41" s="963" t="b">
        <v>1</v>
      </c>
      <c r="H41" s="857">
        <f>IFERROR(IF(G35=TRUE,'GRADBENE KONSTRUKCIJE'!G137,0),0)</f>
        <v>0</v>
      </c>
      <c r="I41" s="858">
        <f t="shared" si="3"/>
        <v>0</v>
      </c>
    </row>
    <row r="42" spans="1:9" s="453" customFormat="1" ht="12.75">
      <c r="A42" s="1321"/>
      <c r="B42" s="852" t="s">
        <v>805</v>
      </c>
      <c r="C42" s="853"/>
      <c r="D42" s="853"/>
      <c r="E42" s="854"/>
      <c r="F42" s="855"/>
      <c r="G42" s="963" t="b">
        <v>1</v>
      </c>
      <c r="H42" s="857">
        <f>IFERROR(IF(G35=TRUE,'TEHNIČNA OPREMA'!G138,0),0)</f>
        <v>0</v>
      </c>
      <c r="I42" s="858">
        <f t="shared" si="3"/>
        <v>0</v>
      </c>
    </row>
    <row r="43" spans="1:9" s="453" customFormat="1" ht="12.75">
      <c r="A43" s="1321"/>
      <c r="B43" s="852" t="s">
        <v>806</v>
      </c>
      <c r="C43" s="853"/>
      <c r="D43" s="853"/>
      <c r="E43" s="854"/>
      <c r="F43" s="855"/>
      <c r="G43" s="963" t="b">
        <v>1</v>
      </c>
      <c r="H43" s="857">
        <f>IFERROR(IF(G35=TRUE,'TEHNIČNA OPREMA'!G190,0),0)</f>
        <v>0</v>
      </c>
      <c r="I43" s="858">
        <f t="shared" si="3"/>
        <v>0</v>
      </c>
    </row>
    <row r="44" spans="1:9" s="453" customFormat="1" ht="12.75">
      <c r="A44" s="1321"/>
      <c r="B44" s="852" t="s">
        <v>342</v>
      </c>
      <c r="C44" s="853"/>
      <c r="D44" s="853"/>
      <c r="E44" s="854"/>
      <c r="F44" s="855"/>
      <c r="G44" s="963" t="b">
        <v>1</v>
      </c>
      <c r="H44" s="857">
        <f>IFERROR(IF(G35=TRUE,'TEHNIČNA OPREMA'!G239,0),0)</f>
        <v>0</v>
      </c>
      <c r="I44" s="858">
        <f t="shared" si="3"/>
        <v>0</v>
      </c>
    </row>
    <row r="45" spans="1:9" s="453" customFormat="1" ht="12.75">
      <c r="A45" s="1321"/>
      <c r="B45" s="852" t="s">
        <v>354</v>
      </c>
      <c r="C45" s="853"/>
      <c r="D45" s="853"/>
      <c r="E45" s="854"/>
      <c r="F45" s="855"/>
      <c r="G45" s="963" t="b">
        <v>1</v>
      </c>
      <c r="H45" s="857">
        <f>IFERROR(IF(G35=TRUE,'POŽARNA VARNOST'!G157,0),0)</f>
        <v>0</v>
      </c>
      <c r="I45" s="858">
        <f t="shared" si="3"/>
        <v>0</v>
      </c>
    </row>
    <row r="46" spans="1:9" s="453" customFormat="1" ht="12.75">
      <c r="A46" s="1321"/>
      <c r="B46" s="853" t="s">
        <v>352</v>
      </c>
      <c r="C46" s="853"/>
      <c r="D46" s="853"/>
      <c r="E46" s="854"/>
      <c r="F46" s="855"/>
      <c r="G46" s="963" t="b">
        <v>1</v>
      </c>
      <c r="H46" s="857">
        <f>IFERROR(IF(G35=TRUE,'GRADBENA FIZIKA'!G142,0),0)</f>
        <v>0</v>
      </c>
      <c r="I46" s="858">
        <f t="shared" si="3"/>
        <v>0</v>
      </c>
    </row>
    <row r="47" spans="1:9" s="453" customFormat="1" ht="12.75">
      <c r="A47" s="1321"/>
      <c r="B47" s="859" t="s">
        <v>66</v>
      </c>
      <c r="C47" s="859"/>
      <c r="D47" s="859"/>
      <c r="E47" s="854"/>
      <c r="F47" s="855"/>
      <c r="G47" s="963" t="b">
        <v>1</v>
      </c>
      <c r="H47" s="857">
        <f>IFERROR(IF(G35=TRUE,'GRADBENA FIZIKA'!G188,0),0)</f>
        <v>0</v>
      </c>
      <c r="I47" s="858">
        <f t="shared" si="3"/>
        <v>0</v>
      </c>
    </row>
    <row r="48" spans="1:9" s="453" customFormat="1" ht="12.75">
      <c r="A48" s="1322"/>
      <c r="B48" s="860" t="s">
        <v>353</v>
      </c>
      <c r="C48" s="860"/>
      <c r="D48" s="860"/>
      <c r="E48" s="861"/>
      <c r="F48" s="862"/>
      <c r="G48" s="964" t="b">
        <v>1</v>
      </c>
      <c r="H48" s="863">
        <f>IFERROR(IF(G35=TRUE,'GRADBENA FIZIKA'!G234,0),0)</f>
        <v>0</v>
      </c>
      <c r="I48" s="864">
        <f t="shared" si="3"/>
        <v>0</v>
      </c>
    </row>
    <row r="49" spans="1:9" s="464" customFormat="1" ht="16.5" customHeight="1">
      <c r="A49" s="684" t="s">
        <v>34</v>
      </c>
      <c r="B49" s="683" t="s">
        <v>695</v>
      </c>
      <c r="C49" s="683"/>
      <c r="D49" s="683"/>
      <c r="E49" s="501"/>
      <c r="F49" s="502"/>
      <c r="G49" s="965" t="b">
        <v>0</v>
      </c>
      <c r="H49" s="503">
        <f>IFERROR(IF(G49=TRUE,(STAVBE!Q138+'NOTRANJA OPREMA'!Q120+'ODPRTI PROSTOR'!Q138),0),0)</f>
        <v>0</v>
      </c>
      <c r="I49" s="500">
        <f>+H49*$I$16</f>
        <v>0</v>
      </c>
    </row>
    <row r="50" spans="1:9" s="671" customFormat="1" ht="16.5">
      <c r="A50" s="679">
        <v>2</v>
      </c>
      <c r="B50" s="673" t="s">
        <v>35</v>
      </c>
      <c r="C50" s="673"/>
      <c r="D50" s="673"/>
      <c r="E50" s="674"/>
      <c r="F50" s="674"/>
      <c r="G50" s="966"/>
      <c r="H50" s="680">
        <f>+H51+H65+H79+H83+H97</f>
        <v>0</v>
      </c>
      <c r="I50" s="681">
        <f>+I51+I65+I79+I83+I97</f>
        <v>0</v>
      </c>
    </row>
    <row r="51" spans="1:9" s="210" customFormat="1" ht="16.5" customHeight="1">
      <c r="A51" s="466" t="s">
        <v>48</v>
      </c>
      <c r="B51" s="493" t="s">
        <v>78</v>
      </c>
      <c r="C51" s="493"/>
      <c r="D51" s="493"/>
      <c r="E51" s="494"/>
      <c r="F51" s="494"/>
      <c r="G51" s="967" t="b">
        <v>1</v>
      </c>
      <c r="H51" s="496">
        <f>SUM(H52:H64)</f>
        <v>0</v>
      </c>
      <c r="I51" s="465">
        <f>SUM(I52:I64)</f>
        <v>0</v>
      </c>
    </row>
    <row r="52" spans="1:9" s="210" customFormat="1">
      <c r="A52" s="1321" t="s">
        <v>725</v>
      </c>
      <c r="B52" s="436" t="s">
        <v>801</v>
      </c>
      <c r="C52" s="437"/>
      <c r="D52" s="437"/>
      <c r="E52" s="438"/>
      <c r="F52" s="439"/>
      <c r="G52" s="961" t="b">
        <v>1</v>
      </c>
      <c r="H52" s="491">
        <f>IFERROR(IF(G51=TRUE,STAVBE!Q140+'NOTRANJA OPREMA'!Q122+'ODPRTI PROSTOR'!Q140,0),0)</f>
        <v>0</v>
      </c>
      <c r="I52" s="440">
        <f t="shared" ref="I52" si="4">+H52*$I$16</f>
        <v>0</v>
      </c>
    </row>
    <row r="53" spans="1:9" s="441" customFormat="1" ht="12.6" customHeight="1">
      <c r="A53" s="1321"/>
      <c r="B53" s="436" t="s">
        <v>802</v>
      </c>
      <c r="C53" s="437"/>
      <c r="D53" s="437"/>
      <c r="E53" s="438"/>
      <c r="F53" s="439"/>
      <c r="G53" s="961" t="b">
        <v>1</v>
      </c>
      <c r="H53" s="491">
        <f>IFERROR(IF(G51=TRUE,STAVBE!G140,0),0)</f>
        <v>0</v>
      </c>
      <c r="I53" s="440">
        <f t="shared" ref="I53" si="5">+H53*$I$16</f>
        <v>0</v>
      </c>
    </row>
    <row r="54" spans="1:9" s="441" customFormat="1" ht="12.75">
      <c r="A54" s="1321"/>
      <c r="B54" s="436" t="s">
        <v>2</v>
      </c>
      <c r="C54" s="442"/>
      <c r="D54" s="442"/>
      <c r="E54" s="443"/>
      <c r="F54" s="444"/>
      <c r="G54" s="962" t="b">
        <v>1</v>
      </c>
      <c r="H54" s="491">
        <f>IFERROR(IF(G51=TRUE,'NOTRANJA OPREMA'!G122,0),0)</f>
        <v>0</v>
      </c>
      <c r="I54" s="445">
        <f>+H54*$I$16</f>
        <v>0</v>
      </c>
    </row>
    <row r="55" spans="1:9" s="441" customFormat="1" ht="12.75">
      <c r="A55" s="1321"/>
      <c r="B55" s="436" t="s">
        <v>803</v>
      </c>
      <c r="C55" s="442"/>
      <c r="D55" s="442"/>
      <c r="E55" s="443"/>
      <c r="F55" s="444"/>
      <c r="G55" s="962" t="b">
        <v>1</v>
      </c>
      <c r="H55" s="491">
        <f>IFERROR(IF(G51=TRUE,'ODPRTI PROSTOR'!G140*'OSNOVNI PODATKI'!$F$378,0),0)</f>
        <v>0</v>
      </c>
      <c r="I55" s="445">
        <f>+H55*$I$16</f>
        <v>0</v>
      </c>
    </row>
    <row r="56" spans="1:9" s="441" customFormat="1" ht="12.75">
      <c r="A56" s="1321"/>
      <c r="B56" s="436" t="s">
        <v>804</v>
      </c>
      <c r="C56" s="442"/>
      <c r="D56" s="442"/>
      <c r="E56" s="443"/>
      <c r="F56" s="444"/>
      <c r="G56" s="962" t="b">
        <v>1</v>
      </c>
      <c r="H56" s="492">
        <f>IFERROR(IF(G51=TRUE,'ODPRTI PROSTOR'!G140*(100%-'OSNOVNI PODATKI'!$F$378),0),0)</f>
        <v>0</v>
      </c>
      <c r="I56" s="445">
        <f t="shared" ref="I56:I64" si="6">+H56*$I$16</f>
        <v>0</v>
      </c>
    </row>
    <row r="57" spans="1:9" s="453" customFormat="1" ht="12.75">
      <c r="A57" s="1321"/>
      <c r="B57" s="852" t="s">
        <v>349</v>
      </c>
      <c r="C57" s="853"/>
      <c r="D57" s="853"/>
      <c r="E57" s="854"/>
      <c r="F57" s="855"/>
      <c r="G57" s="963" t="b">
        <v>1</v>
      </c>
      <c r="H57" s="857">
        <f>IFERROR(IF(G51=TRUE,'GRADBENE KONSTRUKCIJE'!G140,0),0)</f>
        <v>0</v>
      </c>
      <c r="I57" s="858">
        <f t="shared" si="6"/>
        <v>0</v>
      </c>
    </row>
    <row r="58" spans="1:9" s="453" customFormat="1" ht="12.75">
      <c r="A58" s="1321"/>
      <c r="B58" s="852" t="s">
        <v>805</v>
      </c>
      <c r="C58" s="853"/>
      <c r="D58" s="853"/>
      <c r="E58" s="854"/>
      <c r="F58" s="855"/>
      <c r="G58" s="963" t="b">
        <v>1</v>
      </c>
      <c r="H58" s="857">
        <f>IFERROR(IF(G51=TRUE,'TEHNIČNA OPREMA'!G141,0),0)</f>
        <v>0</v>
      </c>
      <c r="I58" s="858">
        <f t="shared" si="6"/>
        <v>0</v>
      </c>
    </row>
    <row r="59" spans="1:9" s="453" customFormat="1" ht="12.75">
      <c r="A59" s="1321"/>
      <c r="B59" s="852" t="s">
        <v>806</v>
      </c>
      <c r="C59" s="853"/>
      <c r="D59" s="853"/>
      <c r="E59" s="854"/>
      <c r="F59" s="855"/>
      <c r="G59" s="963" t="b">
        <v>1</v>
      </c>
      <c r="H59" s="857">
        <f>IFERROR(IF(G51=TRUE,'TEHNIČNA OPREMA'!G193,0),0)</f>
        <v>0</v>
      </c>
      <c r="I59" s="858">
        <f t="shared" si="6"/>
        <v>0</v>
      </c>
    </row>
    <row r="60" spans="1:9" s="453" customFormat="1" ht="12.75">
      <c r="A60" s="1321"/>
      <c r="B60" s="852" t="s">
        <v>342</v>
      </c>
      <c r="C60" s="853"/>
      <c r="D60" s="853"/>
      <c r="E60" s="854"/>
      <c r="F60" s="855"/>
      <c r="G60" s="963" t="b">
        <v>1</v>
      </c>
      <c r="H60" s="857">
        <f>IFERROR(IF(G51=TRUE,'TEHNIČNA OPREMA'!G242,0),0)</f>
        <v>0</v>
      </c>
      <c r="I60" s="858">
        <f t="shared" si="6"/>
        <v>0</v>
      </c>
    </row>
    <row r="61" spans="1:9" s="453" customFormat="1" ht="12.75">
      <c r="A61" s="1321"/>
      <c r="B61" s="852" t="s">
        <v>354</v>
      </c>
      <c r="C61" s="853"/>
      <c r="D61" s="853"/>
      <c r="E61" s="854"/>
      <c r="F61" s="855"/>
      <c r="G61" s="963" t="b">
        <v>1</v>
      </c>
      <c r="H61" s="857">
        <f>IFERROR(IF(G51=TRUE,'POŽARNA VARNOST'!G160,0),0)</f>
        <v>0</v>
      </c>
      <c r="I61" s="858">
        <f t="shared" si="6"/>
        <v>0</v>
      </c>
    </row>
    <row r="62" spans="1:9" s="453" customFormat="1" ht="12.75">
      <c r="A62" s="1321"/>
      <c r="B62" s="853" t="s">
        <v>352</v>
      </c>
      <c r="C62" s="853"/>
      <c r="D62" s="853"/>
      <c r="E62" s="854"/>
      <c r="F62" s="855"/>
      <c r="G62" s="963" t="b">
        <v>1</v>
      </c>
      <c r="H62" s="857">
        <f>IFERROR(IF(G51=TRUE,'GRADBENA FIZIKA'!G145,0),0)</f>
        <v>0</v>
      </c>
      <c r="I62" s="858">
        <f t="shared" si="6"/>
        <v>0</v>
      </c>
    </row>
    <row r="63" spans="1:9" s="453" customFormat="1" ht="12.75">
      <c r="A63" s="1321"/>
      <c r="B63" s="859" t="s">
        <v>66</v>
      </c>
      <c r="C63" s="859"/>
      <c r="D63" s="859"/>
      <c r="E63" s="854"/>
      <c r="F63" s="855"/>
      <c r="G63" s="963" t="b">
        <v>1</v>
      </c>
      <c r="H63" s="857">
        <f>IFERROR(IF(G51=TRUE,'GRADBENA FIZIKA'!G191,0),0)</f>
        <v>0</v>
      </c>
      <c r="I63" s="858">
        <f t="shared" si="6"/>
        <v>0</v>
      </c>
    </row>
    <row r="64" spans="1:9" s="453" customFormat="1" ht="12.75">
      <c r="A64" s="1322"/>
      <c r="B64" s="860" t="s">
        <v>353</v>
      </c>
      <c r="C64" s="860"/>
      <c r="D64" s="860"/>
      <c r="E64" s="861"/>
      <c r="F64" s="862"/>
      <c r="G64" s="964" t="b">
        <v>1</v>
      </c>
      <c r="H64" s="863">
        <f>IFERROR(IF(G51=TRUE,'GRADBENA FIZIKA'!G237,0),0)</f>
        <v>0</v>
      </c>
      <c r="I64" s="864">
        <f t="shared" si="6"/>
        <v>0</v>
      </c>
    </row>
    <row r="65" spans="1:9" s="210" customFormat="1" ht="16.5" customHeight="1">
      <c r="A65" s="467" t="s">
        <v>49</v>
      </c>
      <c r="B65" s="495" t="s">
        <v>624</v>
      </c>
      <c r="C65" s="495"/>
      <c r="D65" s="495"/>
      <c r="E65" s="494"/>
      <c r="F65" s="494"/>
      <c r="G65" s="967" t="b">
        <v>1</v>
      </c>
      <c r="H65" s="496">
        <f>SUM(H66:H78)</f>
        <v>0</v>
      </c>
      <c r="I65" s="465">
        <f>SUM(I66:I78)</f>
        <v>0</v>
      </c>
    </row>
    <row r="66" spans="1:9" s="210" customFormat="1">
      <c r="A66" s="1321" t="s">
        <v>726</v>
      </c>
      <c r="B66" s="436" t="s">
        <v>801</v>
      </c>
      <c r="C66" s="437"/>
      <c r="D66" s="437"/>
      <c r="E66" s="438"/>
      <c r="F66" s="439"/>
      <c r="G66" s="961" t="b">
        <v>1</v>
      </c>
      <c r="H66" s="491">
        <f>IFERROR(IF(G65=TRUE,STAVBE!Q141+'NOTRANJA OPREMA'!Q123+'ODPRTI PROSTOR'!Q141,0),0)</f>
        <v>0</v>
      </c>
      <c r="I66" s="440">
        <f t="shared" ref="I66" si="7">+H66*$I$16</f>
        <v>0</v>
      </c>
    </row>
    <row r="67" spans="1:9" s="441" customFormat="1" ht="12.6" customHeight="1">
      <c r="A67" s="1321"/>
      <c r="B67" s="436" t="s">
        <v>802</v>
      </c>
      <c r="C67" s="437"/>
      <c r="D67" s="437"/>
      <c r="E67" s="438"/>
      <c r="F67" s="439"/>
      <c r="G67" s="961" t="b">
        <v>1</v>
      </c>
      <c r="H67" s="491">
        <f>IFERROR(IF((G65=TRUE),STAVBE!G141,0),0)</f>
        <v>0</v>
      </c>
      <c r="I67" s="440">
        <f>+H67*$I$16</f>
        <v>0</v>
      </c>
    </row>
    <row r="68" spans="1:9" s="441" customFormat="1" ht="12.75">
      <c r="A68" s="1321"/>
      <c r="B68" s="436" t="s">
        <v>2</v>
      </c>
      <c r="C68" s="442"/>
      <c r="D68" s="442"/>
      <c r="E68" s="443"/>
      <c r="F68" s="444"/>
      <c r="G68" s="962" t="b">
        <v>1</v>
      </c>
      <c r="H68" s="491">
        <f>IFERROR(IF((G65=TRUE),'NOTRANJA OPREMA'!G123,0),0)</f>
        <v>0</v>
      </c>
      <c r="I68" s="445">
        <f>+H68*$I$16</f>
        <v>0</v>
      </c>
    </row>
    <row r="69" spans="1:9" s="441" customFormat="1" ht="12.75">
      <c r="A69" s="1321"/>
      <c r="B69" s="436" t="s">
        <v>803</v>
      </c>
      <c r="C69" s="442"/>
      <c r="D69" s="442"/>
      <c r="E69" s="443"/>
      <c r="F69" s="444"/>
      <c r="G69" s="962" t="b">
        <v>1</v>
      </c>
      <c r="H69" s="491">
        <f>IFERROR(IF(G65=TRUE,'ODPRTI PROSTOR'!G141*'OSNOVNI PODATKI'!$F$378,0),0)</f>
        <v>0</v>
      </c>
      <c r="I69" s="445">
        <f>+H69*$I$16</f>
        <v>0</v>
      </c>
    </row>
    <row r="70" spans="1:9" s="441" customFormat="1" ht="12.75">
      <c r="A70" s="1321"/>
      <c r="B70" s="436" t="s">
        <v>804</v>
      </c>
      <c r="C70" s="442"/>
      <c r="D70" s="442"/>
      <c r="E70" s="443"/>
      <c r="F70" s="444"/>
      <c r="G70" s="962" t="b">
        <v>1</v>
      </c>
      <c r="H70" s="492">
        <f>IFERROR(IF(G65=TRUE,'ODPRTI PROSTOR'!G141*(100%-'OSNOVNI PODATKI'!$F$378),0),0)</f>
        <v>0</v>
      </c>
      <c r="I70" s="445">
        <f t="shared" ref="I70:I78" si="8">+H70*$I$16</f>
        <v>0</v>
      </c>
    </row>
    <row r="71" spans="1:9" s="453" customFormat="1" ht="12.75">
      <c r="A71" s="1321"/>
      <c r="B71" s="852" t="s">
        <v>349</v>
      </c>
      <c r="C71" s="853"/>
      <c r="D71" s="853"/>
      <c r="E71" s="854"/>
      <c r="F71" s="855"/>
      <c r="G71" s="963" t="b">
        <v>1</v>
      </c>
      <c r="H71" s="857">
        <f>IFERROR(IF(G65=TRUE,'GRADBENE KONSTRUKCIJE'!G141,0),0)</f>
        <v>0</v>
      </c>
      <c r="I71" s="858">
        <f t="shared" si="8"/>
        <v>0</v>
      </c>
    </row>
    <row r="72" spans="1:9" s="453" customFormat="1" ht="12.75">
      <c r="A72" s="1321"/>
      <c r="B72" s="852" t="s">
        <v>805</v>
      </c>
      <c r="C72" s="853"/>
      <c r="D72" s="853"/>
      <c r="E72" s="854"/>
      <c r="F72" s="855"/>
      <c r="G72" s="963" t="b">
        <v>1</v>
      </c>
      <c r="H72" s="857">
        <f>IFERROR(IF(G65=TRUE,'TEHNIČNA OPREMA'!G142,0),0)</f>
        <v>0</v>
      </c>
      <c r="I72" s="858">
        <f t="shared" si="8"/>
        <v>0</v>
      </c>
    </row>
    <row r="73" spans="1:9" s="453" customFormat="1" ht="12.75">
      <c r="A73" s="1321"/>
      <c r="B73" s="852" t="s">
        <v>806</v>
      </c>
      <c r="C73" s="853"/>
      <c r="D73" s="853"/>
      <c r="E73" s="854"/>
      <c r="F73" s="855"/>
      <c r="G73" s="963" t="b">
        <v>1</v>
      </c>
      <c r="H73" s="857">
        <f>IFERROR(IF(G65=TRUE,'TEHNIČNA OPREMA'!G194,0),0)</f>
        <v>0</v>
      </c>
      <c r="I73" s="858">
        <f t="shared" si="8"/>
        <v>0</v>
      </c>
    </row>
    <row r="74" spans="1:9" s="453" customFormat="1" ht="12.75">
      <c r="A74" s="1321"/>
      <c r="B74" s="852" t="s">
        <v>342</v>
      </c>
      <c r="C74" s="853"/>
      <c r="D74" s="853"/>
      <c r="E74" s="854"/>
      <c r="F74" s="855"/>
      <c r="G74" s="963" t="b">
        <v>1</v>
      </c>
      <c r="H74" s="857">
        <f>IFERROR(IF(G65=TRUE,'TEHNIČNA OPREMA'!G243,0),0)</f>
        <v>0</v>
      </c>
      <c r="I74" s="858">
        <f t="shared" si="8"/>
        <v>0</v>
      </c>
    </row>
    <row r="75" spans="1:9" s="453" customFormat="1" ht="12.75">
      <c r="A75" s="1321"/>
      <c r="B75" s="852" t="s">
        <v>354</v>
      </c>
      <c r="C75" s="853"/>
      <c r="D75" s="853"/>
      <c r="E75" s="854"/>
      <c r="F75" s="855"/>
      <c r="G75" s="963" t="b">
        <v>1</v>
      </c>
      <c r="H75" s="857">
        <f>IFERROR(IF(G65=TRUE,'POŽARNA VARNOST'!G161,0),0)</f>
        <v>0</v>
      </c>
      <c r="I75" s="858">
        <f t="shared" si="8"/>
        <v>0</v>
      </c>
    </row>
    <row r="76" spans="1:9" s="453" customFormat="1" ht="12.75">
      <c r="A76" s="1321"/>
      <c r="B76" s="853" t="s">
        <v>352</v>
      </c>
      <c r="C76" s="853"/>
      <c r="D76" s="853"/>
      <c r="E76" s="854"/>
      <c r="F76" s="855"/>
      <c r="G76" s="963" t="b">
        <v>1</v>
      </c>
      <c r="H76" s="857">
        <f>IFERROR(IF(G65=TRUE,'GRADBENA FIZIKA'!G146,0),0)</f>
        <v>0</v>
      </c>
      <c r="I76" s="858">
        <f t="shared" si="8"/>
        <v>0</v>
      </c>
    </row>
    <row r="77" spans="1:9" s="453" customFormat="1" ht="12.75">
      <c r="A77" s="1321"/>
      <c r="B77" s="859" t="s">
        <v>66</v>
      </c>
      <c r="C77" s="859"/>
      <c r="D77" s="859"/>
      <c r="E77" s="854"/>
      <c r="F77" s="855"/>
      <c r="G77" s="963" t="b">
        <v>1</v>
      </c>
      <c r="H77" s="857">
        <f>IFERROR(IF(G65=TRUE,'GRADBENA FIZIKA'!G192,0),0)</f>
        <v>0</v>
      </c>
      <c r="I77" s="858">
        <f t="shared" si="8"/>
        <v>0</v>
      </c>
    </row>
    <row r="78" spans="1:9" s="453" customFormat="1" ht="12.75">
      <c r="A78" s="1322"/>
      <c r="B78" s="860" t="s">
        <v>353</v>
      </c>
      <c r="C78" s="860"/>
      <c r="D78" s="860"/>
      <c r="E78" s="861"/>
      <c r="F78" s="862"/>
      <c r="G78" s="968" t="b">
        <v>1</v>
      </c>
      <c r="H78" s="863">
        <f>IFERROR(IF(G65=TRUE,'GRADBENA FIZIKA'!G238,0),0)</f>
        <v>0</v>
      </c>
      <c r="I78" s="864">
        <f t="shared" si="8"/>
        <v>0</v>
      </c>
    </row>
    <row r="79" spans="1:9" s="210" customFormat="1" ht="16.5" customHeight="1">
      <c r="A79" s="467" t="s">
        <v>50</v>
      </c>
      <c r="B79" s="495" t="s">
        <v>926</v>
      </c>
      <c r="C79" s="495"/>
      <c r="D79" s="495"/>
      <c r="E79" s="494"/>
      <c r="F79" s="494"/>
      <c r="G79" s="969"/>
      <c r="H79" s="496">
        <f>SUM(H80:H82)</f>
        <v>0</v>
      </c>
      <c r="I79" s="465">
        <f>SUM(I80:I82)</f>
        <v>0</v>
      </c>
    </row>
    <row r="80" spans="1:9" s="441" customFormat="1" ht="16.5" customHeight="1">
      <c r="A80" s="454"/>
      <c r="B80" s="437" t="s">
        <v>702</v>
      </c>
      <c r="C80" s="437"/>
      <c r="D80" s="437"/>
      <c r="E80" s="438"/>
      <c r="F80" s="439"/>
      <c r="G80" s="970" t="b">
        <v>1</v>
      </c>
      <c r="H80" s="491">
        <f>IFERROR(IF(G80=TRUE,(STAVBE!$Q$143+'ODPRTI PROSTOR'!Q143),0),0)</f>
        <v>0</v>
      </c>
      <c r="I80" s="440">
        <f>+H80*$I$16</f>
        <v>0</v>
      </c>
    </row>
    <row r="81" spans="1:9" s="441" customFormat="1" ht="16.5" customHeight="1">
      <c r="A81" s="455"/>
      <c r="B81" s="442" t="s">
        <v>703</v>
      </c>
      <c r="C81" s="442"/>
      <c r="D81" s="442"/>
      <c r="E81" s="443"/>
      <c r="F81" s="444"/>
      <c r="G81" s="971" t="b">
        <v>1</v>
      </c>
      <c r="H81" s="694">
        <f>IFERROR(IF(G81=TRUE,(STAVBE!$Q$144+'ODPRTI PROSTOR'!Q144),0),0)</f>
        <v>0</v>
      </c>
      <c r="I81" s="445">
        <f>+H81*$I$16</f>
        <v>0</v>
      </c>
    </row>
    <row r="82" spans="1:9" s="441" customFormat="1" ht="16.5" customHeight="1">
      <c r="A82" s="435"/>
      <c r="B82" s="868" t="s">
        <v>879</v>
      </c>
      <c r="C82" s="868"/>
      <c r="D82" s="868"/>
      <c r="E82" s="869"/>
      <c r="F82" s="870"/>
      <c r="G82" s="972" t="b">
        <v>1</v>
      </c>
      <c r="H82" s="872">
        <f>IFERROR(IF(G82=TRUE,(STAVBE!$Q$145+'ODPRTI PROSTOR'!Q145),0),0)</f>
        <v>0</v>
      </c>
      <c r="I82" s="871">
        <f>+H82*$I$16</f>
        <v>0</v>
      </c>
    </row>
    <row r="83" spans="1:9" s="210" customFormat="1" ht="16.5" customHeight="1">
      <c r="A83" s="467" t="s">
        <v>79</v>
      </c>
      <c r="B83" s="495" t="s">
        <v>625</v>
      </c>
      <c r="C83" s="495"/>
      <c r="D83" s="495"/>
      <c r="E83" s="494"/>
      <c r="F83" s="494"/>
      <c r="G83" s="971" t="b">
        <v>1</v>
      </c>
      <c r="H83" s="685">
        <f>SUM(H84:H96)</f>
        <v>0</v>
      </c>
      <c r="I83" s="465">
        <f>SUM(I84:I96)</f>
        <v>0</v>
      </c>
    </row>
    <row r="84" spans="1:9" s="210" customFormat="1">
      <c r="A84" s="1325" t="s">
        <v>800</v>
      </c>
      <c r="B84" s="436" t="s">
        <v>801</v>
      </c>
      <c r="C84" s="437"/>
      <c r="D84" s="437"/>
      <c r="E84" s="438"/>
      <c r="F84" s="439"/>
      <c r="G84" s="961" t="b">
        <v>1</v>
      </c>
      <c r="H84" s="491">
        <f>IFERROR(IF(G83=TRUE,STAVBE!Q146+'NOTRANJA OPREMA'!Q125+'ODPRTI PROSTOR'!Q146,0),0)</f>
        <v>0</v>
      </c>
      <c r="I84" s="440">
        <f t="shared" ref="I84" si="9">+H84*$I$16</f>
        <v>0</v>
      </c>
    </row>
    <row r="85" spans="1:9" s="441" customFormat="1" ht="12.6" customHeight="1">
      <c r="A85" s="1325"/>
      <c r="B85" s="436" t="s">
        <v>802</v>
      </c>
      <c r="C85" s="437"/>
      <c r="D85" s="437"/>
      <c r="E85" s="438"/>
      <c r="F85" s="439"/>
      <c r="G85" s="961" t="b">
        <v>1</v>
      </c>
      <c r="H85" s="491">
        <f>IFERROR(IF(G83=TRUE,STAVBE!G146,0),0)</f>
        <v>0</v>
      </c>
      <c r="I85" s="440">
        <f t="shared" ref="I85:I96" si="10">+H85*$I$16</f>
        <v>0</v>
      </c>
    </row>
    <row r="86" spans="1:9" s="441" customFormat="1" ht="12.75">
      <c r="A86" s="1325"/>
      <c r="B86" s="436" t="s">
        <v>2</v>
      </c>
      <c r="C86" s="442"/>
      <c r="D86" s="442"/>
      <c r="E86" s="443"/>
      <c r="F86" s="444"/>
      <c r="G86" s="962" t="b">
        <v>1</v>
      </c>
      <c r="H86" s="491">
        <f>IFERROR(IF(G83=TRUE,'NOTRANJA OPREMA'!G125,0),0)</f>
        <v>0</v>
      </c>
      <c r="I86" s="445">
        <f>+H86*$I$16</f>
        <v>0</v>
      </c>
    </row>
    <row r="87" spans="1:9" s="441" customFormat="1" ht="12.75">
      <c r="A87" s="1325"/>
      <c r="B87" s="436" t="s">
        <v>803</v>
      </c>
      <c r="C87" s="442"/>
      <c r="D87" s="442"/>
      <c r="E87" s="443"/>
      <c r="F87" s="444"/>
      <c r="G87" s="962" t="b">
        <v>1</v>
      </c>
      <c r="H87" s="491">
        <f>IFERROR(IF(G83=TRUE,'ODPRTI PROSTOR'!G146*'OSNOVNI PODATKI'!$F$378,0),0)</f>
        <v>0</v>
      </c>
      <c r="I87" s="445">
        <f>+H87*$I$16</f>
        <v>0</v>
      </c>
    </row>
    <row r="88" spans="1:9" s="441" customFormat="1" ht="12.75">
      <c r="A88" s="1325"/>
      <c r="B88" s="436" t="s">
        <v>804</v>
      </c>
      <c r="C88" s="442"/>
      <c r="D88" s="442"/>
      <c r="E88" s="443"/>
      <c r="F88" s="444"/>
      <c r="G88" s="962" t="b">
        <v>1</v>
      </c>
      <c r="H88" s="492">
        <f>IFERROR(IF(G83=TRUE,'ODPRTI PROSTOR'!G146*(100%-'OSNOVNI PODATKI'!$F$378),0),0)</f>
        <v>0</v>
      </c>
      <c r="I88" s="445">
        <f t="shared" ref="I88" si="11">+H88*$I$16</f>
        <v>0</v>
      </c>
    </row>
    <row r="89" spans="1:9" s="453" customFormat="1" ht="12.75">
      <c r="A89" s="1325"/>
      <c r="B89" s="852" t="s">
        <v>349</v>
      </c>
      <c r="C89" s="853"/>
      <c r="D89" s="853"/>
      <c r="E89" s="854"/>
      <c r="F89" s="855"/>
      <c r="G89" s="963" t="b">
        <v>1</v>
      </c>
      <c r="H89" s="857">
        <f>IFERROR(IF(G83=TRUE,'GRADBENE KONSTRUKCIJE'!G143,0),0)</f>
        <v>0</v>
      </c>
      <c r="I89" s="858">
        <f t="shared" si="10"/>
        <v>0</v>
      </c>
    </row>
    <row r="90" spans="1:9" s="453" customFormat="1" ht="12.75">
      <c r="A90" s="1325"/>
      <c r="B90" s="852" t="s">
        <v>805</v>
      </c>
      <c r="C90" s="853"/>
      <c r="D90" s="853"/>
      <c r="E90" s="854"/>
      <c r="F90" s="855"/>
      <c r="G90" s="963" t="b">
        <v>1</v>
      </c>
      <c r="H90" s="857">
        <f>IFERROR(IF(G83=TRUE,'TEHNIČNA OPREMA'!G144,0),0)</f>
        <v>0</v>
      </c>
      <c r="I90" s="858">
        <f t="shared" si="10"/>
        <v>0</v>
      </c>
    </row>
    <row r="91" spans="1:9" s="453" customFormat="1" ht="12.75">
      <c r="A91" s="1325"/>
      <c r="B91" s="852" t="s">
        <v>806</v>
      </c>
      <c r="C91" s="853"/>
      <c r="D91" s="853"/>
      <c r="E91" s="854"/>
      <c r="F91" s="855"/>
      <c r="G91" s="963" t="b">
        <v>1</v>
      </c>
      <c r="H91" s="857">
        <f>IFERROR(IF(G83=TRUE,'TEHNIČNA OPREMA'!G196,0),0)</f>
        <v>0</v>
      </c>
      <c r="I91" s="858">
        <f t="shared" si="10"/>
        <v>0</v>
      </c>
    </row>
    <row r="92" spans="1:9" s="453" customFormat="1" ht="12.75">
      <c r="A92" s="1325"/>
      <c r="B92" s="852" t="s">
        <v>342</v>
      </c>
      <c r="C92" s="853"/>
      <c r="D92" s="853"/>
      <c r="E92" s="854"/>
      <c r="F92" s="855"/>
      <c r="G92" s="963" t="b">
        <v>1</v>
      </c>
      <c r="H92" s="857">
        <f>IFERROR(IF(G83=TRUE,'TEHNIČNA OPREMA'!G245,0),0)</f>
        <v>0</v>
      </c>
      <c r="I92" s="858">
        <f t="shared" si="10"/>
        <v>0</v>
      </c>
    </row>
    <row r="93" spans="1:9" s="453" customFormat="1" ht="12.75">
      <c r="A93" s="1325"/>
      <c r="B93" s="852" t="s">
        <v>354</v>
      </c>
      <c r="C93" s="853"/>
      <c r="D93" s="853"/>
      <c r="E93" s="854"/>
      <c r="F93" s="855"/>
      <c r="G93" s="963" t="b">
        <v>1</v>
      </c>
      <c r="H93" s="857">
        <f>IFERROR(IF(G83=TRUE,'POŽARNA VARNOST'!G163,0),0)</f>
        <v>0</v>
      </c>
      <c r="I93" s="858">
        <f t="shared" si="10"/>
        <v>0</v>
      </c>
    </row>
    <row r="94" spans="1:9" s="453" customFormat="1" ht="12.75">
      <c r="A94" s="1325"/>
      <c r="B94" s="853" t="s">
        <v>352</v>
      </c>
      <c r="C94" s="853"/>
      <c r="D94" s="853"/>
      <c r="E94" s="854"/>
      <c r="F94" s="855"/>
      <c r="G94" s="963" t="b">
        <v>1</v>
      </c>
      <c r="H94" s="857">
        <f>IFERROR(IF(G83=TRUE,'GRADBENA FIZIKA'!G148,0),0)</f>
        <v>0</v>
      </c>
      <c r="I94" s="858">
        <f t="shared" si="10"/>
        <v>0</v>
      </c>
    </row>
    <row r="95" spans="1:9" s="453" customFormat="1" ht="12.75">
      <c r="A95" s="1325"/>
      <c r="B95" s="859" t="s">
        <v>66</v>
      </c>
      <c r="C95" s="859"/>
      <c r="D95" s="859"/>
      <c r="E95" s="854"/>
      <c r="F95" s="855"/>
      <c r="G95" s="963" t="b">
        <v>1</v>
      </c>
      <c r="H95" s="857">
        <f>IFERROR(IF(G83=TRUE,'GRADBENA FIZIKA'!G194,0),0)</f>
        <v>0</v>
      </c>
      <c r="I95" s="858">
        <f t="shared" si="10"/>
        <v>0</v>
      </c>
    </row>
    <row r="96" spans="1:9" s="453" customFormat="1" ht="12.75">
      <c r="A96" s="1326"/>
      <c r="B96" s="860" t="s">
        <v>353</v>
      </c>
      <c r="C96" s="860"/>
      <c r="D96" s="860"/>
      <c r="E96" s="861"/>
      <c r="F96" s="862"/>
      <c r="G96" s="968" t="b">
        <v>1</v>
      </c>
      <c r="H96" s="863">
        <f>IFERROR(IF(G83=TRUE,'GRADBENA FIZIKA'!G240,0),0)</f>
        <v>0</v>
      </c>
      <c r="I96" s="858">
        <f t="shared" si="10"/>
        <v>0</v>
      </c>
    </row>
    <row r="97" spans="1:9" s="210" customFormat="1" ht="16.5" customHeight="1">
      <c r="A97" s="467" t="s">
        <v>80</v>
      </c>
      <c r="B97" s="495" t="s">
        <v>696</v>
      </c>
      <c r="C97" s="495"/>
      <c r="D97" s="495"/>
      <c r="E97" s="494"/>
      <c r="F97" s="494"/>
      <c r="G97" s="973" t="b">
        <v>1</v>
      </c>
      <c r="H97" s="496">
        <f>SUM(H98:H115)</f>
        <v>0</v>
      </c>
      <c r="I97" s="465">
        <f>SUM(I98:I115)</f>
        <v>0</v>
      </c>
    </row>
    <row r="98" spans="1:9" s="210" customFormat="1">
      <c r="A98" s="1327" t="s">
        <v>917</v>
      </c>
      <c r="B98" s="436" t="s">
        <v>932</v>
      </c>
      <c r="C98" s="437"/>
      <c r="D98" s="437"/>
      <c r="E98" s="438"/>
      <c r="F98" s="439"/>
      <c r="G98" s="961" t="b">
        <v>1</v>
      </c>
      <c r="H98" s="491"/>
      <c r="I98" s="440"/>
    </row>
    <row r="99" spans="1:9" s="210" customFormat="1" ht="14.25" customHeight="1">
      <c r="A99" s="1325"/>
      <c r="B99" s="436" t="s">
        <v>801</v>
      </c>
      <c r="C99" s="437"/>
      <c r="D99" s="437"/>
      <c r="E99" s="438"/>
      <c r="F99" s="439"/>
      <c r="G99" s="961" t="b">
        <v>1</v>
      </c>
      <c r="H99" s="491">
        <f>IFERROR(IF(G97=TRUE,STAVBE!Q147+'NOTRANJA OPREMA'!Q126+'ODPRTI PROSTOR'!Q147,0),0)</f>
        <v>0</v>
      </c>
      <c r="I99" s="440">
        <f t="shared" ref="I99:I100" si="12">+H99*$I$16</f>
        <v>0</v>
      </c>
    </row>
    <row r="100" spans="1:9" s="441" customFormat="1" ht="12.6" customHeight="1">
      <c r="A100" s="1325"/>
      <c r="B100" s="436" t="s">
        <v>802</v>
      </c>
      <c r="C100" s="437"/>
      <c r="D100" s="437"/>
      <c r="E100" s="438"/>
      <c r="F100" s="439"/>
      <c r="G100" s="961" t="b">
        <v>1</v>
      </c>
      <c r="H100" s="491">
        <f>IFERROR(IF(G97=TRUE,STAVBE!G147,0),0)</f>
        <v>0</v>
      </c>
      <c r="I100" s="440">
        <f t="shared" si="12"/>
        <v>0</v>
      </c>
    </row>
    <row r="101" spans="1:9" s="441" customFormat="1" ht="12.75">
      <c r="A101" s="1325"/>
      <c r="B101" s="436" t="s">
        <v>2</v>
      </c>
      <c r="C101" s="442"/>
      <c r="D101" s="442"/>
      <c r="E101" s="443"/>
      <c r="F101" s="444"/>
      <c r="G101" s="962" t="b">
        <v>1</v>
      </c>
      <c r="H101" s="491">
        <f>IFERROR(IF(G97=TRUE,'NOTRANJA OPREMA'!G126,0),0)</f>
        <v>0</v>
      </c>
      <c r="I101" s="445">
        <f>+H101*$I$16</f>
        <v>0</v>
      </c>
    </row>
    <row r="102" spans="1:9" s="441" customFormat="1" ht="12.75">
      <c r="A102" s="1325"/>
      <c r="B102" s="436" t="s">
        <v>803</v>
      </c>
      <c r="C102" s="442"/>
      <c r="D102" s="442"/>
      <c r="E102" s="443"/>
      <c r="F102" s="444"/>
      <c r="G102" s="962" t="b">
        <v>1</v>
      </c>
      <c r="H102" s="491">
        <f>IFERROR(IF(G97=TRUE,'ODPRTI PROSTOR'!G147*'OSNOVNI PODATKI'!$F$378,0),0)</f>
        <v>0</v>
      </c>
      <c r="I102" s="445">
        <f>+H102*$I$16</f>
        <v>0</v>
      </c>
    </row>
    <row r="103" spans="1:9" s="441" customFormat="1" ht="12.75">
      <c r="A103" s="1325"/>
      <c r="B103" s="436" t="s">
        <v>804</v>
      </c>
      <c r="C103" s="442"/>
      <c r="D103" s="442"/>
      <c r="E103" s="443"/>
      <c r="F103" s="444"/>
      <c r="G103" s="962" t="b">
        <v>1</v>
      </c>
      <c r="H103" s="492">
        <f>IFERROR(IF(G97=TRUE,'ODPRTI PROSTOR'!G147*(100%-'OSNOVNI PODATKI'!$F$378),0),0)</f>
        <v>0</v>
      </c>
      <c r="I103" s="445">
        <f t="shared" ref="I103:I106" si="13">+H103*$I$16</f>
        <v>0</v>
      </c>
    </row>
    <row r="104" spans="1:9" s="453" customFormat="1" ht="12.75">
      <c r="A104" s="1325"/>
      <c r="B104" s="852" t="s">
        <v>805</v>
      </c>
      <c r="C104" s="853"/>
      <c r="D104" s="853"/>
      <c r="E104" s="854"/>
      <c r="F104" s="855"/>
      <c r="G104" s="963" t="b">
        <v>1</v>
      </c>
      <c r="H104" s="857">
        <f>IFERROR(IF(G97=TRUE,'TEHNIČNA OPREMA'!G145,0),0)</f>
        <v>0</v>
      </c>
      <c r="I104" s="858">
        <f t="shared" si="13"/>
        <v>0</v>
      </c>
    </row>
    <row r="105" spans="1:9" s="453" customFormat="1" ht="12.75">
      <c r="A105" s="1325"/>
      <c r="B105" s="852" t="s">
        <v>806</v>
      </c>
      <c r="C105" s="853"/>
      <c r="D105" s="853"/>
      <c r="E105" s="854"/>
      <c r="F105" s="855"/>
      <c r="G105" s="963" t="b">
        <v>1</v>
      </c>
      <c r="H105" s="857">
        <f>IFERROR(IF(G97=TRUE,'TEHNIČNA OPREMA'!G197,0),0)</f>
        <v>0</v>
      </c>
      <c r="I105" s="858">
        <f t="shared" si="13"/>
        <v>0</v>
      </c>
    </row>
    <row r="106" spans="1:9" s="453" customFormat="1" ht="12.75">
      <c r="A106" s="1326"/>
      <c r="B106" s="873" t="s">
        <v>342</v>
      </c>
      <c r="C106" s="874"/>
      <c r="D106" s="874"/>
      <c r="E106" s="875"/>
      <c r="F106" s="876"/>
      <c r="G106" s="964" t="b">
        <v>1</v>
      </c>
      <c r="H106" s="877">
        <f>IFERROR(IF(G97=TRUE,'TEHNIČNA OPREMA'!G246,0),0)</f>
        <v>0</v>
      </c>
      <c r="I106" s="864">
        <f t="shared" si="13"/>
        <v>0</v>
      </c>
    </row>
    <row r="107" spans="1:9" s="441" customFormat="1" ht="16.5" customHeight="1">
      <c r="A107" s="435"/>
      <c r="B107" s="878" t="s">
        <v>797</v>
      </c>
      <c r="C107" s="437"/>
      <c r="D107" s="437"/>
      <c r="E107" s="438"/>
      <c r="F107" s="439"/>
      <c r="G107" s="970" t="b">
        <v>0</v>
      </c>
      <c r="H107" s="845"/>
      <c r="I107" s="791"/>
    </row>
    <row r="108" spans="1:9" s="441" customFormat="1" ht="12.6" customHeight="1">
      <c r="A108" s="435"/>
      <c r="B108" s="879" t="s">
        <v>802</v>
      </c>
      <c r="C108" s="437"/>
      <c r="D108" s="437"/>
      <c r="E108" s="438"/>
      <c r="F108" s="439"/>
      <c r="G108" s="961" t="b">
        <v>1</v>
      </c>
      <c r="H108" s="888">
        <f>IFERROR(IF(G107=TRUE,(STAVBE!$G148),0),0)</f>
        <v>0</v>
      </c>
      <c r="I108" s="882">
        <f t="shared" ref="I108" si="14">+H108*$I$16</f>
        <v>0</v>
      </c>
    </row>
    <row r="109" spans="1:9" s="441" customFormat="1" ht="12.75">
      <c r="A109" s="435"/>
      <c r="B109" s="879" t="s">
        <v>2</v>
      </c>
      <c r="C109" s="442"/>
      <c r="D109" s="442"/>
      <c r="E109" s="443"/>
      <c r="F109" s="444"/>
      <c r="G109" s="962" t="b">
        <v>1</v>
      </c>
      <c r="H109" s="888">
        <f>IFERROR(IF(G107=TRUE,('NOTRANJA OPREMA'!G127),0),0)</f>
        <v>0</v>
      </c>
      <c r="I109" s="883">
        <f>+H109*$I$16</f>
        <v>0</v>
      </c>
    </row>
    <row r="110" spans="1:9" s="441" customFormat="1" ht="12.75">
      <c r="A110" s="435"/>
      <c r="B110" s="879" t="s">
        <v>803</v>
      </c>
      <c r="C110" s="442"/>
      <c r="D110" s="442"/>
      <c r="E110" s="443"/>
      <c r="F110" s="444"/>
      <c r="G110" s="962" t="b">
        <v>1</v>
      </c>
      <c r="H110" s="888">
        <f>IFERROR(IF(G107=TRUE,('ODPRTI PROSTOR'!G148*'OSNOVNI PODATKI'!$F$378),0),0)</f>
        <v>0</v>
      </c>
      <c r="I110" s="883">
        <f>+H110*$I$16</f>
        <v>0</v>
      </c>
    </row>
    <row r="111" spans="1:9" s="441" customFormat="1" ht="12.75">
      <c r="A111" s="435"/>
      <c r="B111" s="879" t="s">
        <v>804</v>
      </c>
      <c r="C111" s="442"/>
      <c r="D111" s="442"/>
      <c r="E111" s="443"/>
      <c r="F111" s="444"/>
      <c r="G111" s="962" t="b">
        <v>1</v>
      </c>
      <c r="H111" s="889">
        <f>IFERROR(IF(G107=TRUE,('ODPRTI PROSTOR'!G148*(100%-'OSNOVNI PODATKI'!$F$378)),0),0)</f>
        <v>0</v>
      </c>
      <c r="I111" s="883">
        <f t="shared" ref="I111:I114" si="15">+H111*$I$16</f>
        <v>0</v>
      </c>
    </row>
    <row r="112" spans="1:9" s="453" customFormat="1" ht="12.75">
      <c r="A112" s="435"/>
      <c r="B112" s="880" t="s">
        <v>805</v>
      </c>
      <c r="C112" s="450"/>
      <c r="D112" s="450"/>
      <c r="E112" s="451"/>
      <c r="F112" s="452"/>
      <c r="G112" s="974" t="b">
        <v>1</v>
      </c>
      <c r="H112" s="890">
        <f>IFERROR(IF(G107=TRUE,('TEHNIČNA OPREMA'!G146),0),0)</f>
        <v>0</v>
      </c>
      <c r="I112" s="884">
        <f t="shared" si="15"/>
        <v>0</v>
      </c>
    </row>
    <row r="113" spans="1:9" s="453" customFormat="1" ht="12.75">
      <c r="A113" s="435"/>
      <c r="B113" s="880" t="s">
        <v>806</v>
      </c>
      <c r="C113" s="450"/>
      <c r="D113" s="450"/>
      <c r="E113" s="451"/>
      <c r="F113" s="452"/>
      <c r="G113" s="974" t="b">
        <v>1</v>
      </c>
      <c r="H113" s="890">
        <f>IFERROR(IF(G107=TRUE,('TEHNIČNA OPREMA'!G198),0),0)</f>
        <v>0</v>
      </c>
      <c r="I113" s="884">
        <f t="shared" si="15"/>
        <v>0</v>
      </c>
    </row>
    <row r="114" spans="1:9" s="453" customFormat="1" ht="12.75">
      <c r="A114" s="798"/>
      <c r="B114" s="881" t="s">
        <v>342</v>
      </c>
      <c r="C114" s="456"/>
      <c r="D114" s="456"/>
      <c r="E114" s="457"/>
      <c r="F114" s="458"/>
      <c r="G114" s="975" t="b">
        <v>1</v>
      </c>
      <c r="H114" s="891">
        <f>IFERROR(IF(G107=TRUE,('TEHNIČNA OPREMA'!G247),0),0)</f>
        <v>0</v>
      </c>
      <c r="I114" s="885">
        <f t="shared" si="15"/>
        <v>0</v>
      </c>
    </row>
    <row r="115" spans="1:9" s="441" customFormat="1" ht="16.5" customHeight="1">
      <c r="A115" s="435"/>
      <c r="B115" s="887" t="s">
        <v>868</v>
      </c>
      <c r="C115" s="774"/>
      <c r="D115" s="774"/>
      <c r="E115" s="775"/>
      <c r="F115" s="776"/>
      <c r="G115" s="976" t="b">
        <v>0</v>
      </c>
      <c r="H115" s="892">
        <f>IFERROR(IF(G115=TRUE,(STAVBE!$Q149+'NOTRANJA OPREMA'!Q128+'ODPRTI PROSTOR'!Q149),0),0)</f>
        <v>0</v>
      </c>
      <c r="I115" s="886">
        <f>+H115*$I$16</f>
        <v>0</v>
      </c>
    </row>
    <row r="116" spans="1:9" s="671" customFormat="1" ht="16.5">
      <c r="A116" s="678" t="s">
        <v>36</v>
      </c>
      <c r="B116" s="673" t="s">
        <v>101</v>
      </c>
      <c r="C116" s="673"/>
      <c r="D116" s="673"/>
      <c r="E116" s="674"/>
      <c r="F116" s="675"/>
      <c r="G116" s="959"/>
      <c r="H116" s="676">
        <f>+H117+H127</f>
        <v>0</v>
      </c>
      <c r="I116" s="677">
        <f>+I117+I127</f>
        <v>0</v>
      </c>
    </row>
    <row r="117" spans="1:9" s="211" customFormat="1" ht="16.5" customHeight="1">
      <c r="A117" s="467" t="s">
        <v>37</v>
      </c>
      <c r="B117" s="465" t="s">
        <v>697</v>
      </c>
      <c r="C117" s="465"/>
      <c r="D117" s="465"/>
      <c r="E117" s="497"/>
      <c r="F117" s="498"/>
      <c r="G117" s="967" t="b">
        <v>0</v>
      </c>
      <c r="H117" s="499">
        <f>SUM(H118:H126)</f>
        <v>0</v>
      </c>
      <c r="I117" s="465">
        <f>SUM(I118:I126)</f>
        <v>0</v>
      </c>
    </row>
    <row r="118" spans="1:9" s="210" customFormat="1">
      <c r="A118" s="639"/>
      <c r="B118" s="436" t="s">
        <v>801</v>
      </c>
      <c r="C118" s="437"/>
      <c r="D118" s="437"/>
      <c r="E118" s="438"/>
      <c r="F118" s="439"/>
      <c r="G118" s="961" t="b">
        <v>1</v>
      </c>
      <c r="H118" s="491">
        <f>IFERROR(IF(G117=TRUE,STAVBE!Q151+'NOTRANJA OPREMA'!Q130+'ODPRTI PROSTOR'!Q151,0),0)</f>
        <v>0</v>
      </c>
      <c r="I118" s="440">
        <f t="shared" ref="I118:I119" si="16">+H118*$I$16</f>
        <v>0</v>
      </c>
    </row>
    <row r="119" spans="1:9" s="441" customFormat="1" ht="12.75">
      <c r="A119" s="1324"/>
      <c r="B119" s="436" t="s">
        <v>802</v>
      </c>
      <c r="C119" s="437"/>
      <c r="D119" s="437"/>
      <c r="E119" s="438"/>
      <c r="F119" s="439"/>
      <c r="G119" s="961" t="b">
        <v>1</v>
      </c>
      <c r="H119" s="491">
        <f>IFERROR(IF(G117=TRUE,STAVBE!G151,0),0)</f>
        <v>0</v>
      </c>
      <c r="I119" s="440">
        <f t="shared" si="16"/>
        <v>0</v>
      </c>
    </row>
    <row r="120" spans="1:9" s="441" customFormat="1" ht="12.75">
      <c r="A120" s="1324"/>
      <c r="B120" s="436" t="s">
        <v>2</v>
      </c>
      <c r="C120" s="442"/>
      <c r="D120" s="442"/>
      <c r="E120" s="443"/>
      <c r="F120" s="444"/>
      <c r="G120" s="962" t="b">
        <v>1</v>
      </c>
      <c r="H120" s="491">
        <f>IFERROR(IF(G117=TRUE,'NOTRANJA OPREMA'!G130,0),0)</f>
        <v>0</v>
      </c>
      <c r="I120" s="445">
        <f>+H120*$I$16</f>
        <v>0</v>
      </c>
    </row>
    <row r="121" spans="1:9" s="441" customFormat="1" ht="12.75">
      <c r="A121" s="1324"/>
      <c r="B121" s="436" t="s">
        <v>803</v>
      </c>
      <c r="C121" s="442"/>
      <c r="D121" s="442"/>
      <c r="E121" s="443"/>
      <c r="F121" s="444"/>
      <c r="G121" s="961" t="b">
        <v>1</v>
      </c>
      <c r="H121" s="491">
        <f>IFERROR(IF(G117=TRUE,'ODPRTI PROSTOR'!G151*'OSNOVNI PODATKI'!$F$378,0),0)</f>
        <v>0</v>
      </c>
      <c r="I121" s="445">
        <f t="shared" ref="I121:I125" si="17">+H121*$I$16</f>
        <v>0</v>
      </c>
    </row>
    <row r="122" spans="1:9" s="441" customFormat="1" ht="12.75">
      <c r="A122" s="1324"/>
      <c r="B122" s="436" t="s">
        <v>804</v>
      </c>
      <c r="C122" s="442"/>
      <c r="D122" s="442"/>
      <c r="E122" s="443"/>
      <c r="F122" s="444"/>
      <c r="G122" s="961" t="b">
        <v>1</v>
      </c>
      <c r="H122" s="492">
        <f>IFERROR(IF(G117=TRUE,'ODPRTI PROSTOR'!G151*(100%-'OSNOVNI PODATKI'!$F$378),0),0)</f>
        <v>0</v>
      </c>
      <c r="I122" s="445">
        <f t="shared" si="17"/>
        <v>0</v>
      </c>
    </row>
    <row r="123" spans="1:9" s="453" customFormat="1" ht="12.75">
      <c r="A123" s="1324"/>
      <c r="B123" s="852" t="s">
        <v>805</v>
      </c>
      <c r="C123" s="853"/>
      <c r="D123" s="853"/>
      <c r="E123" s="854"/>
      <c r="F123" s="855"/>
      <c r="G123" s="977" t="b">
        <v>1</v>
      </c>
      <c r="H123" s="857">
        <f>IFERROR(IF(G117=TRUE,'TEHNIČNA OPREMA'!G148,0),0)</f>
        <v>0</v>
      </c>
      <c r="I123" s="858">
        <f t="shared" si="17"/>
        <v>0</v>
      </c>
    </row>
    <row r="124" spans="1:9" s="453" customFormat="1" ht="12.75">
      <c r="A124" s="1324"/>
      <c r="B124" s="852" t="s">
        <v>806</v>
      </c>
      <c r="C124" s="853"/>
      <c r="D124" s="853"/>
      <c r="E124" s="854"/>
      <c r="F124" s="855"/>
      <c r="G124" s="977" t="b">
        <v>1</v>
      </c>
      <c r="H124" s="857">
        <f>IFERROR(IF(G117=TRUE,'TEHNIČNA OPREMA'!G200,0),0)</f>
        <v>0</v>
      </c>
      <c r="I124" s="858">
        <f t="shared" si="17"/>
        <v>0</v>
      </c>
    </row>
    <row r="125" spans="1:9" s="453" customFormat="1" ht="12.75">
      <c r="A125" s="1324"/>
      <c r="B125" s="893" t="s">
        <v>342</v>
      </c>
      <c r="C125" s="853"/>
      <c r="D125" s="853"/>
      <c r="E125" s="854"/>
      <c r="F125" s="855"/>
      <c r="G125" s="978" t="b">
        <v>1</v>
      </c>
      <c r="H125" s="857">
        <f>IFERROR(IF(G117=TRUE,'TEHNIČNA OPREMA'!G249,0),0)</f>
        <v>0</v>
      </c>
      <c r="I125" s="858">
        <f t="shared" si="17"/>
        <v>0</v>
      </c>
    </row>
    <row r="126" spans="1:9" s="441" customFormat="1" ht="16.5" customHeight="1">
      <c r="A126" s="798"/>
      <c r="B126" s="887" t="s">
        <v>869</v>
      </c>
      <c r="C126" s="865"/>
      <c r="D126" s="865"/>
      <c r="E126" s="866"/>
      <c r="F126" s="867"/>
      <c r="G126" s="979" t="b">
        <v>0</v>
      </c>
      <c r="H126" s="895">
        <f>IFERROR(IF(G126=TRUE,(STAVBE!$Q152+'ODPRTI PROSTOR'!Q152),0),0)</f>
        <v>0</v>
      </c>
      <c r="I126" s="894">
        <f>+H126*$I$16</f>
        <v>0</v>
      </c>
    </row>
    <row r="127" spans="1:9" s="211" customFormat="1" ht="16.5" customHeight="1">
      <c r="A127" s="467" t="s">
        <v>38</v>
      </c>
      <c r="B127" s="465" t="s">
        <v>180</v>
      </c>
      <c r="C127" s="465"/>
      <c r="D127" s="465"/>
      <c r="E127" s="497"/>
      <c r="F127" s="498"/>
      <c r="G127" s="967" t="b">
        <v>0</v>
      </c>
      <c r="H127" s="499">
        <f>SUM(H128:H136)</f>
        <v>0</v>
      </c>
      <c r="I127" s="465">
        <f>SUM(I128:I136)</f>
        <v>0</v>
      </c>
    </row>
    <row r="128" spans="1:9" s="210" customFormat="1">
      <c r="A128" s="639"/>
      <c r="B128" s="436" t="s">
        <v>801</v>
      </c>
      <c r="C128" s="437"/>
      <c r="D128" s="437"/>
      <c r="E128" s="438"/>
      <c r="F128" s="439"/>
      <c r="G128" s="961" t="b">
        <v>0</v>
      </c>
      <c r="H128" s="491">
        <f>IFERROR(IF(G127=TRUE,STAVBE!Q153+'NOTRANJA OPREMA'!Q132+'ODPRTI PROSTOR'!Q153,0),0)</f>
        <v>0</v>
      </c>
      <c r="I128" s="440">
        <f t="shared" ref="I128:I129" si="18">+H128*$I$16</f>
        <v>0</v>
      </c>
    </row>
    <row r="129" spans="1:9" s="441" customFormat="1" ht="12.75">
      <c r="A129" s="1324"/>
      <c r="B129" s="436" t="s">
        <v>802</v>
      </c>
      <c r="C129" s="437"/>
      <c r="D129" s="437"/>
      <c r="E129" s="438"/>
      <c r="F129" s="439"/>
      <c r="G129" s="961" t="b">
        <v>0</v>
      </c>
      <c r="H129" s="491">
        <f>IFERROR(IF(G127=TRUE,STAVBE!G153,0),0)</f>
        <v>0</v>
      </c>
      <c r="I129" s="440">
        <f t="shared" si="18"/>
        <v>0</v>
      </c>
    </row>
    <row r="130" spans="1:9" s="441" customFormat="1" ht="12.75">
      <c r="A130" s="1324"/>
      <c r="B130" s="436" t="s">
        <v>2</v>
      </c>
      <c r="C130" s="442"/>
      <c r="D130" s="442"/>
      <c r="E130" s="443"/>
      <c r="F130" s="444"/>
      <c r="G130" s="962" t="b">
        <v>0</v>
      </c>
      <c r="H130" s="491">
        <f>IFERROR(IF(G127=TRUE,'NOTRANJA OPREMA'!G132,0),0)</f>
        <v>0</v>
      </c>
      <c r="I130" s="445">
        <f>+H130*$I$16</f>
        <v>0</v>
      </c>
    </row>
    <row r="131" spans="1:9" s="441" customFormat="1" ht="12.75">
      <c r="A131" s="1324"/>
      <c r="B131" s="436" t="s">
        <v>803</v>
      </c>
      <c r="C131" s="442"/>
      <c r="D131" s="442"/>
      <c r="E131" s="443"/>
      <c r="F131" s="444"/>
      <c r="G131" s="962" t="b">
        <v>0</v>
      </c>
      <c r="H131" s="491">
        <f>IFERROR(IF(G127=TRUE,'ODPRTI PROSTOR'!G153*'OSNOVNI PODATKI'!$F$378,0),0)</f>
        <v>0</v>
      </c>
      <c r="I131" s="445">
        <f t="shared" ref="I131:I135" si="19">+H131*$I$16</f>
        <v>0</v>
      </c>
    </row>
    <row r="132" spans="1:9" s="441" customFormat="1" ht="12.75">
      <c r="A132" s="1324"/>
      <c r="B132" s="436" t="s">
        <v>804</v>
      </c>
      <c r="C132" s="442"/>
      <c r="D132" s="442"/>
      <c r="E132" s="443"/>
      <c r="F132" s="444"/>
      <c r="G132" s="961" t="b">
        <v>0</v>
      </c>
      <c r="H132" s="492">
        <f>IFERROR(IF(G127=TRUE,'ODPRTI PROSTOR'!G153*(100%-'OSNOVNI PODATKI'!$F$378),0),0)</f>
        <v>0</v>
      </c>
      <c r="I132" s="445">
        <f t="shared" si="19"/>
        <v>0</v>
      </c>
    </row>
    <row r="133" spans="1:9" s="453" customFormat="1" ht="12.75">
      <c r="A133" s="1324"/>
      <c r="B133" s="852" t="s">
        <v>805</v>
      </c>
      <c r="C133" s="853"/>
      <c r="D133" s="853"/>
      <c r="E133" s="854"/>
      <c r="F133" s="855"/>
      <c r="G133" s="977" t="b">
        <v>0</v>
      </c>
      <c r="H133" s="857">
        <f>IFERROR(IF(G127=TRUE,'TEHNIČNA OPREMA'!G149,0),0)</f>
        <v>0</v>
      </c>
      <c r="I133" s="858">
        <f t="shared" si="19"/>
        <v>0</v>
      </c>
    </row>
    <row r="134" spans="1:9" s="453" customFormat="1" ht="12.75">
      <c r="A134" s="1324"/>
      <c r="B134" s="852" t="s">
        <v>806</v>
      </c>
      <c r="C134" s="853"/>
      <c r="D134" s="853"/>
      <c r="E134" s="854"/>
      <c r="F134" s="855"/>
      <c r="G134" s="977" t="b">
        <v>0</v>
      </c>
      <c r="H134" s="857">
        <f>IFERROR(IF(G127=TRUE,'TEHNIČNA OPREMA'!G201,0),0)</f>
        <v>0</v>
      </c>
      <c r="I134" s="858">
        <f t="shared" si="19"/>
        <v>0</v>
      </c>
    </row>
    <row r="135" spans="1:9" s="453" customFormat="1" ht="12.75">
      <c r="A135" s="1324"/>
      <c r="B135" s="893" t="s">
        <v>342</v>
      </c>
      <c r="C135" s="853"/>
      <c r="D135" s="853"/>
      <c r="E135" s="854"/>
      <c r="F135" s="855"/>
      <c r="G135" s="978" t="b">
        <v>0</v>
      </c>
      <c r="H135" s="857">
        <f>IFERROR(IF(G127=TRUE,'TEHNIČNA OPREMA'!G250,0),0)</f>
        <v>0</v>
      </c>
      <c r="I135" s="858">
        <f t="shared" si="19"/>
        <v>0</v>
      </c>
    </row>
    <row r="136" spans="1:9" s="441" customFormat="1" ht="16.5" customHeight="1">
      <c r="A136" s="435"/>
      <c r="B136" s="887" t="s">
        <v>869</v>
      </c>
      <c r="C136" s="865"/>
      <c r="D136" s="865"/>
      <c r="E136" s="866"/>
      <c r="F136" s="867"/>
      <c r="G136" s="979" t="b">
        <v>0</v>
      </c>
      <c r="H136" s="895">
        <f>IFERROR(IF(G136=TRUE,(STAVBE!$Q154+'NOTRANJA OPREMA'!Q133+'ODPRTI PROSTOR'!Q154),0),0)</f>
        <v>0</v>
      </c>
      <c r="I136" s="894">
        <f>+H136*$I$16</f>
        <v>0</v>
      </c>
    </row>
    <row r="137" spans="1:9" s="671" customFormat="1" ht="16.5">
      <c r="A137" s="672">
        <v>4</v>
      </c>
      <c r="B137" s="673" t="s">
        <v>57</v>
      </c>
      <c r="C137" s="673"/>
      <c r="D137" s="673"/>
      <c r="E137" s="674"/>
      <c r="F137" s="675"/>
      <c r="G137" s="959"/>
      <c r="H137" s="676">
        <f>H138+H139+H157+H173+H191</f>
        <v>0</v>
      </c>
      <c r="I137" s="677">
        <f>+I138+I139+I157+I173+I191</f>
        <v>0</v>
      </c>
    </row>
    <row r="138" spans="1:9" s="211" customFormat="1" ht="16.5" customHeight="1">
      <c r="A138" s="467" t="s">
        <v>39</v>
      </c>
      <c r="B138" s="465" t="s">
        <v>181</v>
      </c>
      <c r="C138" s="465"/>
      <c r="D138" s="465"/>
      <c r="E138" s="497"/>
      <c r="F138" s="498"/>
      <c r="G138" s="960" t="b">
        <v>0</v>
      </c>
      <c r="H138" s="499">
        <f>IFERROR(IF(G138=TRUE,(STAVBE!Q156+'NOTRANJA OPREMA'!Q135+'ODPRTI PROSTOR'!Q156),0),0)</f>
        <v>0</v>
      </c>
      <c r="I138" s="465">
        <f>+H138*$I$16</f>
        <v>0</v>
      </c>
    </row>
    <row r="139" spans="1:9" s="211" customFormat="1" ht="16.5" customHeight="1">
      <c r="A139" s="467" t="s">
        <v>40</v>
      </c>
      <c r="B139" s="465" t="s">
        <v>950</v>
      </c>
      <c r="C139" s="465"/>
      <c r="D139" s="465"/>
      <c r="E139" s="497"/>
      <c r="F139" s="498"/>
      <c r="G139" s="980" t="b">
        <v>0</v>
      </c>
      <c r="H139" s="499">
        <f>SUM(H140:H156)</f>
        <v>0</v>
      </c>
      <c r="I139" s="465">
        <f>SUM(I140:I156)</f>
        <v>0</v>
      </c>
    </row>
    <row r="140" spans="1:9" s="210" customFormat="1">
      <c r="A140" s="639"/>
      <c r="B140" s="436" t="s">
        <v>801</v>
      </c>
      <c r="C140" s="437"/>
      <c r="D140" s="437"/>
      <c r="E140" s="438"/>
      <c r="F140" s="439"/>
      <c r="G140" s="981" t="b">
        <v>1</v>
      </c>
      <c r="H140" s="491">
        <f>IFERROR(IF(G139=TRUE,(STAVBE!Q157+'NOTRANJA OPREMA'!Q136+'ODPRTI PROSTOR'!Q157),0),0)</f>
        <v>0</v>
      </c>
      <c r="I140" s="440">
        <f t="shared" ref="I140" si="20">+H140*$I$16</f>
        <v>0</v>
      </c>
    </row>
    <row r="141" spans="1:9" s="441" customFormat="1" ht="12.75">
      <c r="A141" s="435"/>
      <c r="B141" s="436" t="s">
        <v>802</v>
      </c>
      <c r="C141" s="437"/>
      <c r="D141" s="437"/>
      <c r="E141" s="438"/>
      <c r="F141" s="439"/>
      <c r="G141" s="961" t="b">
        <v>1</v>
      </c>
      <c r="H141" s="491">
        <f>IFERROR(IF(G139=TRUE,STAVBE!G157,0),0)</f>
        <v>0</v>
      </c>
      <c r="I141" s="440">
        <f t="shared" ref="I141" si="21">+H141*$I$16</f>
        <v>0</v>
      </c>
    </row>
    <row r="142" spans="1:9" s="441" customFormat="1" ht="12.75">
      <c r="A142" s="435"/>
      <c r="B142" s="436" t="s">
        <v>2</v>
      </c>
      <c r="C142" s="442"/>
      <c r="D142" s="442"/>
      <c r="E142" s="443"/>
      <c r="F142" s="444"/>
      <c r="G142" s="962" t="b">
        <v>1</v>
      </c>
      <c r="H142" s="491">
        <f>IFERROR(IF(G139=TRUE,'NOTRANJA OPREMA'!G136,0),0)</f>
        <v>0</v>
      </c>
      <c r="I142" s="445">
        <f>+H142*$I$16</f>
        <v>0</v>
      </c>
    </row>
    <row r="143" spans="1:9" s="441" customFormat="1" ht="12.75">
      <c r="A143" s="435"/>
      <c r="B143" s="436" t="s">
        <v>803</v>
      </c>
      <c r="C143" s="442"/>
      <c r="D143" s="442"/>
      <c r="E143" s="443"/>
      <c r="F143" s="444"/>
      <c r="G143" s="962" t="b">
        <v>1</v>
      </c>
      <c r="H143" s="491">
        <f>IFERROR(IF(G139=TRUE,'ODPRTI PROSTOR'!G157*'OSNOVNI PODATKI'!$F$378,0),0)</f>
        <v>0</v>
      </c>
      <c r="I143" s="445">
        <f>+H143*$I$16</f>
        <v>0</v>
      </c>
    </row>
    <row r="144" spans="1:9" s="441" customFormat="1" ht="12.75">
      <c r="A144" s="435"/>
      <c r="B144" s="436" t="s">
        <v>804</v>
      </c>
      <c r="C144" s="442"/>
      <c r="D144" s="442"/>
      <c r="E144" s="443"/>
      <c r="F144" s="444"/>
      <c r="G144" s="962" t="b">
        <v>1</v>
      </c>
      <c r="H144" s="492">
        <f>IFERROR(IF(G139=TRUE,'ODPRTI PROSTOR'!G157*(100%-'OSNOVNI PODATKI'!$F$378),0),0)</f>
        <v>0</v>
      </c>
      <c r="I144" s="445">
        <f t="shared" ref="I144:I147" si="22">+H144*$I$16</f>
        <v>0</v>
      </c>
    </row>
    <row r="145" spans="1:9" s="453" customFormat="1" ht="12.75">
      <c r="A145" s="449"/>
      <c r="B145" s="852" t="s">
        <v>805</v>
      </c>
      <c r="C145" s="853"/>
      <c r="D145" s="853"/>
      <c r="E145" s="854"/>
      <c r="F145" s="855"/>
      <c r="G145" s="963" t="b">
        <v>1</v>
      </c>
      <c r="H145" s="857">
        <f>IFERROR(IF(G139=TRUE,'TEHNIČNA OPREMA'!G152,0),0)</f>
        <v>0</v>
      </c>
      <c r="I145" s="858">
        <f t="shared" si="22"/>
        <v>0</v>
      </c>
    </row>
    <row r="146" spans="1:9" s="453" customFormat="1" ht="12.75">
      <c r="A146" s="449"/>
      <c r="B146" s="852" t="s">
        <v>806</v>
      </c>
      <c r="C146" s="853"/>
      <c r="D146" s="853"/>
      <c r="E146" s="854"/>
      <c r="F146" s="855"/>
      <c r="G146" s="963" t="b">
        <v>1</v>
      </c>
      <c r="H146" s="857">
        <f>IFERROR(IF(G139=TRUE,'TEHNIČNA OPREMA'!G204,0),0)</f>
        <v>0</v>
      </c>
      <c r="I146" s="858">
        <f t="shared" si="22"/>
        <v>0</v>
      </c>
    </row>
    <row r="147" spans="1:9" s="453" customFormat="1" ht="12.75">
      <c r="A147" s="843"/>
      <c r="B147" s="896" t="s">
        <v>342</v>
      </c>
      <c r="C147" s="874"/>
      <c r="D147" s="874"/>
      <c r="E147" s="875"/>
      <c r="F147" s="876"/>
      <c r="G147" s="964" t="b">
        <v>1</v>
      </c>
      <c r="H147" s="877">
        <f>IFERROR(IF(G139=TRUE,'TEHNIČNA OPREMA'!G253,0),0)</f>
        <v>0</v>
      </c>
      <c r="I147" s="864">
        <f t="shared" si="22"/>
        <v>0</v>
      </c>
    </row>
    <row r="148" spans="1:9" s="441" customFormat="1" ht="16.5" customHeight="1">
      <c r="A148" s="435"/>
      <c r="B148" s="909" t="s">
        <v>992</v>
      </c>
      <c r="C148" s="897"/>
      <c r="D148" s="897"/>
      <c r="E148" s="898"/>
      <c r="F148" s="899"/>
      <c r="G148" s="982" t="b">
        <v>0</v>
      </c>
      <c r="H148" s="796"/>
      <c r="I148" s="797"/>
    </row>
    <row r="149" spans="1:9" s="778" customFormat="1" ht="12.75">
      <c r="A149" s="777"/>
      <c r="B149" s="879" t="s">
        <v>801</v>
      </c>
      <c r="C149" s="844"/>
      <c r="D149" s="844"/>
      <c r="E149" s="900"/>
      <c r="F149" s="901"/>
      <c r="G149" s="983" t="b">
        <v>1</v>
      </c>
      <c r="H149" s="912">
        <f>IFERROR(IF(G148=TRUE,(STAVBE!Q158+'NOTRANJA OPREMA'!Q137+'ODPRTI PROSTOR'!Q158),0),0)</f>
        <v>0</v>
      </c>
      <c r="I149" s="910">
        <f t="shared" ref="I149:I150" si="23">+H149*$I$16</f>
        <v>0</v>
      </c>
    </row>
    <row r="150" spans="1:9" s="778" customFormat="1" ht="12.75">
      <c r="A150" s="779"/>
      <c r="B150" s="879" t="s">
        <v>802</v>
      </c>
      <c r="C150" s="844"/>
      <c r="D150" s="844"/>
      <c r="E150" s="900"/>
      <c r="F150" s="901"/>
      <c r="G150" s="983" t="b">
        <v>1</v>
      </c>
      <c r="H150" s="912">
        <f>IFERROR(IF(G148=TRUE,STAVBE!G158,0),0)</f>
        <v>0</v>
      </c>
      <c r="I150" s="910">
        <f t="shared" si="23"/>
        <v>0</v>
      </c>
    </row>
    <row r="151" spans="1:9" s="778" customFormat="1" ht="12.75">
      <c r="A151" s="779"/>
      <c r="B151" s="879" t="s">
        <v>2</v>
      </c>
      <c r="C151" s="792"/>
      <c r="D151" s="792"/>
      <c r="E151" s="902"/>
      <c r="F151" s="903"/>
      <c r="G151" s="984" t="b">
        <v>1</v>
      </c>
      <c r="H151" s="912">
        <f>IFERROR(IF(G148=TRUE,'NOTRANJA OPREMA'!G137,0),0)</f>
        <v>0</v>
      </c>
      <c r="I151" s="911">
        <f>+H151*$I$16</f>
        <v>0</v>
      </c>
    </row>
    <row r="152" spans="1:9" s="778" customFormat="1" ht="12.75">
      <c r="A152" s="779"/>
      <c r="B152" s="879" t="s">
        <v>803</v>
      </c>
      <c r="C152" s="792"/>
      <c r="D152" s="792"/>
      <c r="E152" s="902"/>
      <c r="F152" s="903"/>
      <c r="G152" s="984" t="b">
        <v>1</v>
      </c>
      <c r="H152" s="912">
        <f>IFERROR(IF(G148=TRUE,'ODPRTI PROSTOR'!G158*'OSNOVNI PODATKI'!$F$378,0),0)</f>
        <v>0</v>
      </c>
      <c r="I152" s="911">
        <f>+H152*$I$16</f>
        <v>0</v>
      </c>
    </row>
    <row r="153" spans="1:9" s="778" customFormat="1" ht="12.75">
      <c r="A153" s="779"/>
      <c r="B153" s="879" t="s">
        <v>804</v>
      </c>
      <c r="C153" s="792"/>
      <c r="D153" s="792"/>
      <c r="E153" s="902"/>
      <c r="F153" s="903"/>
      <c r="G153" s="984" t="b">
        <v>1</v>
      </c>
      <c r="H153" s="913">
        <f>IFERROR(IF(G148=TRUE,'ODPRTI PROSTOR'!G158*(100%-'OSNOVNI PODATKI'!$F$378),0),0)</f>
        <v>0</v>
      </c>
      <c r="I153" s="911">
        <f t="shared" ref="I153:I156" si="24">+H153*$I$16</f>
        <v>0</v>
      </c>
    </row>
    <row r="154" spans="1:9" s="781" customFormat="1" ht="12.75">
      <c r="A154" s="780"/>
      <c r="B154" s="880" t="s">
        <v>805</v>
      </c>
      <c r="C154" s="644"/>
      <c r="D154" s="644"/>
      <c r="E154" s="904"/>
      <c r="F154" s="905"/>
      <c r="G154" s="985" t="b">
        <v>1</v>
      </c>
      <c r="H154" s="914">
        <f>IFERROR(IF(G148=TRUE,'TEHNIČNA OPREMA'!G153,0),0)</f>
        <v>0</v>
      </c>
      <c r="I154" s="884">
        <f t="shared" si="24"/>
        <v>0</v>
      </c>
    </row>
    <row r="155" spans="1:9" s="781" customFormat="1" ht="12.75">
      <c r="A155" s="780"/>
      <c r="B155" s="880" t="s">
        <v>806</v>
      </c>
      <c r="C155" s="644"/>
      <c r="D155" s="644"/>
      <c r="E155" s="904"/>
      <c r="F155" s="905"/>
      <c r="G155" s="985" t="b">
        <v>1</v>
      </c>
      <c r="H155" s="914">
        <f>IFERROR(IF(G148=TRUE,'TEHNIČNA OPREMA'!G205,0),0)</f>
        <v>0</v>
      </c>
      <c r="I155" s="884">
        <f t="shared" si="24"/>
        <v>0</v>
      </c>
    </row>
    <row r="156" spans="1:9" s="781" customFormat="1" ht="12.75">
      <c r="A156" s="782"/>
      <c r="B156" s="880" t="s">
        <v>342</v>
      </c>
      <c r="C156" s="906"/>
      <c r="D156" s="906"/>
      <c r="E156" s="907"/>
      <c r="F156" s="908"/>
      <c r="G156" s="985" t="b">
        <v>1</v>
      </c>
      <c r="H156" s="914">
        <f>IFERROR(IF(G148=TRUE,'TEHNIČNA OPREMA'!G254,0),0)</f>
        <v>0</v>
      </c>
      <c r="I156" s="885">
        <f t="shared" si="24"/>
        <v>0</v>
      </c>
    </row>
    <row r="157" spans="1:9" s="211" customFormat="1" ht="16.5" customHeight="1">
      <c r="A157" s="467" t="s">
        <v>41</v>
      </c>
      <c r="B157" s="465" t="s">
        <v>796</v>
      </c>
      <c r="C157" s="465"/>
      <c r="D157" s="465"/>
      <c r="E157" s="497"/>
      <c r="F157" s="498"/>
      <c r="G157" s="960" t="b">
        <v>0</v>
      </c>
      <c r="H157" s="499">
        <f>SUM(H158:H172)</f>
        <v>0</v>
      </c>
      <c r="I157" s="465">
        <f>SUM(I158:I172)</f>
        <v>0</v>
      </c>
    </row>
    <row r="158" spans="1:9" s="210" customFormat="1">
      <c r="A158" s="639"/>
      <c r="B158" s="436" t="s">
        <v>801</v>
      </c>
      <c r="C158" s="437"/>
      <c r="D158" s="437"/>
      <c r="E158" s="438"/>
      <c r="F158" s="439"/>
      <c r="G158" s="981" t="b">
        <v>1</v>
      </c>
      <c r="H158" s="491">
        <f>IFERROR(IF(G157=TRUE,(STAVBE!Q159+'ODPRTI PROSTOR'!Q159),0),0)</f>
        <v>0</v>
      </c>
      <c r="I158" s="440">
        <f t="shared" ref="I158:I159" si="25">+H158*$I$16</f>
        <v>0</v>
      </c>
    </row>
    <row r="159" spans="1:9" s="441" customFormat="1" ht="12.75">
      <c r="A159" s="435"/>
      <c r="B159" s="436" t="s">
        <v>802</v>
      </c>
      <c r="C159" s="437"/>
      <c r="D159" s="437"/>
      <c r="E159" s="438"/>
      <c r="F159" s="439"/>
      <c r="G159" s="961" t="b">
        <v>1</v>
      </c>
      <c r="H159" s="491">
        <f>IFERROR(IF(G157=TRUE,STAVBE!G159,0),0)</f>
        <v>0</v>
      </c>
      <c r="I159" s="440">
        <f t="shared" si="25"/>
        <v>0</v>
      </c>
    </row>
    <row r="160" spans="1:9" s="441" customFormat="1" ht="12.75">
      <c r="A160" s="435"/>
      <c r="B160" s="436" t="s">
        <v>803</v>
      </c>
      <c r="C160" s="442"/>
      <c r="D160" s="442"/>
      <c r="E160" s="443"/>
      <c r="F160" s="444"/>
      <c r="G160" s="962" t="b">
        <v>1</v>
      </c>
      <c r="H160" s="491">
        <f>IFERROR(IF(G157=TRUE,'ODPRTI PROSTOR'!G159*'OSNOVNI PODATKI'!$F$378,0),0)</f>
        <v>0</v>
      </c>
      <c r="I160" s="445">
        <f>+H160*$I$16</f>
        <v>0</v>
      </c>
    </row>
    <row r="161" spans="1:9" s="441" customFormat="1" ht="12.75">
      <c r="A161" s="435"/>
      <c r="B161" s="436" t="s">
        <v>804</v>
      </c>
      <c r="C161" s="442"/>
      <c r="D161" s="442"/>
      <c r="E161" s="443"/>
      <c r="F161" s="444"/>
      <c r="G161" s="962" t="b">
        <v>1</v>
      </c>
      <c r="H161" s="492">
        <f>IFERROR(IF(G157=TRUE,'ODPRTI PROSTOR'!G159*(100%-'OSNOVNI PODATKI'!$F$378),0),0)</f>
        <v>0</v>
      </c>
      <c r="I161" s="445">
        <f t="shared" ref="I161:I164" si="26">+H161*$I$16</f>
        <v>0</v>
      </c>
    </row>
    <row r="162" spans="1:9" s="453" customFormat="1" ht="12.75">
      <c r="A162" s="449"/>
      <c r="B162" s="852" t="s">
        <v>805</v>
      </c>
      <c r="C162" s="853"/>
      <c r="D162" s="853"/>
      <c r="E162" s="854"/>
      <c r="F162" s="855"/>
      <c r="G162" s="963" t="b">
        <v>1</v>
      </c>
      <c r="H162" s="857">
        <f>IFERROR(IF(G157=TRUE,'TEHNIČNA OPREMA'!G154,0),0)</f>
        <v>0</v>
      </c>
      <c r="I162" s="858">
        <f t="shared" si="26"/>
        <v>0</v>
      </c>
    </row>
    <row r="163" spans="1:9" s="453" customFormat="1" ht="12.75">
      <c r="A163" s="449"/>
      <c r="B163" s="852" t="s">
        <v>806</v>
      </c>
      <c r="C163" s="853"/>
      <c r="D163" s="853"/>
      <c r="E163" s="854"/>
      <c r="F163" s="855"/>
      <c r="G163" s="963" t="b">
        <v>1</v>
      </c>
      <c r="H163" s="857">
        <f>IFERROR(IF(G157=TRUE,'TEHNIČNA OPREMA'!G206,0),0)</f>
        <v>0</v>
      </c>
      <c r="I163" s="858">
        <f t="shared" si="26"/>
        <v>0</v>
      </c>
    </row>
    <row r="164" spans="1:9" s="453" customFormat="1" ht="12.75">
      <c r="A164" s="843"/>
      <c r="B164" s="896" t="s">
        <v>342</v>
      </c>
      <c r="C164" s="874"/>
      <c r="D164" s="874"/>
      <c r="E164" s="875"/>
      <c r="F164" s="876"/>
      <c r="G164" s="964" t="b">
        <v>1</v>
      </c>
      <c r="H164" s="877">
        <f>IFERROR(IF(G157=TRUE,'TEHNIČNA OPREMA'!G255,0),0)</f>
        <v>0</v>
      </c>
      <c r="I164" s="864">
        <f t="shared" si="26"/>
        <v>0</v>
      </c>
    </row>
    <row r="165" spans="1:9" s="441" customFormat="1" ht="16.5" customHeight="1">
      <c r="A165" s="435"/>
      <c r="B165" s="909" t="s">
        <v>993</v>
      </c>
      <c r="C165" s="793"/>
      <c r="D165" s="793"/>
      <c r="E165" s="794"/>
      <c r="F165" s="795"/>
      <c r="G165" s="986" t="b">
        <v>0</v>
      </c>
      <c r="H165" s="796"/>
      <c r="I165" s="797"/>
    </row>
    <row r="166" spans="1:9" s="778" customFormat="1" ht="12.75">
      <c r="A166" s="777"/>
      <c r="B166" s="879" t="s">
        <v>801</v>
      </c>
      <c r="C166" s="844"/>
      <c r="D166" s="844"/>
      <c r="E166" s="900"/>
      <c r="F166" s="901"/>
      <c r="G166" s="983" t="b">
        <v>1</v>
      </c>
      <c r="H166" s="912">
        <f>IFERROR(IF(G165=TRUE,(STAVBE!Q160+'ODPRTI PROSTOR'!Q160),0),0)</f>
        <v>0</v>
      </c>
      <c r="I166" s="910">
        <f t="shared" ref="I166:I167" si="27">+H166*$I$16</f>
        <v>0</v>
      </c>
    </row>
    <row r="167" spans="1:9" s="778" customFormat="1" ht="12.75">
      <c r="A167" s="779"/>
      <c r="B167" s="879" t="s">
        <v>802</v>
      </c>
      <c r="C167" s="844"/>
      <c r="D167" s="844"/>
      <c r="E167" s="900"/>
      <c r="F167" s="901"/>
      <c r="G167" s="983" t="b">
        <v>1</v>
      </c>
      <c r="H167" s="912">
        <f>IFERROR(IF(G165=TRUE,STAVBE!G160,0),0)</f>
        <v>0</v>
      </c>
      <c r="I167" s="910">
        <f t="shared" si="27"/>
        <v>0</v>
      </c>
    </row>
    <row r="168" spans="1:9" s="778" customFormat="1" ht="12.75">
      <c r="A168" s="779"/>
      <c r="B168" s="879" t="s">
        <v>803</v>
      </c>
      <c r="C168" s="792"/>
      <c r="D168" s="792"/>
      <c r="E168" s="902"/>
      <c r="F168" s="903"/>
      <c r="G168" s="984" t="b">
        <v>1</v>
      </c>
      <c r="H168" s="912">
        <f>IFERROR(IF(G165=TRUE,'ODPRTI PROSTOR'!G160*'OSNOVNI PODATKI'!$F$378,0),0)</f>
        <v>0</v>
      </c>
      <c r="I168" s="911">
        <f>+H168*$I$16</f>
        <v>0</v>
      </c>
    </row>
    <row r="169" spans="1:9" s="778" customFormat="1" ht="12.75">
      <c r="A169" s="779"/>
      <c r="B169" s="879" t="s">
        <v>804</v>
      </c>
      <c r="C169" s="792"/>
      <c r="D169" s="792"/>
      <c r="E169" s="902"/>
      <c r="F169" s="903"/>
      <c r="G169" s="984" t="b">
        <v>1</v>
      </c>
      <c r="H169" s="913">
        <f>IFERROR(IF(G165=TRUE,'ODPRTI PROSTOR'!G160*(100%-'OSNOVNI PODATKI'!$F$378),0),0)</f>
        <v>0</v>
      </c>
      <c r="I169" s="911">
        <f t="shared" ref="I169:I172" si="28">+H169*$I$16</f>
        <v>0</v>
      </c>
    </row>
    <row r="170" spans="1:9" s="781" customFormat="1" ht="12.75">
      <c r="A170" s="780"/>
      <c r="B170" s="880" t="s">
        <v>805</v>
      </c>
      <c r="C170" s="644"/>
      <c r="D170" s="644"/>
      <c r="E170" s="904"/>
      <c r="F170" s="905"/>
      <c r="G170" s="985" t="b">
        <v>1</v>
      </c>
      <c r="H170" s="914">
        <f>IFERROR(IF(G165=TRUE,'TEHNIČNA OPREMA'!G155,0),0)</f>
        <v>0</v>
      </c>
      <c r="I170" s="884">
        <f t="shared" si="28"/>
        <v>0</v>
      </c>
    </row>
    <row r="171" spans="1:9" s="781" customFormat="1" ht="12.75">
      <c r="A171" s="780"/>
      <c r="B171" s="880" t="s">
        <v>806</v>
      </c>
      <c r="C171" s="644"/>
      <c r="D171" s="644"/>
      <c r="E171" s="904"/>
      <c r="F171" s="905"/>
      <c r="G171" s="985" t="b">
        <v>1</v>
      </c>
      <c r="H171" s="914">
        <f>IFERROR(IF(G165=TRUE,'TEHNIČNA OPREMA'!G207,0),0)</f>
        <v>0</v>
      </c>
      <c r="I171" s="884">
        <f t="shared" si="28"/>
        <v>0</v>
      </c>
    </row>
    <row r="172" spans="1:9" s="781" customFormat="1" ht="12.75">
      <c r="A172" s="782"/>
      <c r="B172" s="880" t="s">
        <v>342</v>
      </c>
      <c r="C172" s="906"/>
      <c r="D172" s="906"/>
      <c r="E172" s="907"/>
      <c r="F172" s="908"/>
      <c r="G172" s="985" t="b">
        <v>1</v>
      </c>
      <c r="H172" s="914">
        <f>IFERROR(IF(G165=TRUE,'TEHNIČNA OPREMA'!G256,0),0)</f>
        <v>0</v>
      </c>
      <c r="I172" s="885">
        <f t="shared" si="28"/>
        <v>0</v>
      </c>
    </row>
    <row r="173" spans="1:9" s="211" customFormat="1" ht="16.5" customHeight="1">
      <c r="A173" s="467" t="s">
        <v>42</v>
      </c>
      <c r="B173" s="465" t="s">
        <v>713</v>
      </c>
      <c r="C173" s="465"/>
      <c r="D173" s="465"/>
      <c r="E173" s="497"/>
      <c r="F173" s="498"/>
      <c r="G173" s="960" t="b">
        <v>0</v>
      </c>
      <c r="H173" s="499">
        <f>SUM(H174:H190)</f>
        <v>0</v>
      </c>
      <c r="I173" s="465">
        <f>SUM(I174:I190)</f>
        <v>0</v>
      </c>
    </row>
    <row r="174" spans="1:9" s="210" customFormat="1">
      <c r="A174" s="639"/>
      <c r="B174" s="436" t="s">
        <v>801</v>
      </c>
      <c r="C174" s="437"/>
      <c r="D174" s="437"/>
      <c r="E174" s="438"/>
      <c r="F174" s="439"/>
      <c r="G174" s="981" t="b">
        <v>1</v>
      </c>
      <c r="H174" s="491">
        <f>IFERROR(IF(G173=TRUE,(STAVBE!Q161+'NOTRANJA OPREMA'!Q140+'ODPRTI PROSTOR'!Q161),0),0)</f>
        <v>0</v>
      </c>
      <c r="I174" s="440">
        <f t="shared" ref="I174:I175" si="29">+H174*$I$16</f>
        <v>0</v>
      </c>
    </row>
    <row r="175" spans="1:9" s="441" customFormat="1" ht="12.75">
      <c r="A175" s="435"/>
      <c r="B175" s="436" t="s">
        <v>802</v>
      </c>
      <c r="C175" s="437"/>
      <c r="D175" s="437"/>
      <c r="E175" s="438"/>
      <c r="F175" s="439"/>
      <c r="G175" s="961" t="b">
        <v>1</v>
      </c>
      <c r="H175" s="491">
        <f>IFERROR(IF(G173=TRUE,STAVBE!G161,0),0)</f>
        <v>0</v>
      </c>
      <c r="I175" s="440">
        <f t="shared" si="29"/>
        <v>0</v>
      </c>
    </row>
    <row r="176" spans="1:9" s="441" customFormat="1" ht="12.75">
      <c r="A176" s="435"/>
      <c r="B176" s="436" t="s">
        <v>2</v>
      </c>
      <c r="C176" s="442"/>
      <c r="D176" s="442"/>
      <c r="E176" s="443"/>
      <c r="F176" s="444"/>
      <c r="G176" s="962" t="b">
        <v>1</v>
      </c>
      <c r="H176" s="491">
        <f>IFERROR(IF(G173=TRUE,'NOTRANJA OPREMA'!G140,0),0)</f>
        <v>0</v>
      </c>
      <c r="I176" s="445">
        <f>+H176*$I$16</f>
        <v>0</v>
      </c>
    </row>
    <row r="177" spans="1:9" s="441" customFormat="1" ht="12.75">
      <c r="A177" s="435"/>
      <c r="B177" s="436" t="s">
        <v>803</v>
      </c>
      <c r="C177" s="442"/>
      <c r="D177" s="442"/>
      <c r="E177" s="443"/>
      <c r="F177" s="444"/>
      <c r="G177" s="962" t="b">
        <v>1</v>
      </c>
      <c r="H177" s="491">
        <f>IFERROR(IF(G173=TRUE,'ODPRTI PROSTOR'!G161*'OSNOVNI PODATKI'!$F$378,0),0)</f>
        <v>0</v>
      </c>
      <c r="I177" s="445">
        <f>+H177*$I$16</f>
        <v>0</v>
      </c>
    </row>
    <row r="178" spans="1:9" s="441" customFormat="1" ht="12.75">
      <c r="A178" s="435"/>
      <c r="B178" s="436" t="s">
        <v>804</v>
      </c>
      <c r="C178" s="442"/>
      <c r="D178" s="442"/>
      <c r="E178" s="443"/>
      <c r="F178" s="444"/>
      <c r="G178" s="962" t="b">
        <v>1</v>
      </c>
      <c r="H178" s="492">
        <f>IFERROR(IF(G173=TRUE,'ODPRTI PROSTOR'!G161*(100%-'OSNOVNI PODATKI'!$F$378),0),0)</f>
        <v>0</v>
      </c>
      <c r="I178" s="445">
        <f t="shared" ref="I178:I181" si="30">+H178*$I$16</f>
        <v>0</v>
      </c>
    </row>
    <row r="179" spans="1:9" s="453" customFormat="1" ht="12.75">
      <c r="A179" s="449"/>
      <c r="B179" s="852" t="s">
        <v>805</v>
      </c>
      <c r="C179" s="853"/>
      <c r="D179" s="853"/>
      <c r="E179" s="854"/>
      <c r="F179" s="855"/>
      <c r="G179" s="963" t="b">
        <v>1</v>
      </c>
      <c r="H179" s="857">
        <f>IFERROR(IF(G173=TRUE,'TEHNIČNA OPREMA'!G156,0),0)</f>
        <v>0</v>
      </c>
      <c r="I179" s="858">
        <f t="shared" si="30"/>
        <v>0</v>
      </c>
    </row>
    <row r="180" spans="1:9" s="453" customFormat="1" ht="12.75">
      <c r="A180" s="449"/>
      <c r="B180" s="852" t="s">
        <v>806</v>
      </c>
      <c r="C180" s="853"/>
      <c r="D180" s="853"/>
      <c r="E180" s="854"/>
      <c r="F180" s="855"/>
      <c r="G180" s="963" t="b">
        <v>1</v>
      </c>
      <c r="H180" s="857">
        <f>IFERROR(IF(G173=TRUE,'TEHNIČNA OPREMA'!G208,0),0)</f>
        <v>0</v>
      </c>
      <c r="I180" s="858">
        <f t="shared" si="30"/>
        <v>0</v>
      </c>
    </row>
    <row r="181" spans="1:9" s="453" customFormat="1" ht="12.75">
      <c r="A181" s="843"/>
      <c r="B181" s="896" t="s">
        <v>342</v>
      </c>
      <c r="C181" s="874"/>
      <c r="D181" s="874"/>
      <c r="E181" s="875"/>
      <c r="F181" s="876"/>
      <c r="G181" s="964" t="b">
        <v>1</v>
      </c>
      <c r="H181" s="877">
        <f>IFERROR(IF(G173=TRUE,'TEHNIČNA OPREMA'!G257,0),0)</f>
        <v>0</v>
      </c>
      <c r="I181" s="864">
        <f t="shared" si="30"/>
        <v>0</v>
      </c>
    </row>
    <row r="182" spans="1:9" s="441" customFormat="1" ht="16.5" customHeight="1">
      <c r="A182" s="435"/>
      <c r="B182" s="909" t="s">
        <v>994</v>
      </c>
      <c r="C182" s="897"/>
      <c r="D182" s="897"/>
      <c r="E182" s="898"/>
      <c r="F182" s="899"/>
      <c r="G182" s="982" t="b">
        <v>0</v>
      </c>
      <c r="H182" s="796"/>
      <c r="I182" s="797"/>
    </row>
    <row r="183" spans="1:9" s="778" customFormat="1" ht="12.75">
      <c r="A183" s="777"/>
      <c r="B183" s="879" t="s">
        <v>801</v>
      </c>
      <c r="C183" s="844"/>
      <c r="D183" s="844"/>
      <c r="E183" s="900"/>
      <c r="F183" s="901"/>
      <c r="G183" s="983" t="b">
        <v>1</v>
      </c>
      <c r="H183" s="912">
        <f>IFERROR(IF(G182=TRUE,(STAVBE!Q162+'NOTRANJA OPREMA'!Q141+'ODPRTI PROSTOR'!Q162),0),0)</f>
        <v>0</v>
      </c>
      <c r="I183" s="910">
        <f t="shared" ref="I183:I184" si="31">+H183*$I$16</f>
        <v>0</v>
      </c>
    </row>
    <row r="184" spans="1:9" s="778" customFormat="1" ht="12.75">
      <c r="A184" s="779"/>
      <c r="B184" s="879" t="s">
        <v>802</v>
      </c>
      <c r="C184" s="844"/>
      <c r="D184" s="844"/>
      <c r="E184" s="900"/>
      <c r="F184" s="901"/>
      <c r="G184" s="983" t="b">
        <v>1</v>
      </c>
      <c r="H184" s="912">
        <f>IFERROR(IF(G182=TRUE,STAVBE!G162,0),0)</f>
        <v>0</v>
      </c>
      <c r="I184" s="910">
        <f t="shared" si="31"/>
        <v>0</v>
      </c>
    </row>
    <row r="185" spans="1:9" s="778" customFormat="1" ht="12.75">
      <c r="A185" s="779"/>
      <c r="B185" s="879" t="s">
        <v>2</v>
      </c>
      <c r="C185" s="792"/>
      <c r="D185" s="792"/>
      <c r="E185" s="902"/>
      <c r="F185" s="903"/>
      <c r="G185" s="984" t="b">
        <v>1</v>
      </c>
      <c r="H185" s="912">
        <f>IFERROR(IF(G182=TRUE,'NOTRANJA OPREMA'!G141,0),0)</f>
        <v>0</v>
      </c>
      <c r="I185" s="911">
        <f>+H185*$I$16</f>
        <v>0</v>
      </c>
    </row>
    <row r="186" spans="1:9" s="778" customFormat="1" ht="12.75">
      <c r="A186" s="779"/>
      <c r="B186" s="879" t="s">
        <v>803</v>
      </c>
      <c r="C186" s="792"/>
      <c r="D186" s="792"/>
      <c r="E186" s="902"/>
      <c r="F186" s="903"/>
      <c r="G186" s="984" t="b">
        <v>1</v>
      </c>
      <c r="H186" s="912">
        <f>IFERROR(IF(G182=TRUE,'ODPRTI PROSTOR'!G162*'OSNOVNI PODATKI'!$F$378,0),0)</f>
        <v>0</v>
      </c>
      <c r="I186" s="911">
        <f>+H186*$I$16</f>
        <v>0</v>
      </c>
    </row>
    <row r="187" spans="1:9" s="778" customFormat="1" ht="12.75">
      <c r="A187" s="779"/>
      <c r="B187" s="879" t="s">
        <v>804</v>
      </c>
      <c r="C187" s="792"/>
      <c r="D187" s="792"/>
      <c r="E187" s="902"/>
      <c r="F187" s="903"/>
      <c r="G187" s="984" t="b">
        <v>1</v>
      </c>
      <c r="H187" s="913">
        <f>IFERROR(IF(G182=TRUE,'ODPRTI PROSTOR'!G162*(100%-'OSNOVNI PODATKI'!$F$378),0),0)</f>
        <v>0</v>
      </c>
      <c r="I187" s="911">
        <f t="shared" ref="I187:I190" si="32">+H187*$I$16</f>
        <v>0</v>
      </c>
    </row>
    <row r="188" spans="1:9" s="781" customFormat="1" ht="12.75">
      <c r="A188" s="780"/>
      <c r="B188" s="880" t="s">
        <v>805</v>
      </c>
      <c r="C188" s="644"/>
      <c r="D188" s="644"/>
      <c r="E188" s="904"/>
      <c r="F188" s="905"/>
      <c r="G188" s="985" t="b">
        <v>1</v>
      </c>
      <c r="H188" s="914">
        <f>IFERROR(IF(G182=TRUE,'TEHNIČNA OPREMA'!G157,0),0)</f>
        <v>0</v>
      </c>
      <c r="I188" s="884">
        <f t="shared" si="32"/>
        <v>0</v>
      </c>
    </row>
    <row r="189" spans="1:9" s="781" customFormat="1" ht="12.75">
      <c r="A189" s="780"/>
      <c r="B189" s="880" t="s">
        <v>806</v>
      </c>
      <c r="C189" s="644"/>
      <c r="D189" s="644"/>
      <c r="E189" s="904"/>
      <c r="F189" s="905"/>
      <c r="G189" s="985" t="b">
        <v>1</v>
      </c>
      <c r="H189" s="914">
        <f>IFERROR(IF(G182=TRUE,'TEHNIČNA OPREMA'!G209,0),0)</f>
        <v>0</v>
      </c>
      <c r="I189" s="884">
        <f t="shared" si="32"/>
        <v>0</v>
      </c>
    </row>
    <row r="190" spans="1:9" s="781" customFormat="1" ht="12.75">
      <c r="A190" s="782"/>
      <c r="B190" s="880" t="s">
        <v>342</v>
      </c>
      <c r="C190" s="906"/>
      <c r="D190" s="906"/>
      <c r="E190" s="907"/>
      <c r="F190" s="908"/>
      <c r="G190" s="985" t="b">
        <v>1</v>
      </c>
      <c r="H190" s="914">
        <f>IFERROR(IF(G182=TRUE,'TEHNIČNA OPREMA'!G258,0),0)</f>
        <v>0</v>
      </c>
      <c r="I190" s="885">
        <f t="shared" si="32"/>
        <v>0</v>
      </c>
    </row>
    <row r="191" spans="1:9" s="211" customFormat="1" ht="16.5" customHeight="1">
      <c r="A191" s="467" t="s">
        <v>43</v>
      </c>
      <c r="B191" s="465" t="s">
        <v>698</v>
      </c>
      <c r="C191" s="465"/>
      <c r="D191" s="465"/>
      <c r="E191" s="497"/>
      <c r="F191" s="498"/>
      <c r="G191" s="980" t="b">
        <v>0</v>
      </c>
      <c r="H191" s="499">
        <f>SUM(H192:H203)</f>
        <v>0</v>
      </c>
      <c r="I191" s="465">
        <f>SUM(I192:I203)</f>
        <v>0</v>
      </c>
    </row>
    <row r="192" spans="1:9" s="210" customFormat="1">
      <c r="A192" s="1327" t="s">
        <v>727</v>
      </c>
      <c r="B192" s="436" t="s">
        <v>801</v>
      </c>
      <c r="C192" s="437"/>
      <c r="D192" s="437"/>
      <c r="E192" s="438"/>
      <c r="F192" s="439"/>
      <c r="G192" s="981" t="b">
        <v>1</v>
      </c>
      <c r="H192" s="491">
        <f>IFERROR(IF(G191=TRUE,(STAVBE!Q163+'NOTRANJA OPREMA'!Q142+'ODPRTI PROSTOR'!Q163),0),0)</f>
        <v>0</v>
      </c>
      <c r="I192" s="440">
        <f t="shared" ref="I192" si="33">+H192*$I$16</f>
        <v>0</v>
      </c>
    </row>
    <row r="193" spans="1:9" s="441" customFormat="1" ht="12.75">
      <c r="A193" s="1325"/>
      <c r="B193" s="436" t="s">
        <v>802</v>
      </c>
      <c r="C193" s="442"/>
      <c r="D193" s="442"/>
      <c r="E193" s="443"/>
      <c r="F193" s="444"/>
      <c r="G193" s="962" t="b">
        <v>1</v>
      </c>
      <c r="H193" s="491">
        <f>IFERROR(IF(G191=TRUE,STAVBE!G163,0),0)</f>
        <v>0</v>
      </c>
      <c r="I193" s="445">
        <f>+H193*$I$16</f>
        <v>0</v>
      </c>
    </row>
    <row r="194" spans="1:9" s="441" customFormat="1" ht="12.6" customHeight="1">
      <c r="A194" s="1325"/>
      <c r="B194" s="436" t="s">
        <v>2</v>
      </c>
      <c r="C194" s="437"/>
      <c r="D194" s="437"/>
      <c r="E194" s="438"/>
      <c r="F194" s="439"/>
      <c r="G194" s="961" t="b">
        <v>1</v>
      </c>
      <c r="H194" s="491">
        <f>IFERROR(IF(G191=TRUE,'NOTRANJA OPREMA'!G142,0),0)</f>
        <v>0</v>
      </c>
      <c r="I194" s="440">
        <f t="shared" ref="I194:I201" si="34">+H194*$I$16</f>
        <v>0</v>
      </c>
    </row>
    <row r="195" spans="1:9" s="441" customFormat="1" ht="12.75">
      <c r="A195" s="1325"/>
      <c r="B195" s="436" t="s">
        <v>803</v>
      </c>
      <c r="C195" s="442"/>
      <c r="D195" s="442"/>
      <c r="E195" s="443"/>
      <c r="F195" s="444"/>
      <c r="G195" s="962" t="b">
        <v>1</v>
      </c>
      <c r="H195" s="491">
        <f>IFERROR(IF(G191=TRUE,'ODPRTI PROSTOR'!G163*'OSNOVNI PODATKI'!$F$378,0),0)</f>
        <v>0</v>
      </c>
      <c r="I195" s="445">
        <f>+H195*$I$16</f>
        <v>0</v>
      </c>
    </row>
    <row r="196" spans="1:9" s="441" customFormat="1" ht="12.75">
      <c r="A196" s="1325"/>
      <c r="B196" s="436" t="s">
        <v>804</v>
      </c>
      <c r="C196" s="442"/>
      <c r="D196" s="442"/>
      <c r="E196" s="443"/>
      <c r="F196" s="444"/>
      <c r="G196" s="962" t="b">
        <v>1</v>
      </c>
      <c r="H196" s="492">
        <f>IFERROR(IF(G191=TRUE,'ODPRTI PROSTOR'!G163*(100%-'OSNOVNI PODATKI'!$F$378),0),0)</f>
        <v>0</v>
      </c>
      <c r="I196" s="445">
        <f t="shared" si="34"/>
        <v>0</v>
      </c>
    </row>
    <row r="197" spans="1:9" s="453" customFormat="1" ht="12.75">
      <c r="A197" s="1325"/>
      <c r="B197" s="852" t="s">
        <v>805</v>
      </c>
      <c r="C197" s="853"/>
      <c r="D197" s="853"/>
      <c r="E197" s="854"/>
      <c r="F197" s="855"/>
      <c r="G197" s="963" t="b">
        <v>1</v>
      </c>
      <c r="H197" s="857">
        <f>IFERROR(IF(G191=TRUE,'TEHNIČNA OPREMA'!G158,0),0)</f>
        <v>0</v>
      </c>
      <c r="I197" s="858">
        <f t="shared" si="34"/>
        <v>0</v>
      </c>
    </row>
    <row r="198" spans="1:9" s="453" customFormat="1" ht="12.75">
      <c r="A198" s="1325"/>
      <c r="B198" s="852" t="s">
        <v>806</v>
      </c>
      <c r="C198" s="853"/>
      <c r="D198" s="853"/>
      <c r="E198" s="854"/>
      <c r="F198" s="855"/>
      <c r="G198" s="963" t="b">
        <v>1</v>
      </c>
      <c r="H198" s="857">
        <f>IFERROR(IF(G191=TRUE,'TEHNIČNA OPREMA'!G210,0),0)</f>
        <v>0</v>
      </c>
      <c r="I198" s="858">
        <f t="shared" si="34"/>
        <v>0</v>
      </c>
    </row>
    <row r="199" spans="1:9" s="453" customFormat="1" ht="12.75">
      <c r="A199" s="1325"/>
      <c r="B199" s="852" t="s">
        <v>342</v>
      </c>
      <c r="C199" s="853"/>
      <c r="D199" s="853"/>
      <c r="E199" s="854"/>
      <c r="F199" s="855"/>
      <c r="G199" s="963" t="b">
        <v>1</v>
      </c>
      <c r="H199" s="857">
        <f>IFERROR(IF(G191=TRUE,'TEHNIČNA OPREMA'!G259,0),0)</f>
        <v>0</v>
      </c>
      <c r="I199" s="858">
        <f t="shared" si="34"/>
        <v>0</v>
      </c>
    </row>
    <row r="200" spans="1:9" s="453" customFormat="1" ht="12.75">
      <c r="A200" s="1325"/>
      <c r="B200" s="852" t="s">
        <v>354</v>
      </c>
      <c r="C200" s="853"/>
      <c r="D200" s="853"/>
      <c r="E200" s="854"/>
      <c r="F200" s="855"/>
      <c r="G200" s="963" t="b">
        <v>1</v>
      </c>
      <c r="H200" s="857">
        <f>IFERROR(IF(G191=TRUE,'POŽARNA VARNOST'!G173,0),0)</f>
        <v>0</v>
      </c>
      <c r="I200" s="858">
        <f t="shared" si="34"/>
        <v>0</v>
      </c>
    </row>
    <row r="201" spans="1:9" s="453" customFormat="1" ht="12.75">
      <c r="A201" s="1325"/>
      <c r="B201" s="853" t="s">
        <v>352</v>
      </c>
      <c r="C201" s="915"/>
      <c r="D201" s="915"/>
      <c r="E201" s="916"/>
      <c r="F201" s="917"/>
      <c r="G201" s="987" t="b">
        <v>1</v>
      </c>
      <c r="H201" s="857">
        <f>IFERROR(IF(G191=TRUE,'GRADBENA FIZIKA'!G158,0),0)</f>
        <v>0</v>
      </c>
      <c r="I201" s="918">
        <f t="shared" si="34"/>
        <v>0</v>
      </c>
    </row>
    <row r="202" spans="1:9" s="453" customFormat="1" ht="12.75">
      <c r="A202" s="1325"/>
      <c r="B202" s="853" t="s">
        <v>66</v>
      </c>
      <c r="C202" s="915"/>
      <c r="D202" s="915"/>
      <c r="E202" s="916"/>
      <c r="F202" s="917"/>
      <c r="G202" s="987" t="b">
        <v>1</v>
      </c>
      <c r="H202" s="857">
        <f>IFERROR(IF(G191=TRUE,'GRADBENA FIZIKA'!G204,0),0)</f>
        <v>0</v>
      </c>
      <c r="I202" s="918">
        <f>+H202*$I$16</f>
        <v>0</v>
      </c>
    </row>
    <row r="203" spans="1:9" s="453" customFormat="1" ht="12.75">
      <c r="A203" s="1328"/>
      <c r="B203" s="1270" t="s">
        <v>353</v>
      </c>
      <c r="C203" s="1271"/>
      <c r="D203" s="1271"/>
      <c r="E203" s="1272"/>
      <c r="F203" s="1273"/>
      <c r="G203" s="1274"/>
      <c r="H203" s="1275">
        <f>IFERROR(IF(G191=TRUE,'GRADBENA FIZIKA'!G250,0),0)</f>
        <v>0</v>
      </c>
      <c r="I203" s="918">
        <f>+H203*$I$16</f>
        <v>0</v>
      </c>
    </row>
    <row r="204" spans="1:9" s="671" customFormat="1" ht="16.5">
      <c r="A204" s="670">
        <v>5</v>
      </c>
      <c r="B204" s="673" t="s">
        <v>44</v>
      </c>
      <c r="C204" s="673"/>
      <c r="D204" s="673"/>
      <c r="E204" s="674"/>
      <c r="F204" s="675"/>
      <c r="G204" s="959"/>
      <c r="H204" s="676">
        <f>+H205+H214</f>
        <v>0</v>
      </c>
      <c r="I204" s="677">
        <f>+I205+I214</f>
        <v>0</v>
      </c>
    </row>
    <row r="205" spans="1:9" s="211" customFormat="1" ht="16.5" customHeight="1">
      <c r="A205" s="467" t="s">
        <v>45</v>
      </c>
      <c r="B205" s="504" t="s">
        <v>183</v>
      </c>
      <c r="C205" s="504"/>
      <c r="D205" s="504"/>
      <c r="E205" s="497"/>
      <c r="F205" s="498"/>
      <c r="G205" s="980" t="b">
        <v>0</v>
      </c>
      <c r="H205" s="499">
        <f>SUM(H206:H213)</f>
        <v>0</v>
      </c>
      <c r="I205" s="465">
        <f>SUM(I206:I213)</f>
        <v>0</v>
      </c>
    </row>
    <row r="206" spans="1:9" s="210" customFormat="1">
      <c r="A206" s="643"/>
      <c r="B206" s="436" t="s">
        <v>801</v>
      </c>
      <c r="C206" s="437"/>
      <c r="D206" s="437"/>
      <c r="E206" s="438"/>
      <c r="F206" s="439"/>
      <c r="G206" s="981" t="b">
        <v>1</v>
      </c>
      <c r="H206" s="491">
        <f>IFERROR(IF(G205=TRUE,(STAVBE!Q165+'NOTRANJA OPREMA'!Q144+'ODPRTI PROSTOR'!Q165),0),0)</f>
        <v>0</v>
      </c>
      <c r="I206" s="440">
        <f t="shared" ref="I206" si="35">+H206*$I$16</f>
        <v>0</v>
      </c>
    </row>
    <row r="207" spans="1:9" s="441" customFormat="1" ht="12.75">
      <c r="A207" s="643"/>
      <c r="B207" s="436" t="s">
        <v>802</v>
      </c>
      <c r="C207" s="442"/>
      <c r="D207" s="442"/>
      <c r="E207" s="443"/>
      <c r="F207" s="444"/>
      <c r="G207" s="962" t="b">
        <v>1</v>
      </c>
      <c r="H207" s="491">
        <f>IFERROR(IF(G205=TRUE,STAVBE!G165,0),0)</f>
        <v>0</v>
      </c>
      <c r="I207" s="445">
        <f>+H207*$I$16</f>
        <v>0</v>
      </c>
    </row>
    <row r="208" spans="1:9" s="441" customFormat="1" ht="12.6" customHeight="1">
      <c r="A208" s="643"/>
      <c r="B208" s="436" t="s">
        <v>2</v>
      </c>
      <c r="C208" s="437"/>
      <c r="D208" s="437"/>
      <c r="E208" s="438"/>
      <c r="F208" s="439"/>
      <c r="G208" s="961" t="b">
        <v>1</v>
      </c>
      <c r="H208" s="491">
        <f>IFERROR(IF(G205=TRUE,'NOTRANJA OPREMA'!G144,0),0)</f>
        <v>0</v>
      </c>
      <c r="I208" s="440">
        <f t="shared" ref="I208" si="36">+H208*$I$16</f>
        <v>0</v>
      </c>
    </row>
    <row r="209" spans="1:9" s="441" customFormat="1" ht="12.75">
      <c r="A209" s="643"/>
      <c r="B209" s="436" t="s">
        <v>803</v>
      </c>
      <c r="C209" s="442"/>
      <c r="D209" s="442"/>
      <c r="E209" s="443"/>
      <c r="F209" s="444"/>
      <c r="G209" s="961" t="b">
        <v>1</v>
      </c>
      <c r="H209" s="491">
        <f>IFERROR(IF(G205=TRUE,'ODPRTI PROSTOR'!G165*'OSNOVNI PODATKI'!$F$378,0),0)</f>
        <v>0</v>
      </c>
      <c r="I209" s="445">
        <f>+H209*$I$16</f>
        <v>0</v>
      </c>
    </row>
    <row r="210" spans="1:9" s="441" customFormat="1" ht="12.75">
      <c r="A210" s="643"/>
      <c r="B210" s="436" t="s">
        <v>804</v>
      </c>
      <c r="C210" s="442"/>
      <c r="D210" s="442"/>
      <c r="E210" s="443"/>
      <c r="F210" s="444"/>
      <c r="G210" s="962" t="b">
        <v>1</v>
      </c>
      <c r="H210" s="492">
        <f>IFERROR(IF(G205=TRUE,'ODPRTI PROSTOR'!G165*(100%-'OSNOVNI PODATKI'!$F$378),0),0)</f>
        <v>0</v>
      </c>
      <c r="I210" s="445">
        <f t="shared" ref="I210" si="37">+H210*$I$16</f>
        <v>0</v>
      </c>
    </row>
    <row r="211" spans="1:9" s="453" customFormat="1" ht="12.75">
      <c r="A211" s="643"/>
      <c r="B211" s="852" t="s">
        <v>805</v>
      </c>
      <c r="C211" s="853"/>
      <c r="D211" s="853"/>
      <c r="E211" s="854"/>
      <c r="F211" s="855"/>
      <c r="G211" s="963" t="b">
        <v>1</v>
      </c>
      <c r="H211" s="857">
        <f>IFERROR(IF(G205=TRUE,'TEHNIČNA OPREMA'!G160,0),0)</f>
        <v>0</v>
      </c>
      <c r="I211" s="858">
        <f t="shared" ref="I211:I213" si="38">+H211*$I$16</f>
        <v>0</v>
      </c>
    </row>
    <row r="212" spans="1:9" s="453" customFormat="1" ht="12.75">
      <c r="A212" s="643"/>
      <c r="B212" s="852" t="s">
        <v>806</v>
      </c>
      <c r="C212" s="853"/>
      <c r="D212" s="853"/>
      <c r="E212" s="854"/>
      <c r="F212" s="855"/>
      <c r="G212" s="963" t="b">
        <v>1</v>
      </c>
      <c r="H212" s="857">
        <f>IFERROR(IF(G205=TRUE,'TEHNIČNA OPREMA'!G212,0),0)</f>
        <v>0</v>
      </c>
      <c r="I212" s="858">
        <f t="shared" si="38"/>
        <v>0</v>
      </c>
    </row>
    <row r="213" spans="1:9" s="453" customFormat="1" ht="12.75">
      <c r="A213" s="686"/>
      <c r="B213" s="873" t="s">
        <v>342</v>
      </c>
      <c r="C213" s="874"/>
      <c r="D213" s="874"/>
      <c r="E213" s="875"/>
      <c r="F213" s="876"/>
      <c r="G213" s="964" t="b">
        <v>1</v>
      </c>
      <c r="H213" s="857">
        <f>IFERROR(IF(G205=TRUE,'TEHNIČNA OPREMA'!G261,0),0)</f>
        <v>0</v>
      </c>
      <c r="I213" s="864">
        <f t="shared" si="38"/>
        <v>0</v>
      </c>
    </row>
    <row r="214" spans="1:9" s="211" customFormat="1" ht="16.5" customHeight="1">
      <c r="A214" s="467" t="s">
        <v>46</v>
      </c>
      <c r="B214" s="504" t="s">
        <v>184</v>
      </c>
      <c r="C214" s="504"/>
      <c r="D214" s="504"/>
      <c r="E214" s="497"/>
      <c r="F214" s="498"/>
      <c r="G214" s="967" t="b">
        <v>0</v>
      </c>
      <c r="H214" s="499">
        <f>SUM(H215:H222)</f>
        <v>0</v>
      </c>
      <c r="I214" s="465">
        <f>SUM(I215:I222)</f>
        <v>0</v>
      </c>
    </row>
    <row r="215" spans="1:9" s="210" customFormat="1">
      <c r="A215" s="643"/>
      <c r="B215" s="436" t="s">
        <v>801</v>
      </c>
      <c r="C215" s="437"/>
      <c r="D215" s="437"/>
      <c r="E215" s="438"/>
      <c r="F215" s="439"/>
      <c r="G215" s="668" t="b">
        <v>1</v>
      </c>
      <c r="H215" s="491">
        <f>IFERROR(IF(G214=TRUE,(STAVBE!Q166+'NOTRANJA OPREMA'!Q145+'ODPRTI PROSTOR'!Q166),0),0)</f>
        <v>0</v>
      </c>
      <c r="I215" s="440">
        <f t="shared" ref="I215" si="39">+H215*$I$16</f>
        <v>0</v>
      </c>
    </row>
    <row r="216" spans="1:9" s="441" customFormat="1" ht="12.75">
      <c r="A216" s="643"/>
      <c r="B216" s="436" t="s">
        <v>802</v>
      </c>
      <c r="C216" s="442"/>
      <c r="D216" s="442"/>
      <c r="E216" s="443"/>
      <c r="F216" s="444"/>
      <c r="G216" s="669" t="b">
        <v>1</v>
      </c>
      <c r="H216" s="491">
        <f>IFERROR(IF(G214=TRUE,STAVBE!G166,0),0)</f>
        <v>0</v>
      </c>
      <c r="I216" s="445">
        <f>+H216*$I$16</f>
        <v>0</v>
      </c>
    </row>
    <row r="217" spans="1:9" s="441" customFormat="1" ht="12.6" customHeight="1">
      <c r="A217" s="643"/>
      <c r="B217" s="436" t="s">
        <v>2</v>
      </c>
      <c r="C217" s="437"/>
      <c r="D217" s="437"/>
      <c r="E217" s="438"/>
      <c r="F217" s="439"/>
      <c r="G217" s="668" t="b">
        <v>1</v>
      </c>
      <c r="H217" s="491">
        <f>IFERROR(IF(G214=TRUE,'NOTRANJA OPREMA'!G145,0),0)</f>
        <v>0</v>
      </c>
      <c r="I217" s="440">
        <f t="shared" ref="I217" si="40">+H217*$I$16</f>
        <v>0</v>
      </c>
    </row>
    <row r="218" spans="1:9" s="441" customFormat="1" ht="12.75">
      <c r="A218" s="643"/>
      <c r="B218" s="436" t="s">
        <v>803</v>
      </c>
      <c r="C218" s="442"/>
      <c r="D218" s="442"/>
      <c r="E218" s="443"/>
      <c r="F218" s="444"/>
      <c r="G218" s="668" t="b">
        <v>1</v>
      </c>
      <c r="H218" s="491">
        <f>IFERROR(IF(G214=TRUE,'ODPRTI PROSTOR'!G166*'OSNOVNI PODATKI'!$F$378,0),0)</f>
        <v>0</v>
      </c>
      <c r="I218" s="445">
        <f>+H218*$I$16</f>
        <v>0</v>
      </c>
    </row>
    <row r="219" spans="1:9" s="441" customFormat="1" ht="12.75">
      <c r="A219" s="643"/>
      <c r="B219" s="436" t="s">
        <v>804</v>
      </c>
      <c r="C219" s="442"/>
      <c r="D219" s="442"/>
      <c r="E219" s="443"/>
      <c r="F219" s="444"/>
      <c r="G219" s="669" t="b">
        <v>1</v>
      </c>
      <c r="H219" s="492">
        <f>IFERROR(IF(G214=TRUE,'ODPRTI PROSTOR'!G166*(100%-'OSNOVNI PODATKI'!$F$378),0),0)</f>
        <v>0</v>
      </c>
      <c r="I219" s="445">
        <f t="shared" ref="I219:I222" si="41">+H219*$I$16</f>
        <v>0</v>
      </c>
    </row>
    <row r="220" spans="1:9" s="453" customFormat="1" ht="12.75">
      <c r="A220" s="643"/>
      <c r="B220" s="852" t="s">
        <v>805</v>
      </c>
      <c r="C220" s="853"/>
      <c r="D220" s="853"/>
      <c r="E220" s="854"/>
      <c r="F220" s="855"/>
      <c r="G220" s="856" t="b">
        <v>1</v>
      </c>
      <c r="H220" s="857">
        <f>IFERROR(IF(G214=TRUE,'TEHNIČNA OPREMA'!G161,0),0)</f>
        <v>0</v>
      </c>
      <c r="I220" s="858">
        <f t="shared" si="41"/>
        <v>0</v>
      </c>
    </row>
    <row r="221" spans="1:9" s="453" customFormat="1" ht="12.75">
      <c r="A221" s="643"/>
      <c r="B221" s="852" t="s">
        <v>806</v>
      </c>
      <c r="C221" s="853"/>
      <c r="D221" s="853"/>
      <c r="E221" s="854"/>
      <c r="F221" s="855"/>
      <c r="G221" s="856" t="b">
        <v>1</v>
      </c>
      <c r="H221" s="857">
        <f>IFERROR(IF(G214=TRUE,'TEHNIČNA OPREMA'!G213,0),0)</f>
        <v>0</v>
      </c>
      <c r="I221" s="858">
        <f t="shared" si="41"/>
        <v>0</v>
      </c>
    </row>
    <row r="222" spans="1:9" s="453" customFormat="1" ht="12.75">
      <c r="A222" s="643"/>
      <c r="B222" s="852" t="s">
        <v>342</v>
      </c>
      <c r="C222" s="853"/>
      <c r="D222" s="853"/>
      <c r="E222" s="854"/>
      <c r="F222" s="855"/>
      <c r="G222" s="856" t="b">
        <v>1</v>
      </c>
      <c r="H222" s="857">
        <f>IFERROR(IF(G214=TRUE,'TEHNIČNA OPREMA'!G262,0),0)</f>
        <v>0</v>
      </c>
      <c r="I222" s="858">
        <f t="shared" si="41"/>
        <v>0</v>
      </c>
    </row>
    <row r="223" spans="1:9" s="9" customFormat="1">
      <c r="A223" s="398"/>
      <c r="B223" s="399"/>
      <c r="C223" s="399"/>
      <c r="D223" s="399"/>
      <c r="E223" s="407"/>
      <c r="F223" s="408"/>
      <c r="G223" s="408"/>
      <c r="H223" s="430"/>
      <c r="I223" s="400"/>
    </row>
    <row r="224" spans="1:9" s="9" customFormat="1">
      <c r="A224" s="401"/>
      <c r="B224" s="402" t="s">
        <v>179</v>
      </c>
      <c r="C224" s="402"/>
      <c r="D224" s="402"/>
      <c r="E224" s="409"/>
      <c r="F224" s="410"/>
      <c r="G224" s="411"/>
      <c r="H224" s="431">
        <f>+H20+H50+H116+H137+H204</f>
        <v>0</v>
      </c>
      <c r="I224" s="403">
        <f>I20+I50+I116+I137+I204</f>
        <v>0</v>
      </c>
    </row>
    <row r="225" spans="1:9" s="9" customFormat="1">
      <c r="A225" s="398"/>
      <c r="B225" s="399" t="s">
        <v>626</v>
      </c>
      <c r="C225" s="412"/>
      <c r="D225" s="412"/>
      <c r="E225" s="413"/>
      <c r="F225" s="414"/>
      <c r="G225" s="414"/>
      <c r="H225" s="414"/>
      <c r="I225" s="404">
        <f>IFERROR(I224/'OSNOVNI PODATKI'!$E$350,0)</f>
        <v>0</v>
      </c>
    </row>
    <row r="226" spans="1:9" s="9" customFormat="1">
      <c r="A226" s="25"/>
      <c r="B226" s="121"/>
      <c r="E226" s="127"/>
      <c r="F226" s="26"/>
      <c r="G226" s="26"/>
      <c r="H226" s="26"/>
      <c r="I226" s="128"/>
    </row>
    <row r="227" spans="1:9" s="9" customFormat="1">
      <c r="A227" s="25"/>
      <c r="B227" s="121"/>
      <c r="E227" s="127"/>
      <c r="F227" s="26"/>
      <c r="G227" s="26"/>
      <c r="H227" s="26"/>
      <c r="I227" s="121"/>
    </row>
    <row r="228" spans="1:9" s="9" customFormat="1" ht="15.75">
      <c r="A228" s="1300" t="s">
        <v>1064</v>
      </c>
      <c r="B228" s="1301"/>
      <c r="C228" s="1301"/>
      <c r="D228" s="1302"/>
      <c r="E228" s="1302"/>
      <c r="F228" s="1302"/>
      <c r="G228" s="121"/>
      <c r="H228" s="121"/>
      <c r="I228" s="121"/>
    </row>
    <row r="229" spans="1:9" s="9" customFormat="1" ht="15.75">
      <c r="A229" s="206" t="s">
        <v>1065</v>
      </c>
      <c r="B229" s="207"/>
      <c r="C229" s="207"/>
      <c r="D229" s="208"/>
      <c r="E229" s="208"/>
      <c r="F229" s="208"/>
      <c r="G229" s="209"/>
      <c r="H229" s="209"/>
      <c r="I229" s="209"/>
    </row>
    <row r="230" spans="1:9" ht="15.75">
      <c r="A230" s="304" t="str">
        <f>+'OSNOVNI PODATKI'!B386</f>
        <v>© 2026 ZAPS, vse pravice pridržane</v>
      </c>
      <c r="B230" s="305"/>
      <c r="C230" s="305"/>
      <c r="D230" s="23"/>
      <c r="E230" s="23"/>
      <c r="F230" s="23"/>
      <c r="G230" s="24"/>
      <c r="H230" s="24"/>
      <c r="I230" s="24"/>
    </row>
    <row r="232" spans="1:9">
      <c r="A232" s="842" t="s">
        <v>933</v>
      </c>
      <c r="B232" s="840"/>
      <c r="C232" s="841"/>
      <c r="D232" s="840"/>
      <c r="E232" s="840"/>
      <c r="F232" s="840"/>
      <c r="G232" s="840"/>
      <c r="H232" s="837"/>
    </row>
    <row r="233" spans="1:9">
      <c r="A233" s="839" t="s">
        <v>1075</v>
      </c>
      <c r="B233" s="840"/>
      <c r="C233" s="841"/>
      <c r="D233" s="840"/>
      <c r="E233" s="840"/>
      <c r="F233" s="840"/>
      <c r="G233" s="840"/>
      <c r="H233" s="837"/>
    </row>
    <row r="234" spans="1:9" ht="22.5" customHeight="1">
      <c r="A234" s="842" t="s">
        <v>979</v>
      </c>
      <c r="B234" s="840"/>
      <c r="C234" s="841"/>
      <c r="D234" s="840"/>
      <c r="E234" s="840"/>
      <c r="F234" s="840"/>
      <c r="G234" s="840"/>
      <c r="H234" s="837"/>
    </row>
    <row r="235" spans="1:9" ht="26.25" customHeight="1">
      <c r="A235" s="1313" t="s">
        <v>1076</v>
      </c>
      <c r="B235" s="1313"/>
      <c r="C235" s="1313"/>
      <c r="D235" s="1313"/>
      <c r="E235" s="1313"/>
      <c r="F235" s="1313"/>
      <c r="G235" s="1313"/>
      <c r="H235" s="1313"/>
      <c r="I235" s="1313"/>
    </row>
    <row r="236" spans="1:9">
      <c r="A236" s="839" t="s">
        <v>977</v>
      </c>
      <c r="B236" s="840"/>
      <c r="C236" s="841"/>
      <c r="D236" s="840"/>
      <c r="E236" s="840"/>
      <c r="F236" s="840"/>
      <c r="G236" s="840"/>
      <c r="H236" s="837"/>
    </row>
    <row r="237" spans="1:9">
      <c r="A237" s="839" t="s">
        <v>974</v>
      </c>
      <c r="B237" s="840"/>
      <c r="C237" s="841"/>
      <c r="D237" s="840"/>
      <c r="E237" s="840"/>
      <c r="F237" s="840"/>
      <c r="G237" s="840"/>
      <c r="H237" s="837"/>
    </row>
    <row r="238" spans="1:9">
      <c r="A238" s="839" t="s">
        <v>975</v>
      </c>
      <c r="B238" s="840"/>
      <c r="C238" s="841"/>
      <c r="D238" s="840"/>
      <c r="E238" s="840"/>
      <c r="F238" s="840"/>
      <c r="G238" s="840"/>
      <c r="H238" s="837"/>
    </row>
    <row r="239" spans="1:9">
      <c r="A239" s="839" t="s">
        <v>976</v>
      </c>
      <c r="B239" s="840"/>
      <c r="C239" s="841"/>
      <c r="D239" s="840"/>
      <c r="E239" s="840"/>
      <c r="F239" s="840"/>
      <c r="G239" s="840"/>
      <c r="H239" s="837"/>
    </row>
    <row r="240" spans="1:9">
      <c r="A240" s="839" t="s">
        <v>978</v>
      </c>
      <c r="B240" s="837"/>
      <c r="C240" s="838"/>
      <c r="D240" s="837"/>
      <c r="E240" s="837"/>
      <c r="F240" s="837"/>
      <c r="G240" s="837"/>
      <c r="H240" s="837"/>
    </row>
    <row r="241" spans="1:18">
      <c r="A241" s="1299" t="s">
        <v>1063</v>
      </c>
      <c r="B241" s="837"/>
      <c r="C241" s="838"/>
      <c r="D241" s="837"/>
      <c r="E241" s="837"/>
      <c r="F241" s="837"/>
      <c r="G241" s="837"/>
      <c r="H241" s="837"/>
    </row>
    <row r="242" spans="1:18" ht="22.5" customHeight="1">
      <c r="A242" s="842" t="s">
        <v>980</v>
      </c>
      <c r="B242" s="840"/>
      <c r="C242" s="841"/>
      <c r="D242" s="840"/>
      <c r="E242" s="840"/>
      <c r="F242" s="840"/>
      <c r="G242" s="840"/>
      <c r="H242" s="837"/>
    </row>
    <row r="243" spans="1:18" ht="24.75" customHeight="1">
      <c r="A243" s="1313" t="s">
        <v>1067</v>
      </c>
      <c r="B243" s="1313"/>
      <c r="C243" s="1313"/>
      <c r="D243" s="1313"/>
      <c r="E243" s="1313"/>
      <c r="F243" s="1313"/>
      <c r="G243" s="1313"/>
      <c r="H243" s="1313"/>
      <c r="I243" s="1313"/>
    </row>
    <row r="244" spans="1:18" ht="38.25" customHeight="1">
      <c r="A244" s="1313" t="s">
        <v>1066</v>
      </c>
      <c r="B244" s="1313"/>
      <c r="C244" s="1313"/>
      <c r="D244" s="1313"/>
      <c r="E244" s="1313"/>
      <c r="F244" s="1313"/>
      <c r="G244" s="1313"/>
      <c r="H244" s="1313"/>
      <c r="I244" s="1313"/>
    </row>
    <row r="245" spans="1:18" ht="39" customHeight="1">
      <c r="A245" s="1313" t="s">
        <v>1068</v>
      </c>
      <c r="B245" s="1313"/>
      <c r="C245" s="1313"/>
      <c r="D245" s="1313"/>
      <c r="E245" s="1313"/>
      <c r="F245" s="1313"/>
      <c r="G245" s="1313"/>
      <c r="H245" s="1313"/>
      <c r="I245" s="1313"/>
    </row>
    <row r="246" spans="1:18">
      <c r="A246" s="836"/>
      <c r="B246" s="837"/>
      <c r="C246" s="838"/>
      <c r="D246" s="837"/>
      <c r="E246" s="837"/>
      <c r="F246" s="837"/>
      <c r="G246" s="837"/>
      <c r="H246" s="837"/>
    </row>
    <row r="247" spans="1:18" s="14" customFormat="1" ht="15.75"/>
    <row r="248" spans="1:18" s="60" customFormat="1" ht="18.75">
      <c r="A248" s="60" t="s">
        <v>808</v>
      </c>
    </row>
    <row r="249" spans="1:18" s="370" customFormat="1" ht="93" customHeight="1">
      <c r="A249" s="459"/>
      <c r="B249" s="460"/>
      <c r="C249" s="461" t="str">
        <f>B52</f>
        <v>VODENJE IN KOORDINACIJA</v>
      </c>
      <c r="D249" s="461" t="str">
        <f>B53</f>
        <v>ARHITEKTURA</v>
      </c>
      <c r="E249" s="461" t="str">
        <f>B54</f>
        <v>NOTRANJA OPREMA</v>
      </c>
      <c r="F249" s="461" t="str">
        <f>B55</f>
        <v>ARHITEKTURA - ODPRTI PROSTOR</v>
      </c>
      <c r="G249" s="461" t="str">
        <f>B56</f>
        <v>KRAJINSKA ARHITEKTURA</v>
      </c>
      <c r="H249" s="919" t="str">
        <f>B57</f>
        <v>GRADBENE KONSTRUKCIJE</v>
      </c>
      <c r="I249" s="919" t="str">
        <f>B58</f>
        <v>ELEKTRIČNE INŠTALACIJE</v>
      </c>
      <c r="J249" s="919" t="str">
        <f>B59</f>
        <v>STROJNE INŠTALACIJE</v>
      </c>
      <c r="K249" s="919" t="str">
        <f>B60</f>
        <v>TEHNOLOGIJA</v>
      </c>
      <c r="L249" s="919" t="str">
        <f>B61</f>
        <v>POŽARNA VARNOST</v>
      </c>
      <c r="M249" s="920" t="str">
        <f>B76</f>
        <v>UČINKOVITA RABA ENERGIJE</v>
      </c>
      <c r="N249" s="921" t="str">
        <f>B77</f>
        <v>ZAŠČITA PRED HRUPOM</v>
      </c>
      <c r="O249" s="921" t="str">
        <f>B64</f>
        <v>PROSTORSKA AKUSTIKA</v>
      </c>
      <c r="P249" s="850" t="s">
        <v>398</v>
      </c>
      <c r="Q249" s="463"/>
      <c r="R249" s="463"/>
    </row>
    <row r="250" spans="1:18" s="370" customFormat="1" ht="12.75">
      <c r="A250" s="417" t="s">
        <v>32</v>
      </c>
      <c r="B250" s="418" t="s">
        <v>64</v>
      </c>
      <c r="C250" s="687">
        <f>+H22</f>
        <v>0</v>
      </c>
      <c r="D250" s="687">
        <f>+H23</f>
        <v>0</v>
      </c>
      <c r="E250" s="687">
        <f>H24</f>
        <v>0</v>
      </c>
      <c r="F250" s="687">
        <f>+H25</f>
        <v>0</v>
      </c>
      <c r="G250" s="687">
        <f>+H26</f>
        <v>0</v>
      </c>
      <c r="H250" s="928">
        <f>+H27</f>
        <v>0</v>
      </c>
      <c r="I250" s="928">
        <f>+H28</f>
        <v>0</v>
      </c>
      <c r="J250" s="928">
        <f>+H29</f>
        <v>0</v>
      </c>
      <c r="K250" s="928">
        <f>+H30</f>
        <v>0</v>
      </c>
      <c r="L250" s="928">
        <f>+H31</f>
        <v>0</v>
      </c>
      <c r="M250" s="928">
        <f>+H32</f>
        <v>0</v>
      </c>
      <c r="N250" s="928">
        <f>+H33</f>
        <v>0</v>
      </c>
      <c r="O250" s="928">
        <f>+H34</f>
        <v>0</v>
      </c>
      <c r="P250" s="688">
        <f>SUM(C250:O250)</f>
        <v>0</v>
      </c>
      <c r="Q250" s="419"/>
      <c r="R250" s="419"/>
    </row>
    <row r="251" spans="1:18" s="370" customFormat="1" ht="12.75">
      <c r="A251" s="417" t="s">
        <v>33</v>
      </c>
      <c r="B251" s="418" t="s">
        <v>65</v>
      </c>
      <c r="C251" s="687">
        <f>+H36</f>
        <v>0</v>
      </c>
      <c r="D251" s="687">
        <f>+H37</f>
        <v>0</v>
      </c>
      <c r="E251" s="687">
        <f>H38</f>
        <v>0</v>
      </c>
      <c r="F251" s="687">
        <f>+H39</f>
        <v>0</v>
      </c>
      <c r="G251" s="687">
        <f>+H40</f>
        <v>0</v>
      </c>
      <c r="H251" s="928">
        <f>+H41</f>
        <v>0</v>
      </c>
      <c r="I251" s="928">
        <f>+H42</f>
        <v>0</v>
      </c>
      <c r="J251" s="928">
        <f>+H43</f>
        <v>0</v>
      </c>
      <c r="K251" s="928">
        <f>+H44</f>
        <v>0</v>
      </c>
      <c r="L251" s="928">
        <f>+H45</f>
        <v>0</v>
      </c>
      <c r="M251" s="928">
        <f>+H46</f>
        <v>0</v>
      </c>
      <c r="N251" s="928">
        <f>+H47</f>
        <v>0</v>
      </c>
      <c r="O251" s="928">
        <f>+H48</f>
        <v>0</v>
      </c>
      <c r="P251" s="688">
        <f>SUM(C251:O251)</f>
        <v>0</v>
      </c>
      <c r="Q251" s="419"/>
      <c r="R251" s="419"/>
    </row>
    <row r="252" spans="1:18" s="370" customFormat="1" ht="12.75">
      <c r="A252" s="417" t="s">
        <v>34</v>
      </c>
      <c r="B252" s="418" t="s">
        <v>695</v>
      </c>
      <c r="C252" s="687">
        <f>+H49</f>
        <v>0</v>
      </c>
      <c r="D252" s="689"/>
      <c r="E252" s="689"/>
      <c r="F252" s="689"/>
      <c r="G252" s="689"/>
      <c r="H252" s="929"/>
      <c r="I252" s="929"/>
      <c r="J252" s="929"/>
      <c r="K252" s="929"/>
      <c r="L252" s="929"/>
      <c r="M252" s="929"/>
      <c r="N252" s="929"/>
      <c r="O252" s="929"/>
      <c r="P252" s="688">
        <f t="shared" ref="P252:P266" si="42">SUM(C252:O252)</f>
        <v>0</v>
      </c>
      <c r="Q252" s="419"/>
      <c r="R252" s="419"/>
    </row>
    <row r="253" spans="1:18" s="211" customFormat="1" ht="12.75">
      <c r="A253" s="417" t="s">
        <v>48</v>
      </c>
      <c r="B253" s="418" t="s">
        <v>78</v>
      </c>
      <c r="C253" s="687">
        <f>+H52</f>
        <v>0</v>
      </c>
      <c r="D253" s="687">
        <f>+H53</f>
        <v>0</v>
      </c>
      <c r="E253" s="687">
        <f>H54</f>
        <v>0</v>
      </c>
      <c r="F253" s="687">
        <f>+H55</f>
        <v>0</v>
      </c>
      <c r="G253" s="687">
        <f>+H56</f>
        <v>0</v>
      </c>
      <c r="H253" s="928">
        <f>+H57</f>
        <v>0</v>
      </c>
      <c r="I253" s="928">
        <f>H58</f>
        <v>0</v>
      </c>
      <c r="J253" s="928">
        <f>+H59</f>
        <v>0</v>
      </c>
      <c r="K253" s="928">
        <f>+H60</f>
        <v>0</v>
      </c>
      <c r="L253" s="928">
        <f>+H61</f>
        <v>0</v>
      </c>
      <c r="M253" s="928">
        <f>H62</f>
        <v>0</v>
      </c>
      <c r="N253" s="928">
        <f>H63</f>
        <v>0</v>
      </c>
      <c r="O253" s="928">
        <f>H64</f>
        <v>0</v>
      </c>
      <c r="P253" s="688">
        <f t="shared" si="42"/>
        <v>0</v>
      </c>
      <c r="Q253" s="419"/>
      <c r="R253" s="419"/>
    </row>
    <row r="254" spans="1:18" s="211" customFormat="1" ht="12.75">
      <c r="A254" s="420" t="s">
        <v>49</v>
      </c>
      <c r="B254" s="421" t="s">
        <v>624</v>
      </c>
      <c r="C254" s="687">
        <f>+H66</f>
        <v>0</v>
      </c>
      <c r="D254" s="687">
        <f>+H67</f>
        <v>0</v>
      </c>
      <c r="E254" s="687">
        <f>H68</f>
        <v>0</v>
      </c>
      <c r="F254" s="687">
        <f>+H69</f>
        <v>0</v>
      </c>
      <c r="G254" s="687">
        <f>+H70</f>
        <v>0</v>
      </c>
      <c r="H254" s="928">
        <f>+H71</f>
        <v>0</v>
      </c>
      <c r="I254" s="928">
        <f>H72</f>
        <v>0</v>
      </c>
      <c r="J254" s="928">
        <f>+H73</f>
        <v>0</v>
      </c>
      <c r="K254" s="928">
        <f>+H74</f>
        <v>0</v>
      </c>
      <c r="L254" s="928">
        <f>H75</f>
        <v>0</v>
      </c>
      <c r="M254" s="928">
        <f>H76</f>
        <v>0</v>
      </c>
      <c r="N254" s="928">
        <f>H77</f>
        <v>0</v>
      </c>
      <c r="O254" s="928">
        <f>H78</f>
        <v>0</v>
      </c>
      <c r="P254" s="688">
        <f t="shared" si="42"/>
        <v>0</v>
      </c>
      <c r="Q254" s="419"/>
      <c r="R254" s="419"/>
    </row>
    <row r="255" spans="1:18" s="211" customFormat="1" ht="12.75">
      <c r="A255" s="420" t="s">
        <v>50</v>
      </c>
      <c r="B255" s="421" t="s">
        <v>699</v>
      </c>
      <c r="C255" s="687">
        <f>+H79</f>
        <v>0</v>
      </c>
      <c r="D255" s="689"/>
      <c r="E255" s="689"/>
      <c r="F255" s="689"/>
      <c r="G255" s="689"/>
      <c r="H255" s="929"/>
      <c r="I255" s="929"/>
      <c r="J255" s="929"/>
      <c r="K255" s="929"/>
      <c r="L255" s="929"/>
      <c r="M255" s="929"/>
      <c r="N255" s="929"/>
      <c r="O255" s="929"/>
      <c r="P255" s="688">
        <f t="shared" si="42"/>
        <v>0</v>
      </c>
      <c r="Q255" s="419"/>
      <c r="R255" s="419"/>
    </row>
    <row r="256" spans="1:18" s="211" customFormat="1" ht="12.75">
      <c r="A256" s="420" t="s">
        <v>79</v>
      </c>
      <c r="B256" s="421" t="s">
        <v>625</v>
      </c>
      <c r="C256" s="687">
        <f>+H84</f>
        <v>0</v>
      </c>
      <c r="D256" s="687">
        <f>+H85</f>
        <v>0</v>
      </c>
      <c r="E256" s="687">
        <f>H86</f>
        <v>0</v>
      </c>
      <c r="F256" s="687">
        <f>+H87</f>
        <v>0</v>
      </c>
      <c r="G256" s="687">
        <f>+H88</f>
        <v>0</v>
      </c>
      <c r="H256" s="928">
        <f>+H89</f>
        <v>0</v>
      </c>
      <c r="I256" s="928">
        <f>H90</f>
        <v>0</v>
      </c>
      <c r="J256" s="928">
        <f>+H91</f>
        <v>0</v>
      </c>
      <c r="K256" s="928">
        <f>+H92</f>
        <v>0</v>
      </c>
      <c r="L256" s="928">
        <f>H93</f>
        <v>0</v>
      </c>
      <c r="M256" s="928">
        <f>H94</f>
        <v>0</v>
      </c>
      <c r="N256" s="928">
        <f>H95</f>
        <v>0</v>
      </c>
      <c r="O256" s="928">
        <f>H96</f>
        <v>0</v>
      </c>
      <c r="P256" s="688">
        <f t="shared" si="42"/>
        <v>0</v>
      </c>
      <c r="Q256" s="419"/>
      <c r="R256" s="419"/>
    </row>
    <row r="257" spans="1:19" s="211" customFormat="1" ht="12.75">
      <c r="A257" s="422" t="s">
        <v>80</v>
      </c>
      <c r="B257" s="423" t="s">
        <v>81</v>
      </c>
      <c r="C257" s="687">
        <f>H99+H115</f>
        <v>0</v>
      </c>
      <c r="D257" s="687">
        <f>H100+H108</f>
        <v>0</v>
      </c>
      <c r="E257" s="687">
        <f>H101+H109</f>
        <v>0</v>
      </c>
      <c r="F257" s="687">
        <f>H102+H110</f>
        <v>0</v>
      </c>
      <c r="G257" s="687">
        <f>H103+H111</f>
        <v>0</v>
      </c>
      <c r="H257" s="929"/>
      <c r="I257" s="928">
        <f>H104+H112</f>
        <v>0</v>
      </c>
      <c r="J257" s="928">
        <f>H105+H113</f>
        <v>0</v>
      </c>
      <c r="K257" s="928">
        <f>H106+H114</f>
        <v>0</v>
      </c>
      <c r="L257" s="929"/>
      <c r="M257" s="929"/>
      <c r="N257" s="929"/>
      <c r="O257" s="929"/>
      <c r="P257" s="688">
        <f t="shared" si="42"/>
        <v>0</v>
      </c>
      <c r="Q257" s="419"/>
      <c r="R257" s="419"/>
    </row>
    <row r="258" spans="1:19" s="211" customFormat="1" ht="12.75">
      <c r="A258" s="692" t="s">
        <v>37</v>
      </c>
      <c r="B258" s="693" t="s">
        <v>697</v>
      </c>
      <c r="C258" s="687">
        <f>+H118+H126</f>
        <v>0</v>
      </c>
      <c r="D258" s="687">
        <f>+H119</f>
        <v>0</v>
      </c>
      <c r="E258" s="687">
        <f>H120</f>
        <v>0</v>
      </c>
      <c r="F258" s="687">
        <f>+H121</f>
        <v>0</v>
      </c>
      <c r="G258" s="687">
        <f>+H122</f>
        <v>0</v>
      </c>
      <c r="H258" s="929"/>
      <c r="I258" s="928">
        <f>+H123</f>
        <v>0</v>
      </c>
      <c r="J258" s="928">
        <f>+H124</f>
        <v>0</v>
      </c>
      <c r="K258" s="928">
        <f>+H125</f>
        <v>0</v>
      </c>
      <c r="L258" s="929"/>
      <c r="M258" s="929"/>
      <c r="N258" s="929"/>
      <c r="O258" s="929"/>
      <c r="P258" s="688">
        <f t="shared" si="42"/>
        <v>0</v>
      </c>
      <c r="Q258" s="419"/>
      <c r="R258" s="419"/>
    </row>
    <row r="259" spans="1:19" s="211" customFormat="1" ht="12.75">
      <c r="A259" s="692" t="s">
        <v>38</v>
      </c>
      <c r="B259" s="693" t="s">
        <v>180</v>
      </c>
      <c r="C259" s="687">
        <f>+H128+H136</f>
        <v>0</v>
      </c>
      <c r="D259" s="687">
        <f>+H129</f>
        <v>0</v>
      </c>
      <c r="E259" s="687">
        <f>H130</f>
        <v>0</v>
      </c>
      <c r="F259" s="687">
        <f>+H131</f>
        <v>0</v>
      </c>
      <c r="G259" s="687">
        <f>+H132</f>
        <v>0</v>
      </c>
      <c r="H259" s="929"/>
      <c r="I259" s="928">
        <f>+H133</f>
        <v>0</v>
      </c>
      <c r="J259" s="928">
        <f>+H134</f>
        <v>0</v>
      </c>
      <c r="K259" s="928">
        <f>+H135</f>
        <v>0</v>
      </c>
      <c r="L259" s="929"/>
      <c r="M259" s="929"/>
      <c r="N259" s="929"/>
      <c r="O259" s="929"/>
      <c r="P259" s="688">
        <f t="shared" si="42"/>
        <v>0</v>
      </c>
      <c r="Q259" s="419"/>
      <c r="R259" s="419"/>
    </row>
    <row r="260" spans="1:19" s="211" customFormat="1" ht="12.75">
      <c r="A260" s="692" t="s">
        <v>39</v>
      </c>
      <c r="B260" s="693" t="s">
        <v>181</v>
      </c>
      <c r="C260" s="687">
        <f>+H138</f>
        <v>0</v>
      </c>
      <c r="D260" s="689"/>
      <c r="E260" s="689"/>
      <c r="F260" s="689"/>
      <c r="G260" s="689"/>
      <c r="H260" s="929"/>
      <c r="I260" s="929"/>
      <c r="J260" s="929"/>
      <c r="K260" s="929"/>
      <c r="L260" s="929"/>
      <c r="M260" s="929"/>
      <c r="N260" s="929"/>
      <c r="O260" s="929"/>
      <c r="P260" s="688">
        <f t="shared" si="42"/>
        <v>0</v>
      </c>
      <c r="Q260" s="419"/>
      <c r="R260" s="419"/>
    </row>
    <row r="261" spans="1:19" s="211" customFormat="1" ht="12.75">
      <c r="A261" s="692" t="s">
        <v>40</v>
      </c>
      <c r="B261" s="693" t="s">
        <v>712</v>
      </c>
      <c r="C261" s="687">
        <f>+H140+H149</f>
        <v>0</v>
      </c>
      <c r="D261" s="687">
        <f>+H141+H150</f>
        <v>0</v>
      </c>
      <c r="E261" s="687">
        <f>H142+H151</f>
        <v>0</v>
      </c>
      <c r="F261" s="687">
        <f>+H143+H152</f>
        <v>0</v>
      </c>
      <c r="G261" s="687">
        <f>+H144+H153</f>
        <v>0</v>
      </c>
      <c r="H261" s="929"/>
      <c r="I261" s="928">
        <f>+H145+H154</f>
        <v>0</v>
      </c>
      <c r="J261" s="928">
        <f>+H146+H155</f>
        <v>0</v>
      </c>
      <c r="K261" s="928">
        <f>+H147+H156</f>
        <v>0</v>
      </c>
      <c r="L261" s="929"/>
      <c r="M261" s="929"/>
      <c r="N261" s="929"/>
      <c r="O261" s="929"/>
      <c r="P261" s="688">
        <f t="shared" si="42"/>
        <v>0</v>
      </c>
      <c r="Q261" s="419"/>
      <c r="R261" s="419"/>
    </row>
    <row r="262" spans="1:19" s="211" customFormat="1" ht="12.75">
      <c r="A262" s="692" t="s">
        <v>41</v>
      </c>
      <c r="B262" s="693" t="s">
        <v>182</v>
      </c>
      <c r="C262" s="687">
        <f>+H158+H166</f>
        <v>0</v>
      </c>
      <c r="D262" s="687">
        <f>+H159+H167</f>
        <v>0</v>
      </c>
      <c r="E262" s="689"/>
      <c r="F262" s="687">
        <f>+H160+H168</f>
        <v>0</v>
      </c>
      <c r="G262" s="687">
        <f>+H161+H169</f>
        <v>0</v>
      </c>
      <c r="H262" s="929"/>
      <c r="I262" s="928">
        <f>+H162+H170</f>
        <v>0</v>
      </c>
      <c r="J262" s="928">
        <f>+H163+H171</f>
        <v>0</v>
      </c>
      <c r="K262" s="928">
        <f>+H164+H172</f>
        <v>0</v>
      </c>
      <c r="L262" s="929"/>
      <c r="M262" s="929"/>
      <c r="N262" s="929"/>
      <c r="O262" s="929"/>
      <c r="P262" s="688">
        <f t="shared" si="42"/>
        <v>0</v>
      </c>
      <c r="Q262" s="419"/>
      <c r="R262" s="419"/>
    </row>
    <row r="263" spans="1:19" s="211" customFormat="1" ht="12.75">
      <c r="A263" s="692" t="s">
        <v>42</v>
      </c>
      <c r="B263" s="693" t="s">
        <v>713</v>
      </c>
      <c r="C263" s="687">
        <f>+H174+H183</f>
        <v>0</v>
      </c>
      <c r="D263" s="687">
        <f>+H175+H184</f>
        <v>0</v>
      </c>
      <c r="E263" s="687">
        <f>H176+H185</f>
        <v>0</v>
      </c>
      <c r="F263" s="687">
        <f>+H177+H186</f>
        <v>0</v>
      </c>
      <c r="G263" s="687">
        <f>+H178+H187</f>
        <v>0</v>
      </c>
      <c r="H263" s="929"/>
      <c r="I263" s="928">
        <f>+H179+H188</f>
        <v>0</v>
      </c>
      <c r="J263" s="928">
        <f>+H198</f>
        <v>0</v>
      </c>
      <c r="K263" s="928">
        <f>+H181</f>
        <v>0</v>
      </c>
      <c r="L263" s="929"/>
      <c r="M263" s="929"/>
      <c r="N263" s="929"/>
      <c r="O263" s="929"/>
      <c r="P263" s="688">
        <f t="shared" si="42"/>
        <v>0</v>
      </c>
      <c r="Q263" s="419"/>
      <c r="R263" s="419"/>
    </row>
    <row r="264" spans="1:19" s="211" customFormat="1" ht="12.75">
      <c r="A264" s="420" t="s">
        <v>43</v>
      </c>
      <c r="B264" s="424" t="s">
        <v>698</v>
      </c>
      <c r="C264" s="687">
        <f>+H192</f>
        <v>0</v>
      </c>
      <c r="D264" s="687">
        <f>+H193</f>
        <v>0</v>
      </c>
      <c r="E264" s="687">
        <f>+H194</f>
        <v>0</v>
      </c>
      <c r="F264" s="687">
        <f>+H195</f>
        <v>0</v>
      </c>
      <c r="G264" s="687">
        <f>H196</f>
        <v>0</v>
      </c>
      <c r="H264" s="929"/>
      <c r="I264" s="928">
        <f>+H197</f>
        <v>0</v>
      </c>
      <c r="J264" s="928">
        <f>H180+H189</f>
        <v>0</v>
      </c>
      <c r="K264" s="928">
        <f>+H181+H190</f>
        <v>0</v>
      </c>
      <c r="L264" s="928">
        <f>H200</f>
        <v>0</v>
      </c>
      <c r="M264" s="928">
        <f>H201</f>
        <v>0</v>
      </c>
      <c r="N264" s="928">
        <f>H202</f>
        <v>0</v>
      </c>
      <c r="O264" s="929"/>
      <c r="P264" s="688">
        <f t="shared" si="42"/>
        <v>0</v>
      </c>
      <c r="Q264" s="419"/>
      <c r="R264" s="419"/>
    </row>
    <row r="265" spans="1:19" s="211" customFormat="1" ht="12.75">
      <c r="A265" s="420" t="s">
        <v>45</v>
      </c>
      <c r="B265" s="424" t="s">
        <v>183</v>
      </c>
      <c r="C265" s="687">
        <f>+H206</f>
        <v>0</v>
      </c>
      <c r="D265" s="687">
        <f>+H207</f>
        <v>0</v>
      </c>
      <c r="E265" s="687">
        <f>H208</f>
        <v>0</v>
      </c>
      <c r="F265" s="687">
        <f>+H209</f>
        <v>0</v>
      </c>
      <c r="G265" s="687">
        <f>+H210</f>
        <v>0</v>
      </c>
      <c r="H265" s="929"/>
      <c r="I265" s="928">
        <f>+H211</f>
        <v>0</v>
      </c>
      <c r="J265" s="928">
        <f>+H212</f>
        <v>0</v>
      </c>
      <c r="K265" s="928">
        <f>+H213</f>
        <v>0</v>
      </c>
      <c r="L265" s="929"/>
      <c r="M265" s="929"/>
      <c r="N265" s="929"/>
      <c r="O265" s="929"/>
      <c r="P265" s="688">
        <f t="shared" si="42"/>
        <v>0</v>
      </c>
      <c r="Q265" s="419"/>
      <c r="R265" s="419"/>
    </row>
    <row r="266" spans="1:19" s="211" customFormat="1" ht="12.75">
      <c r="A266" s="420" t="s">
        <v>46</v>
      </c>
      <c r="B266" s="424" t="s">
        <v>184</v>
      </c>
      <c r="C266" s="687">
        <f>+H215</f>
        <v>0</v>
      </c>
      <c r="D266" s="687">
        <f>+H216</f>
        <v>0</v>
      </c>
      <c r="E266" s="687">
        <f>+H217</f>
        <v>0</v>
      </c>
      <c r="F266" s="687">
        <f>+H218</f>
        <v>0</v>
      </c>
      <c r="G266" s="687">
        <f>+H219</f>
        <v>0</v>
      </c>
      <c r="H266" s="929"/>
      <c r="I266" s="928">
        <f>+H220</f>
        <v>0</v>
      </c>
      <c r="J266" s="928">
        <f>+H221</f>
        <v>0</v>
      </c>
      <c r="K266" s="928">
        <f>+H222</f>
        <v>0</v>
      </c>
      <c r="L266" s="929"/>
      <c r="M266" s="929"/>
      <c r="N266" s="929"/>
      <c r="O266" s="929"/>
      <c r="P266" s="688">
        <f t="shared" si="42"/>
        <v>0</v>
      </c>
      <c r="Q266" s="419"/>
      <c r="R266" s="419"/>
    </row>
    <row r="267" spans="1:19" s="211" customFormat="1" ht="12.75">
      <c r="A267" s="425"/>
      <c r="B267" s="849" t="s">
        <v>934</v>
      </c>
      <c r="C267" s="690">
        <f>SUM(C250:C266)</f>
        <v>0</v>
      </c>
      <c r="D267" s="690">
        <f>SUM(D250:D266)</f>
        <v>0</v>
      </c>
      <c r="E267" s="690">
        <f>SUM(E253:E264)</f>
        <v>0</v>
      </c>
      <c r="F267" s="690">
        <f>SUM(F253:F264)</f>
        <v>0</v>
      </c>
      <c r="G267" s="690">
        <f>SUM(G253:G264)</f>
        <v>0</v>
      </c>
      <c r="H267" s="927">
        <f t="shared" ref="H267:P267" si="43">SUM(H250:H266)</f>
        <v>0</v>
      </c>
      <c r="I267" s="927">
        <f t="shared" si="43"/>
        <v>0</v>
      </c>
      <c r="J267" s="927">
        <f t="shared" si="43"/>
        <v>0</v>
      </c>
      <c r="K267" s="927">
        <f t="shared" si="43"/>
        <v>0</v>
      </c>
      <c r="L267" s="927">
        <f t="shared" si="43"/>
        <v>0</v>
      </c>
      <c r="M267" s="927">
        <f t="shared" si="43"/>
        <v>0</v>
      </c>
      <c r="N267" s="927">
        <f t="shared" si="43"/>
        <v>0</v>
      </c>
      <c r="O267" s="927">
        <f t="shared" si="43"/>
        <v>0</v>
      </c>
      <c r="P267" s="691">
        <f t="shared" si="43"/>
        <v>0</v>
      </c>
      <c r="Q267" s="419"/>
      <c r="R267" s="419"/>
    </row>
    <row r="268" spans="1:19" s="9" customFormat="1">
      <c r="A268" s="25"/>
      <c r="B268" s="121"/>
      <c r="E268" s="127"/>
      <c r="F268" s="26"/>
      <c r="G268" s="26"/>
      <c r="H268" s="26"/>
      <c r="I268" s="121"/>
      <c r="J268" s="26"/>
    </row>
    <row r="270" spans="1:19" ht="18.75">
      <c r="A270" s="60" t="s">
        <v>809</v>
      </c>
      <c r="B270" s="60"/>
      <c r="C270" s="60"/>
      <c r="D270" s="60"/>
      <c r="E270" s="60"/>
      <c r="F270" s="60"/>
      <c r="G270" s="60"/>
      <c r="H270" s="60"/>
      <c r="I270" s="60"/>
      <c r="J270" s="60"/>
      <c r="K270" s="60"/>
      <c r="L270" s="60"/>
      <c r="M270" s="60"/>
      <c r="N270" s="60"/>
      <c r="O270" s="60"/>
      <c r="P270" s="60"/>
    </row>
    <row r="271" spans="1:19" ht="88.5" customHeight="1">
      <c r="A271" s="459"/>
      <c r="B271" s="460"/>
      <c r="C271" s="461" t="s">
        <v>801</v>
      </c>
      <c r="D271" s="461" t="s">
        <v>802</v>
      </c>
      <c r="E271" s="461" t="s">
        <v>2</v>
      </c>
      <c r="F271" s="461" t="s">
        <v>803</v>
      </c>
      <c r="G271" s="461" t="s">
        <v>804</v>
      </c>
      <c r="H271" s="919" t="s">
        <v>349</v>
      </c>
      <c r="I271" s="919" t="s">
        <v>805</v>
      </c>
      <c r="J271" s="919" t="s">
        <v>806</v>
      </c>
      <c r="K271" s="919" t="s">
        <v>342</v>
      </c>
      <c r="L271" s="919" t="s">
        <v>354</v>
      </c>
      <c r="M271" s="920" t="s">
        <v>352</v>
      </c>
      <c r="N271" s="921" t="s">
        <v>66</v>
      </c>
      <c r="O271" s="921" t="s">
        <v>353</v>
      </c>
      <c r="P271" s="462" t="s">
        <v>399</v>
      </c>
      <c r="Q271" s="697" t="s">
        <v>811</v>
      </c>
      <c r="R271" s="697" t="s">
        <v>936</v>
      </c>
      <c r="S271" s="697" t="s">
        <v>935</v>
      </c>
    </row>
    <row r="272" spans="1:19">
      <c r="A272" s="417" t="s">
        <v>32</v>
      </c>
      <c r="B272" s="418" t="s">
        <v>64</v>
      </c>
      <c r="C272" s="695">
        <f>+I22</f>
        <v>0</v>
      </c>
      <c r="D272" s="695">
        <f>+I23</f>
        <v>0</v>
      </c>
      <c r="E272" s="695">
        <f>I24</f>
        <v>0</v>
      </c>
      <c r="F272" s="695">
        <f>+I25</f>
        <v>0</v>
      </c>
      <c r="G272" s="695">
        <f>+I26</f>
        <v>0</v>
      </c>
      <c r="H272" s="922">
        <f>+I27</f>
        <v>0</v>
      </c>
      <c r="I272" s="922">
        <f>+I28</f>
        <v>0</v>
      </c>
      <c r="J272" s="922">
        <f>+I29</f>
        <v>0</v>
      </c>
      <c r="K272" s="922">
        <f>+I30</f>
        <v>0</v>
      </c>
      <c r="L272" s="922">
        <f>+I31</f>
        <v>0</v>
      </c>
      <c r="M272" s="922">
        <f>+I32</f>
        <v>0</v>
      </c>
      <c r="N272" s="922">
        <f>+I33</f>
        <v>0</v>
      </c>
      <c r="O272" s="922">
        <f>+I34</f>
        <v>0</v>
      </c>
      <c r="P272" s="695">
        <f>SUM(C272:O272)</f>
        <v>0</v>
      </c>
      <c r="Q272" s="851" t="str">
        <f>IFERROR(P272/$P$289,"")</f>
        <v/>
      </c>
      <c r="R272" s="851" t="str">
        <f>IFERROR(P272/'OSNOVNI PODATKI'!$E$311,"")</f>
        <v/>
      </c>
      <c r="S272" s="851" t="str">
        <f>IFERROR(P272/'OSNOVNI PODATKI'!$E$350,"")</f>
        <v/>
      </c>
    </row>
    <row r="273" spans="1:19">
      <c r="A273" s="417" t="s">
        <v>33</v>
      </c>
      <c r="B273" s="418" t="s">
        <v>65</v>
      </c>
      <c r="C273" s="695">
        <f>+I36</f>
        <v>0</v>
      </c>
      <c r="D273" s="695">
        <f>+I37</f>
        <v>0</v>
      </c>
      <c r="E273" s="695">
        <f>I38</f>
        <v>0</v>
      </c>
      <c r="F273" s="695">
        <f>+I39</f>
        <v>0</v>
      </c>
      <c r="G273" s="695">
        <f>+I40</f>
        <v>0</v>
      </c>
      <c r="H273" s="922">
        <f>+I41</f>
        <v>0</v>
      </c>
      <c r="I273" s="922">
        <f>+I42</f>
        <v>0</v>
      </c>
      <c r="J273" s="922">
        <f>+I43</f>
        <v>0</v>
      </c>
      <c r="K273" s="922">
        <f>+I44</f>
        <v>0</v>
      </c>
      <c r="L273" s="922">
        <f>+I45</f>
        <v>0</v>
      </c>
      <c r="M273" s="922">
        <f>+I46</f>
        <v>0</v>
      </c>
      <c r="N273" s="922">
        <f>+I47</f>
        <v>0</v>
      </c>
      <c r="O273" s="922">
        <f>+I48</f>
        <v>0</v>
      </c>
      <c r="P273" s="695">
        <f t="shared" ref="P273:P288" si="44">SUM(C273:O273)</f>
        <v>0</v>
      </c>
      <c r="Q273" s="851" t="str">
        <f t="shared" ref="Q273:Q288" si="45">IFERROR(P273/$P$289,"")</f>
        <v/>
      </c>
      <c r="R273" s="851" t="str">
        <f>IFERROR(P273/'OSNOVNI PODATKI'!$E$311,"")</f>
        <v/>
      </c>
      <c r="S273" s="851" t="str">
        <f>IFERROR(P273/'OSNOVNI PODATKI'!$E$350,"")</f>
        <v/>
      </c>
    </row>
    <row r="274" spans="1:19">
      <c r="A274" s="417" t="s">
        <v>34</v>
      </c>
      <c r="B274" s="418" t="s">
        <v>695</v>
      </c>
      <c r="C274" s="695">
        <f>+I49</f>
        <v>0</v>
      </c>
      <c r="D274" s="925"/>
      <c r="E274" s="925"/>
      <c r="F274" s="925"/>
      <c r="G274" s="925"/>
      <c r="H274" s="923"/>
      <c r="I274" s="923"/>
      <c r="J274" s="923"/>
      <c r="K274" s="923"/>
      <c r="L274" s="923"/>
      <c r="M274" s="923"/>
      <c r="N274" s="923"/>
      <c r="O274" s="923"/>
      <c r="P274" s="695">
        <f t="shared" si="44"/>
        <v>0</v>
      </c>
      <c r="Q274" s="851" t="str">
        <f t="shared" si="45"/>
        <v/>
      </c>
      <c r="R274" s="851" t="str">
        <f>IFERROR(P274/'OSNOVNI PODATKI'!$E$311,"")</f>
        <v/>
      </c>
      <c r="S274" s="851" t="str">
        <f>IFERROR(P274/'OSNOVNI PODATKI'!$E$350,"")</f>
        <v/>
      </c>
    </row>
    <row r="275" spans="1:19">
      <c r="A275" s="417" t="s">
        <v>48</v>
      </c>
      <c r="B275" s="418" t="s">
        <v>78</v>
      </c>
      <c r="C275" s="695">
        <f>+I52</f>
        <v>0</v>
      </c>
      <c r="D275" s="695">
        <f>+I53</f>
        <v>0</v>
      </c>
      <c r="E275" s="695">
        <f>I54</f>
        <v>0</v>
      </c>
      <c r="F275" s="695">
        <f>+I55</f>
        <v>0</v>
      </c>
      <c r="G275" s="695">
        <f>+I56</f>
        <v>0</v>
      </c>
      <c r="H275" s="922">
        <f>+I57</f>
        <v>0</v>
      </c>
      <c r="I275" s="922">
        <f>I58</f>
        <v>0</v>
      </c>
      <c r="J275" s="922">
        <f>+I59</f>
        <v>0</v>
      </c>
      <c r="K275" s="922">
        <f>+I60</f>
        <v>0</v>
      </c>
      <c r="L275" s="922">
        <f>+I61</f>
        <v>0</v>
      </c>
      <c r="M275" s="922">
        <f>I62</f>
        <v>0</v>
      </c>
      <c r="N275" s="922">
        <f>I63</f>
        <v>0</v>
      </c>
      <c r="O275" s="922">
        <f>I64</f>
        <v>0</v>
      </c>
      <c r="P275" s="695">
        <f t="shared" si="44"/>
        <v>0</v>
      </c>
      <c r="Q275" s="851" t="str">
        <f t="shared" si="45"/>
        <v/>
      </c>
      <c r="R275" s="851" t="str">
        <f>IFERROR(P275/'OSNOVNI PODATKI'!$E$311,"")</f>
        <v/>
      </c>
      <c r="S275" s="851" t="str">
        <f>IFERROR(P275/'OSNOVNI PODATKI'!$E$350,"")</f>
        <v/>
      </c>
    </row>
    <row r="276" spans="1:19">
      <c r="A276" s="420" t="s">
        <v>49</v>
      </c>
      <c r="B276" s="421" t="s">
        <v>624</v>
      </c>
      <c r="C276" s="695">
        <f>+I66</f>
        <v>0</v>
      </c>
      <c r="D276" s="695">
        <f>+I67</f>
        <v>0</v>
      </c>
      <c r="E276" s="695">
        <f>I68</f>
        <v>0</v>
      </c>
      <c r="F276" s="695">
        <f>+I69</f>
        <v>0</v>
      </c>
      <c r="G276" s="695">
        <f>+I70</f>
        <v>0</v>
      </c>
      <c r="H276" s="922">
        <f>+I71</f>
        <v>0</v>
      </c>
      <c r="I276" s="922">
        <f>I72</f>
        <v>0</v>
      </c>
      <c r="J276" s="922">
        <f>+I73</f>
        <v>0</v>
      </c>
      <c r="K276" s="922">
        <f>+I74</f>
        <v>0</v>
      </c>
      <c r="L276" s="922">
        <f>I75</f>
        <v>0</v>
      </c>
      <c r="M276" s="922">
        <f>I76</f>
        <v>0</v>
      </c>
      <c r="N276" s="922">
        <f>I77</f>
        <v>0</v>
      </c>
      <c r="O276" s="922">
        <f>I78</f>
        <v>0</v>
      </c>
      <c r="P276" s="695">
        <f t="shared" si="44"/>
        <v>0</v>
      </c>
      <c r="Q276" s="851" t="str">
        <f t="shared" si="45"/>
        <v/>
      </c>
      <c r="R276" s="851" t="str">
        <f>IFERROR(P276/'OSNOVNI PODATKI'!$E$311,"")</f>
        <v/>
      </c>
      <c r="S276" s="851" t="str">
        <f>IFERROR(P276/'OSNOVNI PODATKI'!$E$350,"")</f>
        <v/>
      </c>
    </row>
    <row r="277" spans="1:19">
      <c r="A277" s="420" t="s">
        <v>50</v>
      </c>
      <c r="B277" s="421" t="s">
        <v>699</v>
      </c>
      <c r="C277" s="695">
        <f>+I79</f>
        <v>0</v>
      </c>
      <c r="D277" s="925"/>
      <c r="E277" s="925"/>
      <c r="F277" s="925"/>
      <c r="G277" s="925"/>
      <c r="H277" s="923"/>
      <c r="I277" s="923"/>
      <c r="J277" s="923"/>
      <c r="K277" s="923"/>
      <c r="L277" s="923"/>
      <c r="M277" s="923"/>
      <c r="N277" s="923"/>
      <c r="O277" s="923"/>
      <c r="P277" s="695">
        <f t="shared" si="44"/>
        <v>0</v>
      </c>
      <c r="Q277" s="851" t="str">
        <f t="shared" si="45"/>
        <v/>
      </c>
      <c r="R277" s="851" t="str">
        <f>IFERROR(P277/'OSNOVNI PODATKI'!$E$311,"")</f>
        <v/>
      </c>
      <c r="S277" s="851" t="str">
        <f>IFERROR(P277/'OSNOVNI PODATKI'!$E$350,"")</f>
        <v/>
      </c>
    </row>
    <row r="278" spans="1:19">
      <c r="A278" s="420" t="s">
        <v>79</v>
      </c>
      <c r="B278" s="421" t="s">
        <v>625</v>
      </c>
      <c r="C278" s="695">
        <f>+I84</f>
        <v>0</v>
      </c>
      <c r="D278" s="695">
        <f>+I85</f>
        <v>0</v>
      </c>
      <c r="E278" s="695">
        <f>I86</f>
        <v>0</v>
      </c>
      <c r="F278" s="695">
        <f>+I87</f>
        <v>0</v>
      </c>
      <c r="G278" s="695">
        <f>+I88</f>
        <v>0</v>
      </c>
      <c r="H278" s="922">
        <f>+I89</f>
        <v>0</v>
      </c>
      <c r="I278" s="922">
        <f>I90</f>
        <v>0</v>
      </c>
      <c r="J278" s="922">
        <f>+I91</f>
        <v>0</v>
      </c>
      <c r="K278" s="922">
        <f>+I92</f>
        <v>0</v>
      </c>
      <c r="L278" s="922">
        <f>I93</f>
        <v>0</v>
      </c>
      <c r="M278" s="922">
        <f>I94</f>
        <v>0</v>
      </c>
      <c r="N278" s="922">
        <f>I95</f>
        <v>0</v>
      </c>
      <c r="O278" s="922">
        <f>I96</f>
        <v>0</v>
      </c>
      <c r="P278" s="695">
        <f t="shared" si="44"/>
        <v>0</v>
      </c>
      <c r="Q278" s="851" t="str">
        <f t="shared" si="45"/>
        <v/>
      </c>
      <c r="R278" s="851" t="str">
        <f>IFERROR(P278/'OSNOVNI PODATKI'!$E$311,"")</f>
        <v/>
      </c>
      <c r="S278" s="851" t="str">
        <f>IFERROR(P278/'OSNOVNI PODATKI'!$E$350,"")</f>
        <v/>
      </c>
    </row>
    <row r="279" spans="1:19">
      <c r="A279" s="422" t="s">
        <v>80</v>
      </c>
      <c r="B279" s="423" t="s">
        <v>81</v>
      </c>
      <c r="C279" s="695">
        <f>+I99+I115</f>
        <v>0</v>
      </c>
      <c r="D279" s="695">
        <f>+I100+I108</f>
        <v>0</v>
      </c>
      <c r="E279" s="695">
        <f>+I101+I109</f>
        <v>0</v>
      </c>
      <c r="F279" s="695">
        <f>+I102+I110</f>
        <v>0</v>
      </c>
      <c r="G279" s="695">
        <f>+I103+I111</f>
        <v>0</v>
      </c>
      <c r="H279" s="922"/>
      <c r="I279" s="922">
        <f>+I104+I112</f>
        <v>0</v>
      </c>
      <c r="J279" s="922">
        <f>+I105+I113</f>
        <v>0</v>
      </c>
      <c r="K279" s="922">
        <f>+I106+I114</f>
        <v>0</v>
      </c>
      <c r="L279" s="923"/>
      <c r="M279" s="923"/>
      <c r="N279" s="923"/>
      <c r="O279" s="923"/>
      <c r="P279" s="695">
        <f t="shared" si="44"/>
        <v>0</v>
      </c>
      <c r="Q279" s="851" t="str">
        <f t="shared" si="45"/>
        <v/>
      </c>
      <c r="R279" s="851" t="str">
        <f>IFERROR(P279/'OSNOVNI PODATKI'!$E$311,"")</f>
        <v/>
      </c>
      <c r="S279" s="851" t="str">
        <f>IFERROR(P279/'OSNOVNI PODATKI'!$E$350,"")</f>
        <v/>
      </c>
    </row>
    <row r="280" spans="1:19">
      <c r="A280" s="692" t="s">
        <v>37</v>
      </c>
      <c r="B280" s="693" t="s">
        <v>697</v>
      </c>
      <c r="C280" s="695">
        <f>+I118+I126</f>
        <v>0</v>
      </c>
      <c r="D280" s="695">
        <f>+I119</f>
        <v>0</v>
      </c>
      <c r="E280" s="695">
        <f>+I120</f>
        <v>0</v>
      </c>
      <c r="F280" s="695">
        <f>+I121</f>
        <v>0</v>
      </c>
      <c r="G280" s="695">
        <f>+I122</f>
        <v>0</v>
      </c>
      <c r="H280" s="923"/>
      <c r="I280" s="922">
        <f>+I123</f>
        <v>0</v>
      </c>
      <c r="J280" s="922">
        <f>+I124</f>
        <v>0</v>
      </c>
      <c r="K280" s="922">
        <f>+I125</f>
        <v>0</v>
      </c>
      <c r="L280" s="923"/>
      <c r="M280" s="923"/>
      <c r="N280" s="923"/>
      <c r="O280" s="923"/>
      <c r="P280" s="695">
        <f t="shared" si="44"/>
        <v>0</v>
      </c>
      <c r="Q280" s="851" t="str">
        <f t="shared" si="45"/>
        <v/>
      </c>
      <c r="R280" s="851" t="str">
        <f>IFERROR(P280/'OSNOVNI PODATKI'!$E$311,"")</f>
        <v/>
      </c>
      <c r="S280" s="851" t="str">
        <f>IFERROR(P280/'OSNOVNI PODATKI'!$E$350,"")</f>
        <v/>
      </c>
    </row>
    <row r="281" spans="1:19">
      <c r="A281" s="692" t="s">
        <v>38</v>
      </c>
      <c r="B281" s="693" t="s">
        <v>180</v>
      </c>
      <c r="C281" s="695">
        <f>+I128+I136</f>
        <v>0</v>
      </c>
      <c r="D281" s="695">
        <f>+I129</f>
        <v>0</v>
      </c>
      <c r="E281" s="695">
        <f>+I130</f>
        <v>0</v>
      </c>
      <c r="F281" s="695">
        <f>+I131</f>
        <v>0</v>
      </c>
      <c r="G281" s="695">
        <f>+I132</f>
        <v>0</v>
      </c>
      <c r="H281" s="923"/>
      <c r="I281" s="922">
        <f>+I133</f>
        <v>0</v>
      </c>
      <c r="J281" s="922">
        <f>+I134</f>
        <v>0</v>
      </c>
      <c r="K281" s="922">
        <f>+I135</f>
        <v>0</v>
      </c>
      <c r="L281" s="923"/>
      <c r="M281" s="923"/>
      <c r="N281" s="923"/>
      <c r="O281" s="923"/>
      <c r="P281" s="695">
        <f t="shared" si="44"/>
        <v>0</v>
      </c>
      <c r="Q281" s="851" t="str">
        <f t="shared" si="45"/>
        <v/>
      </c>
      <c r="R281" s="851" t="str">
        <f>IFERROR(P281/'OSNOVNI PODATKI'!$E$311,"")</f>
        <v/>
      </c>
      <c r="S281" s="851" t="str">
        <f>IFERROR(P281/'OSNOVNI PODATKI'!$E$350,"")</f>
        <v/>
      </c>
    </row>
    <row r="282" spans="1:19">
      <c r="A282" s="692" t="s">
        <v>39</v>
      </c>
      <c r="B282" s="693" t="s">
        <v>181</v>
      </c>
      <c r="C282" s="695">
        <f>+I138</f>
        <v>0</v>
      </c>
      <c r="D282" s="925"/>
      <c r="E282" s="925"/>
      <c r="F282" s="925"/>
      <c r="G282" s="925"/>
      <c r="H282" s="923"/>
      <c r="I282" s="923"/>
      <c r="J282" s="923"/>
      <c r="K282" s="923"/>
      <c r="L282" s="923"/>
      <c r="M282" s="923"/>
      <c r="N282" s="923"/>
      <c r="O282" s="923"/>
      <c r="P282" s="695">
        <f t="shared" si="44"/>
        <v>0</v>
      </c>
      <c r="Q282" s="851" t="str">
        <f t="shared" si="45"/>
        <v/>
      </c>
      <c r="R282" s="851" t="str">
        <f>IFERROR(P282/'OSNOVNI PODATKI'!$E$311,"")</f>
        <v/>
      </c>
      <c r="S282" s="851" t="str">
        <f>IFERROR(P282/'OSNOVNI PODATKI'!$E$350,"")</f>
        <v/>
      </c>
    </row>
    <row r="283" spans="1:19">
      <c r="A283" s="692" t="s">
        <v>40</v>
      </c>
      <c r="B283" s="693" t="s">
        <v>712</v>
      </c>
      <c r="C283" s="695">
        <f>+I140+I149</f>
        <v>0</v>
      </c>
      <c r="D283" s="695">
        <f>+I141+I150</f>
        <v>0</v>
      </c>
      <c r="E283" s="695">
        <f>+I142+I151</f>
        <v>0</v>
      </c>
      <c r="F283" s="695">
        <f>+I143+I152</f>
        <v>0</v>
      </c>
      <c r="G283" s="695">
        <f>+I144+I153</f>
        <v>0</v>
      </c>
      <c r="H283" s="923"/>
      <c r="I283" s="922">
        <f>+I145+I154</f>
        <v>0</v>
      </c>
      <c r="J283" s="922">
        <f>+I146+I155</f>
        <v>0</v>
      </c>
      <c r="K283" s="922">
        <f>+I147+I156</f>
        <v>0</v>
      </c>
      <c r="L283" s="923"/>
      <c r="M283" s="923"/>
      <c r="N283" s="923"/>
      <c r="O283" s="923"/>
      <c r="P283" s="695">
        <f t="shared" si="44"/>
        <v>0</v>
      </c>
      <c r="Q283" s="851" t="str">
        <f t="shared" si="45"/>
        <v/>
      </c>
      <c r="R283" s="851" t="str">
        <f>IFERROR(P283/'OSNOVNI PODATKI'!$E$311,"")</f>
        <v/>
      </c>
      <c r="S283" s="851" t="str">
        <f>IFERROR(P283/'OSNOVNI PODATKI'!$E$350,"")</f>
        <v/>
      </c>
    </row>
    <row r="284" spans="1:19">
      <c r="A284" s="692" t="s">
        <v>41</v>
      </c>
      <c r="B284" s="693" t="s">
        <v>182</v>
      </c>
      <c r="C284" s="695">
        <f>+I158+I166</f>
        <v>0</v>
      </c>
      <c r="D284" s="695">
        <f>+I159+I167</f>
        <v>0</v>
      </c>
      <c r="E284" s="925"/>
      <c r="F284" s="695">
        <f>+I160+I168</f>
        <v>0</v>
      </c>
      <c r="G284" s="695">
        <f>+I161+I169</f>
        <v>0</v>
      </c>
      <c r="H284" s="923"/>
      <c r="I284" s="922">
        <f>+I162+I170</f>
        <v>0</v>
      </c>
      <c r="J284" s="922">
        <f>+I163+I171</f>
        <v>0</v>
      </c>
      <c r="K284" s="922">
        <f>+I164+I172</f>
        <v>0</v>
      </c>
      <c r="L284" s="923"/>
      <c r="M284" s="923"/>
      <c r="N284" s="923"/>
      <c r="O284" s="923"/>
      <c r="P284" s="695">
        <f t="shared" si="44"/>
        <v>0</v>
      </c>
      <c r="Q284" s="851" t="str">
        <f t="shared" si="45"/>
        <v/>
      </c>
      <c r="R284" s="851" t="str">
        <f>IFERROR(P284/'OSNOVNI PODATKI'!$E$311,"")</f>
        <v/>
      </c>
      <c r="S284" s="851" t="str">
        <f>IFERROR(P284/'OSNOVNI PODATKI'!$E$350,"")</f>
        <v/>
      </c>
    </row>
    <row r="285" spans="1:19">
      <c r="A285" s="692" t="s">
        <v>42</v>
      </c>
      <c r="B285" s="693" t="s">
        <v>713</v>
      </c>
      <c r="C285" s="695">
        <f>+I174+I183</f>
        <v>0</v>
      </c>
      <c r="D285" s="695">
        <f>+I175+I184</f>
        <v>0</v>
      </c>
      <c r="E285" s="695">
        <f>+I176+I185</f>
        <v>0</v>
      </c>
      <c r="F285" s="695">
        <f>+I177+I186</f>
        <v>0</v>
      </c>
      <c r="G285" s="695">
        <f>+I178+I187</f>
        <v>0</v>
      </c>
      <c r="H285" s="923"/>
      <c r="I285" s="922">
        <f>+I179+I188</f>
        <v>0</v>
      </c>
      <c r="J285" s="922">
        <f>+I180+I189</f>
        <v>0</v>
      </c>
      <c r="K285" s="922">
        <f>+I181+I190</f>
        <v>0</v>
      </c>
      <c r="L285" s="923"/>
      <c r="M285" s="923"/>
      <c r="N285" s="923"/>
      <c r="O285" s="923"/>
      <c r="P285" s="695">
        <f t="shared" si="44"/>
        <v>0</v>
      </c>
      <c r="Q285" s="851" t="str">
        <f t="shared" si="45"/>
        <v/>
      </c>
      <c r="R285" s="851" t="str">
        <f>IFERROR(P285/'OSNOVNI PODATKI'!$E$311,"")</f>
        <v/>
      </c>
      <c r="S285" s="851" t="str">
        <f>IFERROR(P285/'OSNOVNI PODATKI'!$E$350,"")</f>
        <v/>
      </c>
    </row>
    <row r="286" spans="1:19">
      <c r="A286" s="420" t="s">
        <v>43</v>
      </c>
      <c r="B286" s="424" t="s">
        <v>698</v>
      </c>
      <c r="C286" s="695">
        <f>+I192</f>
        <v>0</v>
      </c>
      <c r="D286" s="695">
        <f>+I193</f>
        <v>0</v>
      </c>
      <c r="E286" s="695">
        <f>+I194</f>
        <v>0</v>
      </c>
      <c r="F286" s="695">
        <f>+I195</f>
        <v>0</v>
      </c>
      <c r="G286" s="695">
        <f>+I196</f>
        <v>0</v>
      </c>
      <c r="H286" s="923"/>
      <c r="I286" s="922">
        <f>+I197</f>
        <v>0</v>
      </c>
      <c r="J286" s="922">
        <f>+I198</f>
        <v>0</v>
      </c>
      <c r="K286" s="922">
        <f>+I199</f>
        <v>0</v>
      </c>
      <c r="L286" s="922">
        <f>+I200</f>
        <v>0</v>
      </c>
      <c r="M286" s="922">
        <f>+I201</f>
        <v>0</v>
      </c>
      <c r="N286" s="922">
        <f>+I202</f>
        <v>0</v>
      </c>
      <c r="O286" s="923"/>
      <c r="P286" s="695">
        <f t="shared" si="44"/>
        <v>0</v>
      </c>
      <c r="Q286" s="851" t="str">
        <f t="shared" si="45"/>
        <v/>
      </c>
      <c r="R286" s="851" t="str">
        <f>IFERROR(P286/'OSNOVNI PODATKI'!$E$311,"")</f>
        <v/>
      </c>
      <c r="S286" s="851" t="str">
        <f>IFERROR(P286/'OSNOVNI PODATKI'!$E$350,"")</f>
        <v/>
      </c>
    </row>
    <row r="287" spans="1:19">
      <c r="A287" s="420" t="s">
        <v>45</v>
      </c>
      <c r="B287" s="424" t="s">
        <v>183</v>
      </c>
      <c r="C287" s="695">
        <f>+I206</f>
        <v>0</v>
      </c>
      <c r="D287" s="695">
        <f>+I207</f>
        <v>0</v>
      </c>
      <c r="E287" s="695">
        <f>+I208</f>
        <v>0</v>
      </c>
      <c r="F287" s="695">
        <f>+I209</f>
        <v>0</v>
      </c>
      <c r="G287" s="695">
        <f>+I210</f>
        <v>0</v>
      </c>
      <c r="H287" s="923"/>
      <c r="I287" s="922">
        <f>+I211</f>
        <v>0</v>
      </c>
      <c r="J287" s="922">
        <f>+I212</f>
        <v>0</v>
      </c>
      <c r="K287" s="922">
        <f>+I213</f>
        <v>0</v>
      </c>
      <c r="L287" s="923"/>
      <c r="M287" s="923"/>
      <c r="N287" s="923"/>
      <c r="O287" s="923"/>
      <c r="P287" s="695">
        <f t="shared" si="44"/>
        <v>0</v>
      </c>
      <c r="Q287" s="851" t="str">
        <f t="shared" si="45"/>
        <v/>
      </c>
      <c r="R287" s="851" t="str">
        <f>IFERROR(P287/'OSNOVNI PODATKI'!$E$311,"")</f>
        <v/>
      </c>
      <c r="S287" s="851" t="str">
        <f>IFERROR(P287/'OSNOVNI PODATKI'!$E$350,"")</f>
        <v/>
      </c>
    </row>
    <row r="288" spans="1:19">
      <c r="A288" s="422" t="s">
        <v>46</v>
      </c>
      <c r="B288" s="424" t="s">
        <v>184</v>
      </c>
      <c r="C288" s="695">
        <f>+I215</f>
        <v>0</v>
      </c>
      <c r="D288" s="695">
        <f>+I216</f>
        <v>0</v>
      </c>
      <c r="E288" s="695">
        <f>+I217</f>
        <v>0</v>
      </c>
      <c r="F288" s="695">
        <f>+I218</f>
        <v>0</v>
      </c>
      <c r="G288" s="695">
        <f>+I219</f>
        <v>0</v>
      </c>
      <c r="H288" s="923"/>
      <c r="I288" s="922">
        <f>+I220</f>
        <v>0</v>
      </c>
      <c r="J288" s="922">
        <f>+I221</f>
        <v>0</v>
      </c>
      <c r="K288" s="922">
        <f>+I222</f>
        <v>0</v>
      </c>
      <c r="L288" s="923"/>
      <c r="M288" s="923"/>
      <c r="N288" s="923"/>
      <c r="O288" s="923"/>
      <c r="P288" s="695">
        <f t="shared" si="44"/>
        <v>0</v>
      </c>
      <c r="Q288" s="851" t="str">
        <f t="shared" si="45"/>
        <v/>
      </c>
      <c r="R288" s="851" t="str">
        <f>IFERROR(P288/'OSNOVNI PODATKI'!$E$311,"")</f>
        <v/>
      </c>
      <c r="S288" s="851" t="str">
        <f>IFERROR(P288/'OSNOVNI PODATKI'!$E$350,"")</f>
        <v/>
      </c>
    </row>
    <row r="289" spans="1:19" s="211" customFormat="1" ht="12.75">
      <c r="A289" s="425"/>
      <c r="B289" s="848" t="s">
        <v>810</v>
      </c>
      <c r="C289" s="846">
        <f>SUM(C272:C288)</f>
        <v>0</v>
      </c>
      <c r="D289" s="846">
        <f>SUM(D272:D288)</f>
        <v>0</v>
      </c>
      <c r="E289" s="846">
        <f t="shared" ref="E289:G289" si="46">SUM(E272:E288)</f>
        <v>0</v>
      </c>
      <c r="F289" s="846">
        <f t="shared" si="46"/>
        <v>0</v>
      </c>
      <c r="G289" s="846">
        <f t="shared" si="46"/>
        <v>0</v>
      </c>
      <c r="H289" s="926">
        <f t="shared" ref="H289:P289" si="47">SUM(H272:H288)</f>
        <v>0</v>
      </c>
      <c r="I289" s="926">
        <f t="shared" si="47"/>
        <v>0</v>
      </c>
      <c r="J289" s="926">
        <f t="shared" si="47"/>
        <v>0</v>
      </c>
      <c r="K289" s="926">
        <f t="shared" si="47"/>
        <v>0</v>
      </c>
      <c r="L289" s="926">
        <f t="shared" si="47"/>
        <v>0</v>
      </c>
      <c r="M289" s="926">
        <f t="shared" si="47"/>
        <v>0</v>
      </c>
      <c r="N289" s="926">
        <f t="shared" si="47"/>
        <v>0</v>
      </c>
      <c r="O289" s="926">
        <f t="shared" si="47"/>
        <v>0</v>
      </c>
      <c r="P289" s="847">
        <f t="shared" si="47"/>
        <v>0</v>
      </c>
      <c r="Q289" s="419">
        <f>SUM(Q272:Q288)</f>
        <v>0</v>
      </c>
      <c r="R289" s="419">
        <f>SUM(R272:R288)</f>
        <v>0</v>
      </c>
      <c r="S289" s="419">
        <f>SUM(S272:S288)</f>
        <v>0</v>
      </c>
    </row>
    <row r="290" spans="1:19" s="14" customFormat="1" ht="15.75">
      <c r="A290" s="394"/>
      <c r="B290" s="696" t="s">
        <v>811</v>
      </c>
      <c r="C290" s="427" t="str">
        <f>IFERROR(C289/$P$289,"")</f>
        <v/>
      </c>
      <c r="D290" s="427" t="str">
        <f>IFERROR(D289/$P$289,"")</f>
        <v/>
      </c>
      <c r="E290" s="427" t="str">
        <f t="shared" ref="E290:P290" si="48">IFERROR(E289/$P$289,"")</f>
        <v/>
      </c>
      <c r="F290" s="427" t="str">
        <f t="shared" si="48"/>
        <v/>
      </c>
      <c r="G290" s="427" t="str">
        <f t="shared" si="48"/>
        <v/>
      </c>
      <c r="H290" s="427" t="str">
        <f t="shared" si="48"/>
        <v/>
      </c>
      <c r="I290" s="427" t="str">
        <f t="shared" si="48"/>
        <v/>
      </c>
      <c r="J290" s="427" t="str">
        <f t="shared" si="48"/>
        <v/>
      </c>
      <c r="K290" s="427" t="str">
        <f t="shared" si="48"/>
        <v/>
      </c>
      <c r="L290" s="427" t="str">
        <f t="shared" si="48"/>
        <v/>
      </c>
      <c r="M290" s="427" t="str">
        <f t="shared" si="48"/>
        <v/>
      </c>
      <c r="N290" s="427" t="str">
        <f t="shared" si="48"/>
        <v/>
      </c>
      <c r="O290" s="427" t="str">
        <f t="shared" si="48"/>
        <v/>
      </c>
      <c r="P290" s="427" t="str">
        <f t="shared" si="48"/>
        <v/>
      </c>
      <c r="Q290" s="429"/>
      <c r="R290" s="426"/>
    </row>
    <row r="291" spans="1:19">
      <c r="A291" s="640"/>
      <c r="B291" s="698" t="s">
        <v>936</v>
      </c>
      <c r="C291" s="851" t="str">
        <f>IFERROR(+C289/'OSNOVNI PODATKI'!$E$311,"")</f>
        <v/>
      </c>
      <c r="D291" s="851" t="str">
        <f>IFERROR(D289/'OSNOVNI PODATKI'!$E$311,"")</f>
        <v/>
      </c>
      <c r="E291" s="851"/>
      <c r="F291" s="851"/>
      <c r="G291" s="851"/>
      <c r="H291" s="924" t="str">
        <f>IFERROR(H289/'OSNOVNI PODATKI'!$E$311,"")</f>
        <v/>
      </c>
      <c r="I291" s="924" t="str">
        <f>IFERROR(I289/'OSNOVNI PODATKI'!$E$311,"")</f>
        <v/>
      </c>
      <c r="J291" s="924" t="str">
        <f>IFERROR(J289/'OSNOVNI PODATKI'!$E$311,"")</f>
        <v/>
      </c>
      <c r="K291" s="924" t="str">
        <f>IFERROR(K289/'OSNOVNI PODATKI'!$E$311,"")</f>
        <v/>
      </c>
      <c r="L291" s="924" t="str">
        <f>IFERROR(L289/'OSNOVNI PODATKI'!$E$311,"")</f>
        <v/>
      </c>
      <c r="M291" s="924" t="str">
        <f>IFERROR(M289/'OSNOVNI PODATKI'!$E$311,"")</f>
        <v/>
      </c>
      <c r="N291" s="924" t="str">
        <f>IFERROR(N289/'OSNOVNI PODATKI'!$E$311,"")</f>
        <v/>
      </c>
      <c r="O291" s="924" t="str">
        <f>IFERROR(O289/'OSNOVNI PODATKI'!$E$311,"")</f>
        <v/>
      </c>
      <c r="P291" s="428">
        <f>SUM(C291:O291)</f>
        <v>0</v>
      </c>
    </row>
    <row r="292" spans="1:19">
      <c r="A292" s="640"/>
      <c r="B292" s="698" t="s">
        <v>935</v>
      </c>
      <c r="C292" s="851" t="str">
        <f>IFERROR(C289/'OSNOVNI PODATKI'!$E$350,"")</f>
        <v/>
      </c>
      <c r="D292" s="851" t="str">
        <f>IFERROR(D289/'OSNOVNI PODATKI'!$E$350,"")</f>
        <v/>
      </c>
      <c r="E292" s="851" t="str">
        <f>IFERROR(E289/'OSNOVNI PODATKI'!$E$350,"")</f>
        <v/>
      </c>
      <c r="F292" s="851" t="str">
        <f>IFERROR(F289/'OSNOVNI PODATKI'!$E$350,"")</f>
        <v/>
      </c>
      <c r="G292" s="851" t="str">
        <f>IFERROR(G289/'OSNOVNI PODATKI'!$E$350,"")</f>
        <v/>
      </c>
      <c r="H292" s="851" t="str">
        <f>IFERROR(H289/'OSNOVNI PODATKI'!$E$350,"")</f>
        <v/>
      </c>
      <c r="I292" s="851" t="str">
        <f>IFERROR(I289/'OSNOVNI PODATKI'!$E$350,"")</f>
        <v/>
      </c>
      <c r="J292" s="851" t="str">
        <f>IFERROR(J289/'OSNOVNI PODATKI'!$E$350,"")</f>
        <v/>
      </c>
      <c r="K292" s="851" t="str">
        <f>IFERROR(K289/'OSNOVNI PODATKI'!$E$350,"")</f>
        <v/>
      </c>
      <c r="L292" s="851" t="str">
        <f>IFERROR(L289/'OSNOVNI PODATKI'!$E$350,"")</f>
        <v/>
      </c>
      <c r="M292" s="851" t="str">
        <f>IFERROR(M289/'OSNOVNI PODATKI'!$E$350,"")</f>
        <v/>
      </c>
      <c r="N292" s="851" t="str">
        <f>IFERROR(N289/'OSNOVNI PODATKI'!$E$350,"")</f>
        <v/>
      </c>
      <c r="O292" s="851" t="str">
        <f>IFERROR(O289/'OSNOVNI PODATKI'!$E$350,"")</f>
        <v/>
      </c>
      <c r="P292" s="428">
        <f>SUM(C292:O292)</f>
        <v>0</v>
      </c>
      <c r="Q292" s="641"/>
      <c r="R292" s="641"/>
    </row>
    <row r="293" spans="1:19">
      <c r="A293" s="640"/>
      <c r="B293" s="641"/>
      <c r="C293" s="642"/>
      <c r="D293" s="641"/>
      <c r="E293" s="641"/>
      <c r="F293" s="641"/>
      <c r="G293" s="641"/>
      <c r="H293" s="641"/>
      <c r="I293" s="641"/>
      <c r="J293" s="641"/>
      <c r="K293" s="641"/>
      <c r="L293" s="641"/>
      <c r="M293" s="641"/>
      <c r="N293" s="641"/>
      <c r="O293" s="641"/>
      <c r="P293" s="641"/>
      <c r="Q293" s="641"/>
      <c r="R293" s="641"/>
    </row>
    <row r="294" spans="1:19">
      <c r="A294" s="640"/>
      <c r="B294" s="641"/>
      <c r="C294" s="642"/>
      <c r="D294" s="641"/>
      <c r="E294" s="641"/>
      <c r="F294" s="641"/>
      <c r="G294" s="641"/>
      <c r="H294" s="641"/>
      <c r="I294" s="641"/>
      <c r="J294" s="641"/>
      <c r="K294" s="641"/>
      <c r="L294" s="641"/>
      <c r="M294" s="641"/>
      <c r="N294" s="641"/>
      <c r="O294" s="641"/>
      <c r="P294" s="641"/>
      <c r="Q294" s="641"/>
      <c r="R294" s="641"/>
    </row>
    <row r="295" spans="1:19">
      <c r="A295" s="640"/>
      <c r="B295" s="641"/>
      <c r="C295" s="642"/>
      <c r="D295" s="641"/>
      <c r="E295" s="641"/>
      <c r="F295" s="641"/>
      <c r="G295" s="641"/>
      <c r="H295" s="641"/>
      <c r="I295" s="641"/>
      <c r="J295" s="641"/>
      <c r="K295" s="641"/>
      <c r="L295" s="641"/>
      <c r="M295" s="641"/>
      <c r="N295" s="641"/>
      <c r="O295" s="641"/>
      <c r="P295" s="641"/>
      <c r="Q295" s="641"/>
      <c r="R295" s="641"/>
    </row>
    <row r="1515" spans="7:7">
      <c r="G1515" s="8" t="b">
        <v>1</v>
      </c>
    </row>
  </sheetData>
  <sheetProtection algorithmName="SHA-512" hashValue="Oyp+B4CK2SLKVyX9wq2YdJxUcvfzWtuA8AGvMbEQ/FDKVDoXbYYjjWn8JNOebguzlv1Zt7A8sNBV/0XdxRGNXQ==" saltValue="poPSMcP554RlFWmvVwY58w==" spinCount="100000" sheet="1" objects="1" scenarios="1"/>
  <mergeCells count="14">
    <mergeCell ref="A235:I235"/>
    <mergeCell ref="A243:I243"/>
    <mergeCell ref="A244:I244"/>
    <mergeCell ref="A245:I245"/>
    <mergeCell ref="A192:A203"/>
    <mergeCell ref="A22:A34"/>
    <mergeCell ref="A36:A48"/>
    <mergeCell ref="B4:C4"/>
    <mergeCell ref="A119:A125"/>
    <mergeCell ref="A129:A135"/>
    <mergeCell ref="A52:A64"/>
    <mergeCell ref="A66:A78"/>
    <mergeCell ref="A84:A96"/>
    <mergeCell ref="A98:A106"/>
  </mergeCells>
  <pageMargins left="0.59055118110236227" right="0.59055118110236227" top="0.39370078740157483" bottom="0.39370078740157483" header="0.31496062992125984" footer="0.31496062992125984"/>
  <pageSetup paperSize="9" scale="3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7" r:id="rId4" name="Check Box 5">
              <controlPr defaultSize="0" autoFill="0" autoLine="0" autoPict="0">
                <anchor moveWithCells="1">
                  <from>
                    <xdr:col>6</xdr:col>
                    <xdr:colOff>76200</xdr:colOff>
                    <xdr:row>20</xdr:row>
                    <xdr:rowOff>19050</xdr:rowOff>
                  </from>
                  <to>
                    <xdr:col>6</xdr:col>
                    <xdr:colOff>323850</xdr:colOff>
                    <xdr:row>21</xdr:row>
                    <xdr:rowOff>0</xdr:rowOff>
                  </to>
                </anchor>
              </controlPr>
            </control>
          </mc:Choice>
        </mc:AlternateContent>
        <mc:AlternateContent xmlns:mc="http://schemas.openxmlformats.org/markup-compatibility/2006">
          <mc:Choice Requires="x14">
            <control shapeId="18441" r:id="rId5" name="Check Box 9">
              <controlPr defaultSize="0" autoFill="0" autoLine="0" autoPict="0">
                <anchor moveWithCells="1">
                  <from>
                    <xdr:col>6</xdr:col>
                    <xdr:colOff>76200</xdr:colOff>
                    <xdr:row>48</xdr:row>
                    <xdr:rowOff>19050</xdr:rowOff>
                  </from>
                  <to>
                    <xdr:col>6</xdr:col>
                    <xdr:colOff>323850</xdr:colOff>
                    <xdr:row>48</xdr:row>
                    <xdr:rowOff>180975</xdr:rowOff>
                  </to>
                </anchor>
              </controlPr>
            </control>
          </mc:Choice>
        </mc:AlternateContent>
        <mc:AlternateContent xmlns:mc="http://schemas.openxmlformats.org/markup-compatibility/2006">
          <mc:Choice Requires="x14">
            <control shapeId="18442" r:id="rId6" name="Check Box 10">
              <controlPr defaultSize="0" autoFill="0" autoLine="0" autoPict="0">
                <anchor moveWithCells="1">
                  <from>
                    <xdr:col>6</xdr:col>
                    <xdr:colOff>76200</xdr:colOff>
                    <xdr:row>79</xdr:row>
                    <xdr:rowOff>19050</xdr:rowOff>
                  </from>
                  <to>
                    <xdr:col>6</xdr:col>
                    <xdr:colOff>323850</xdr:colOff>
                    <xdr:row>79</xdr:row>
                    <xdr:rowOff>180975</xdr:rowOff>
                  </to>
                </anchor>
              </controlPr>
            </control>
          </mc:Choice>
        </mc:AlternateContent>
        <mc:AlternateContent xmlns:mc="http://schemas.openxmlformats.org/markup-compatibility/2006">
          <mc:Choice Requires="x14">
            <control shapeId="18566" r:id="rId7" name="Check Box 134">
              <controlPr defaultSize="0" autoFill="0" autoLine="0" autoPict="0">
                <anchor moveWithCells="1">
                  <from>
                    <xdr:col>6</xdr:col>
                    <xdr:colOff>76200</xdr:colOff>
                    <xdr:row>80</xdr:row>
                    <xdr:rowOff>19050</xdr:rowOff>
                  </from>
                  <to>
                    <xdr:col>6</xdr:col>
                    <xdr:colOff>323850</xdr:colOff>
                    <xdr:row>80</xdr:row>
                    <xdr:rowOff>180975</xdr:rowOff>
                  </to>
                </anchor>
              </controlPr>
            </control>
          </mc:Choice>
        </mc:AlternateContent>
        <mc:AlternateContent xmlns:mc="http://schemas.openxmlformats.org/markup-compatibility/2006">
          <mc:Choice Requires="x14">
            <control shapeId="18608" r:id="rId8" name="Check Box 176">
              <controlPr defaultSize="0" autoFill="0" autoLine="0" autoPict="0">
                <anchor moveWithCells="1">
                  <from>
                    <xdr:col>6</xdr:col>
                    <xdr:colOff>76200</xdr:colOff>
                    <xdr:row>137</xdr:row>
                    <xdr:rowOff>38100</xdr:rowOff>
                  </from>
                  <to>
                    <xdr:col>6</xdr:col>
                    <xdr:colOff>323850</xdr:colOff>
                    <xdr:row>137</xdr:row>
                    <xdr:rowOff>200025</xdr:rowOff>
                  </to>
                </anchor>
              </controlPr>
            </control>
          </mc:Choice>
        </mc:AlternateContent>
        <mc:AlternateContent xmlns:mc="http://schemas.openxmlformats.org/markup-compatibility/2006">
          <mc:Choice Requires="x14">
            <control shapeId="18609" r:id="rId9" name="Check Box 177">
              <controlPr defaultSize="0" autoFill="0" autoLine="0" autoPict="0">
                <anchor moveWithCells="1">
                  <from>
                    <xdr:col>6</xdr:col>
                    <xdr:colOff>76200</xdr:colOff>
                    <xdr:row>156</xdr:row>
                    <xdr:rowOff>19050</xdr:rowOff>
                  </from>
                  <to>
                    <xdr:col>6</xdr:col>
                    <xdr:colOff>323850</xdr:colOff>
                    <xdr:row>156</xdr:row>
                    <xdr:rowOff>180975</xdr:rowOff>
                  </to>
                </anchor>
              </controlPr>
            </control>
          </mc:Choice>
        </mc:AlternateContent>
        <mc:AlternateContent xmlns:mc="http://schemas.openxmlformats.org/markup-compatibility/2006">
          <mc:Choice Requires="x14">
            <control shapeId="18655" r:id="rId10" name="Check Box 223">
              <controlPr defaultSize="0" autoFill="0" autoLine="0" autoPict="0">
                <anchor moveWithCells="1">
                  <from>
                    <xdr:col>6</xdr:col>
                    <xdr:colOff>76200</xdr:colOff>
                    <xdr:row>172</xdr:row>
                    <xdr:rowOff>19050</xdr:rowOff>
                  </from>
                  <to>
                    <xdr:col>6</xdr:col>
                    <xdr:colOff>323850</xdr:colOff>
                    <xdr:row>172</xdr:row>
                    <xdr:rowOff>180975</xdr:rowOff>
                  </to>
                </anchor>
              </controlPr>
            </control>
          </mc:Choice>
        </mc:AlternateContent>
        <mc:AlternateContent xmlns:mc="http://schemas.openxmlformats.org/markup-compatibility/2006">
          <mc:Choice Requires="x14">
            <control shapeId="18760" r:id="rId11" name="Check Box 328">
              <controlPr defaultSize="0" autoFill="0" autoLine="0" autoPict="0">
                <anchor moveWithCells="1">
                  <from>
                    <xdr:col>6</xdr:col>
                    <xdr:colOff>66675</xdr:colOff>
                    <xdr:row>96</xdr:row>
                    <xdr:rowOff>19050</xdr:rowOff>
                  </from>
                  <to>
                    <xdr:col>6</xdr:col>
                    <xdr:colOff>314325</xdr:colOff>
                    <xdr:row>96</xdr:row>
                    <xdr:rowOff>180975</xdr:rowOff>
                  </to>
                </anchor>
              </controlPr>
            </control>
          </mc:Choice>
        </mc:AlternateContent>
        <mc:AlternateContent xmlns:mc="http://schemas.openxmlformats.org/markup-compatibility/2006">
          <mc:Choice Requires="x14">
            <control shapeId="18935" r:id="rId12" name="Check Box 503">
              <controlPr defaultSize="0" autoFill="0" autoLine="0" autoPict="0">
                <anchor moveWithCells="1">
                  <from>
                    <xdr:col>6</xdr:col>
                    <xdr:colOff>76200</xdr:colOff>
                    <xdr:row>34</xdr:row>
                    <xdr:rowOff>9525</xdr:rowOff>
                  </from>
                  <to>
                    <xdr:col>6</xdr:col>
                    <xdr:colOff>323850</xdr:colOff>
                    <xdr:row>34</xdr:row>
                    <xdr:rowOff>190500</xdr:rowOff>
                  </to>
                </anchor>
              </controlPr>
            </control>
          </mc:Choice>
        </mc:AlternateContent>
        <mc:AlternateContent xmlns:mc="http://schemas.openxmlformats.org/markup-compatibility/2006">
          <mc:Choice Requires="x14">
            <control shapeId="18961" r:id="rId13" name="Check Box 529">
              <controlPr defaultSize="0" autoFill="0" autoLine="0" autoPict="0">
                <anchor moveWithCells="1">
                  <from>
                    <xdr:col>6</xdr:col>
                    <xdr:colOff>76200</xdr:colOff>
                    <xdr:row>50</xdr:row>
                    <xdr:rowOff>19050</xdr:rowOff>
                  </from>
                  <to>
                    <xdr:col>6</xdr:col>
                    <xdr:colOff>323850</xdr:colOff>
                    <xdr:row>50</xdr:row>
                    <xdr:rowOff>180975</xdr:rowOff>
                  </to>
                </anchor>
              </controlPr>
            </control>
          </mc:Choice>
        </mc:AlternateContent>
        <mc:AlternateContent xmlns:mc="http://schemas.openxmlformats.org/markup-compatibility/2006">
          <mc:Choice Requires="x14">
            <control shapeId="18962" r:id="rId14" name="Check Box 530">
              <controlPr defaultSize="0" autoFill="0" autoLine="0" autoPict="0">
                <anchor moveWithCells="1">
                  <from>
                    <xdr:col>6</xdr:col>
                    <xdr:colOff>76200</xdr:colOff>
                    <xdr:row>64</xdr:row>
                    <xdr:rowOff>28575</xdr:rowOff>
                  </from>
                  <to>
                    <xdr:col>6</xdr:col>
                    <xdr:colOff>323850</xdr:colOff>
                    <xdr:row>64</xdr:row>
                    <xdr:rowOff>171450</xdr:rowOff>
                  </to>
                </anchor>
              </controlPr>
            </control>
          </mc:Choice>
        </mc:AlternateContent>
        <mc:AlternateContent xmlns:mc="http://schemas.openxmlformats.org/markup-compatibility/2006">
          <mc:Choice Requires="x14">
            <control shapeId="18965" r:id="rId15" name="Check Box 533">
              <controlPr defaultSize="0" autoFill="0" autoLine="0" autoPict="0">
                <anchor moveWithCells="1">
                  <from>
                    <xdr:col>6</xdr:col>
                    <xdr:colOff>76200</xdr:colOff>
                    <xdr:row>116</xdr:row>
                    <xdr:rowOff>19050</xdr:rowOff>
                  </from>
                  <to>
                    <xdr:col>6</xdr:col>
                    <xdr:colOff>323850</xdr:colOff>
                    <xdr:row>117</xdr:row>
                    <xdr:rowOff>19050</xdr:rowOff>
                  </to>
                </anchor>
              </controlPr>
            </control>
          </mc:Choice>
        </mc:AlternateContent>
        <mc:AlternateContent xmlns:mc="http://schemas.openxmlformats.org/markup-compatibility/2006">
          <mc:Choice Requires="x14">
            <control shapeId="18967" r:id="rId16" name="Check Box 535">
              <controlPr defaultSize="0" autoFill="0" autoLine="0" autoPict="0">
                <anchor moveWithCells="1">
                  <from>
                    <xdr:col>6</xdr:col>
                    <xdr:colOff>76200</xdr:colOff>
                    <xdr:row>126</xdr:row>
                    <xdr:rowOff>19050</xdr:rowOff>
                  </from>
                  <to>
                    <xdr:col>6</xdr:col>
                    <xdr:colOff>323850</xdr:colOff>
                    <xdr:row>127</xdr:row>
                    <xdr:rowOff>19050</xdr:rowOff>
                  </to>
                </anchor>
              </controlPr>
            </control>
          </mc:Choice>
        </mc:AlternateContent>
        <mc:AlternateContent xmlns:mc="http://schemas.openxmlformats.org/markup-compatibility/2006">
          <mc:Choice Requires="x14">
            <control shapeId="18969" r:id="rId17" name="Check Box 537">
              <controlPr defaultSize="0" autoFill="0" autoLine="0" autoPict="0">
                <anchor moveWithCells="1">
                  <from>
                    <xdr:col>6</xdr:col>
                    <xdr:colOff>76200</xdr:colOff>
                    <xdr:row>138</xdr:row>
                    <xdr:rowOff>28575</xdr:rowOff>
                  </from>
                  <to>
                    <xdr:col>6</xdr:col>
                    <xdr:colOff>323850</xdr:colOff>
                    <xdr:row>138</xdr:row>
                    <xdr:rowOff>190500</xdr:rowOff>
                  </to>
                </anchor>
              </controlPr>
            </control>
          </mc:Choice>
        </mc:AlternateContent>
        <mc:AlternateContent xmlns:mc="http://schemas.openxmlformats.org/markup-compatibility/2006">
          <mc:Choice Requires="x14">
            <control shapeId="18971" r:id="rId18" name="Check Box 539">
              <controlPr defaultSize="0" autoFill="0" autoLine="0" autoPict="0">
                <anchor moveWithCells="1">
                  <from>
                    <xdr:col>6</xdr:col>
                    <xdr:colOff>76200</xdr:colOff>
                    <xdr:row>190</xdr:row>
                    <xdr:rowOff>28575</xdr:rowOff>
                  </from>
                  <to>
                    <xdr:col>6</xdr:col>
                    <xdr:colOff>323850</xdr:colOff>
                    <xdr:row>190</xdr:row>
                    <xdr:rowOff>171450</xdr:rowOff>
                  </to>
                </anchor>
              </controlPr>
            </control>
          </mc:Choice>
        </mc:AlternateContent>
        <mc:AlternateContent xmlns:mc="http://schemas.openxmlformats.org/markup-compatibility/2006">
          <mc:Choice Requires="x14">
            <control shapeId="18972" r:id="rId19" name="Check Box 540">
              <controlPr defaultSize="0" autoFill="0" autoLine="0" autoPict="0">
                <anchor moveWithCells="1">
                  <from>
                    <xdr:col>6</xdr:col>
                    <xdr:colOff>76200</xdr:colOff>
                    <xdr:row>204</xdr:row>
                    <xdr:rowOff>38100</xdr:rowOff>
                  </from>
                  <to>
                    <xdr:col>6</xdr:col>
                    <xdr:colOff>323850</xdr:colOff>
                    <xdr:row>204</xdr:row>
                    <xdr:rowOff>180975</xdr:rowOff>
                  </to>
                </anchor>
              </controlPr>
            </control>
          </mc:Choice>
        </mc:AlternateContent>
        <mc:AlternateContent xmlns:mc="http://schemas.openxmlformats.org/markup-compatibility/2006">
          <mc:Choice Requires="x14">
            <control shapeId="18973" r:id="rId20" name="Check Box 541">
              <controlPr defaultSize="0" autoFill="0" autoLine="0" autoPict="0">
                <anchor moveWithCells="1">
                  <from>
                    <xdr:col>6</xdr:col>
                    <xdr:colOff>76200</xdr:colOff>
                    <xdr:row>213</xdr:row>
                    <xdr:rowOff>28575</xdr:rowOff>
                  </from>
                  <to>
                    <xdr:col>6</xdr:col>
                    <xdr:colOff>323850</xdr:colOff>
                    <xdr:row>213</xdr:row>
                    <xdr:rowOff>171450</xdr:rowOff>
                  </to>
                </anchor>
              </controlPr>
            </control>
          </mc:Choice>
        </mc:AlternateContent>
        <mc:AlternateContent xmlns:mc="http://schemas.openxmlformats.org/markup-compatibility/2006">
          <mc:Choice Requires="x14">
            <control shapeId="18974" r:id="rId21" name="Check Box 542">
              <controlPr defaultSize="0" autoFill="0" autoLine="0" autoPict="0">
                <anchor moveWithCells="1">
                  <from>
                    <xdr:col>6</xdr:col>
                    <xdr:colOff>76200</xdr:colOff>
                    <xdr:row>80</xdr:row>
                    <xdr:rowOff>19050</xdr:rowOff>
                  </from>
                  <to>
                    <xdr:col>6</xdr:col>
                    <xdr:colOff>323850</xdr:colOff>
                    <xdr:row>80</xdr:row>
                    <xdr:rowOff>180975</xdr:rowOff>
                  </to>
                </anchor>
              </controlPr>
            </control>
          </mc:Choice>
        </mc:AlternateContent>
        <mc:AlternateContent xmlns:mc="http://schemas.openxmlformats.org/markup-compatibility/2006">
          <mc:Choice Requires="x14">
            <control shapeId="45246" r:id="rId22" name="Check Box 1214">
              <controlPr defaultSize="0" autoFill="0" autoLine="0" autoPict="0">
                <anchor moveWithCells="1">
                  <from>
                    <xdr:col>6</xdr:col>
                    <xdr:colOff>76200</xdr:colOff>
                    <xdr:row>82</xdr:row>
                    <xdr:rowOff>19050</xdr:rowOff>
                  </from>
                  <to>
                    <xdr:col>6</xdr:col>
                    <xdr:colOff>323850</xdr:colOff>
                    <xdr:row>82</xdr:row>
                    <xdr:rowOff>180975</xdr:rowOff>
                  </to>
                </anchor>
              </controlPr>
            </control>
          </mc:Choice>
        </mc:AlternateContent>
        <mc:AlternateContent xmlns:mc="http://schemas.openxmlformats.org/markup-compatibility/2006">
          <mc:Choice Requires="x14">
            <control shapeId="45247" r:id="rId23" name="Check Box 1215">
              <controlPr defaultSize="0" autoFill="0" autoLine="0" autoPict="0">
                <anchor moveWithCells="1">
                  <from>
                    <xdr:col>6</xdr:col>
                    <xdr:colOff>76200</xdr:colOff>
                    <xdr:row>82</xdr:row>
                    <xdr:rowOff>19050</xdr:rowOff>
                  </from>
                  <to>
                    <xdr:col>6</xdr:col>
                    <xdr:colOff>323850</xdr:colOff>
                    <xdr:row>82</xdr:row>
                    <xdr:rowOff>180975</xdr:rowOff>
                  </to>
                </anchor>
              </controlPr>
            </control>
          </mc:Choice>
        </mc:AlternateContent>
        <mc:AlternateContent xmlns:mc="http://schemas.openxmlformats.org/markup-compatibility/2006">
          <mc:Choice Requires="x14">
            <control shapeId="45248" r:id="rId24" name="Check Box 1216">
              <controlPr defaultSize="0" autoFill="0" autoLine="0" autoPict="0">
                <anchor moveWithCells="1">
                  <from>
                    <xdr:col>6</xdr:col>
                    <xdr:colOff>76200</xdr:colOff>
                    <xdr:row>81</xdr:row>
                    <xdr:rowOff>19050</xdr:rowOff>
                  </from>
                  <to>
                    <xdr:col>6</xdr:col>
                    <xdr:colOff>323850</xdr:colOff>
                    <xdr:row>81</xdr:row>
                    <xdr:rowOff>180975</xdr:rowOff>
                  </to>
                </anchor>
              </controlPr>
            </control>
          </mc:Choice>
        </mc:AlternateContent>
        <mc:AlternateContent xmlns:mc="http://schemas.openxmlformats.org/markup-compatibility/2006">
          <mc:Choice Requires="x14">
            <control shapeId="45249" r:id="rId25" name="Check Box 1217">
              <controlPr defaultSize="0" autoFill="0" autoLine="0" autoPict="0">
                <anchor moveWithCells="1">
                  <from>
                    <xdr:col>6</xdr:col>
                    <xdr:colOff>76200</xdr:colOff>
                    <xdr:row>81</xdr:row>
                    <xdr:rowOff>19050</xdr:rowOff>
                  </from>
                  <to>
                    <xdr:col>6</xdr:col>
                    <xdr:colOff>323850</xdr:colOff>
                    <xdr:row>81</xdr:row>
                    <xdr:rowOff>180975</xdr:rowOff>
                  </to>
                </anchor>
              </controlPr>
            </control>
          </mc:Choice>
        </mc:AlternateContent>
        <mc:AlternateContent xmlns:mc="http://schemas.openxmlformats.org/markup-compatibility/2006">
          <mc:Choice Requires="x14">
            <control shapeId="45250" r:id="rId26" name="Check Box 1218">
              <controlPr defaultSize="0" autoFill="0" autoLine="0" autoPict="0">
                <anchor moveWithCells="1">
                  <from>
                    <xdr:col>6</xdr:col>
                    <xdr:colOff>76200</xdr:colOff>
                    <xdr:row>114</xdr:row>
                    <xdr:rowOff>19050</xdr:rowOff>
                  </from>
                  <to>
                    <xdr:col>6</xdr:col>
                    <xdr:colOff>323850</xdr:colOff>
                    <xdr:row>114</xdr:row>
                    <xdr:rowOff>180975</xdr:rowOff>
                  </to>
                </anchor>
              </controlPr>
            </control>
          </mc:Choice>
        </mc:AlternateContent>
        <mc:AlternateContent xmlns:mc="http://schemas.openxmlformats.org/markup-compatibility/2006">
          <mc:Choice Requires="x14">
            <control shapeId="45251" r:id="rId27" name="Check Box 1219">
              <controlPr defaultSize="0" autoFill="0" autoLine="0" autoPict="0">
                <anchor moveWithCells="1">
                  <from>
                    <xdr:col>6</xdr:col>
                    <xdr:colOff>76200</xdr:colOff>
                    <xdr:row>114</xdr:row>
                    <xdr:rowOff>19050</xdr:rowOff>
                  </from>
                  <to>
                    <xdr:col>6</xdr:col>
                    <xdr:colOff>323850</xdr:colOff>
                    <xdr:row>114</xdr:row>
                    <xdr:rowOff>180975</xdr:rowOff>
                  </to>
                </anchor>
              </controlPr>
            </control>
          </mc:Choice>
        </mc:AlternateContent>
        <mc:AlternateContent xmlns:mc="http://schemas.openxmlformats.org/markup-compatibility/2006">
          <mc:Choice Requires="x14">
            <control shapeId="45252" r:id="rId28" name="Check Box 1220">
              <controlPr defaultSize="0" autoFill="0" autoLine="0" autoPict="0">
                <anchor moveWithCells="1">
                  <from>
                    <xdr:col>6</xdr:col>
                    <xdr:colOff>76200</xdr:colOff>
                    <xdr:row>106</xdr:row>
                    <xdr:rowOff>19050</xdr:rowOff>
                  </from>
                  <to>
                    <xdr:col>6</xdr:col>
                    <xdr:colOff>323850</xdr:colOff>
                    <xdr:row>106</xdr:row>
                    <xdr:rowOff>180975</xdr:rowOff>
                  </to>
                </anchor>
              </controlPr>
            </control>
          </mc:Choice>
        </mc:AlternateContent>
        <mc:AlternateContent xmlns:mc="http://schemas.openxmlformats.org/markup-compatibility/2006">
          <mc:Choice Requires="x14">
            <control shapeId="45253" r:id="rId29" name="Check Box 1221">
              <controlPr defaultSize="0" autoFill="0" autoLine="0" autoPict="0">
                <anchor moveWithCells="1">
                  <from>
                    <xdr:col>6</xdr:col>
                    <xdr:colOff>76200</xdr:colOff>
                    <xdr:row>106</xdr:row>
                    <xdr:rowOff>19050</xdr:rowOff>
                  </from>
                  <to>
                    <xdr:col>6</xdr:col>
                    <xdr:colOff>323850</xdr:colOff>
                    <xdr:row>106</xdr:row>
                    <xdr:rowOff>180975</xdr:rowOff>
                  </to>
                </anchor>
              </controlPr>
            </control>
          </mc:Choice>
        </mc:AlternateContent>
        <mc:AlternateContent xmlns:mc="http://schemas.openxmlformats.org/markup-compatibility/2006">
          <mc:Choice Requires="x14">
            <control shapeId="45254" r:id="rId30" name="Check Box 1222">
              <controlPr defaultSize="0" autoFill="0" autoLine="0" autoPict="0">
                <anchor moveWithCells="1">
                  <from>
                    <xdr:col>6</xdr:col>
                    <xdr:colOff>76200</xdr:colOff>
                    <xdr:row>125</xdr:row>
                    <xdr:rowOff>19050</xdr:rowOff>
                  </from>
                  <to>
                    <xdr:col>6</xdr:col>
                    <xdr:colOff>323850</xdr:colOff>
                    <xdr:row>125</xdr:row>
                    <xdr:rowOff>180975</xdr:rowOff>
                  </to>
                </anchor>
              </controlPr>
            </control>
          </mc:Choice>
        </mc:AlternateContent>
        <mc:AlternateContent xmlns:mc="http://schemas.openxmlformats.org/markup-compatibility/2006">
          <mc:Choice Requires="x14">
            <control shapeId="45255" r:id="rId31" name="Check Box 1223">
              <controlPr defaultSize="0" autoFill="0" autoLine="0" autoPict="0">
                <anchor moveWithCells="1">
                  <from>
                    <xdr:col>6</xdr:col>
                    <xdr:colOff>76200</xdr:colOff>
                    <xdr:row>125</xdr:row>
                    <xdr:rowOff>19050</xdr:rowOff>
                  </from>
                  <to>
                    <xdr:col>6</xdr:col>
                    <xdr:colOff>323850</xdr:colOff>
                    <xdr:row>125</xdr:row>
                    <xdr:rowOff>180975</xdr:rowOff>
                  </to>
                </anchor>
              </controlPr>
            </control>
          </mc:Choice>
        </mc:AlternateContent>
        <mc:AlternateContent xmlns:mc="http://schemas.openxmlformats.org/markup-compatibility/2006">
          <mc:Choice Requires="x14">
            <control shapeId="45256" r:id="rId32" name="Check Box 1224">
              <controlPr defaultSize="0" autoFill="0" autoLine="0" autoPict="0">
                <anchor moveWithCells="1">
                  <from>
                    <xdr:col>6</xdr:col>
                    <xdr:colOff>76200</xdr:colOff>
                    <xdr:row>135</xdr:row>
                    <xdr:rowOff>19050</xdr:rowOff>
                  </from>
                  <to>
                    <xdr:col>6</xdr:col>
                    <xdr:colOff>323850</xdr:colOff>
                    <xdr:row>135</xdr:row>
                    <xdr:rowOff>180975</xdr:rowOff>
                  </to>
                </anchor>
              </controlPr>
            </control>
          </mc:Choice>
        </mc:AlternateContent>
        <mc:AlternateContent xmlns:mc="http://schemas.openxmlformats.org/markup-compatibility/2006">
          <mc:Choice Requires="x14">
            <control shapeId="45257" r:id="rId33" name="Check Box 1225">
              <controlPr defaultSize="0" autoFill="0" autoLine="0" autoPict="0">
                <anchor moveWithCells="1">
                  <from>
                    <xdr:col>6</xdr:col>
                    <xdr:colOff>76200</xdr:colOff>
                    <xdr:row>135</xdr:row>
                    <xdr:rowOff>19050</xdr:rowOff>
                  </from>
                  <to>
                    <xdr:col>6</xdr:col>
                    <xdr:colOff>323850</xdr:colOff>
                    <xdr:row>135</xdr:row>
                    <xdr:rowOff>180975</xdr:rowOff>
                  </to>
                </anchor>
              </controlPr>
            </control>
          </mc:Choice>
        </mc:AlternateContent>
        <mc:AlternateContent xmlns:mc="http://schemas.openxmlformats.org/markup-compatibility/2006">
          <mc:Choice Requires="x14">
            <control shapeId="45258" r:id="rId34" name="Check Box 1226">
              <controlPr defaultSize="0" autoFill="0" autoLine="0" autoPict="0">
                <anchor moveWithCells="1">
                  <from>
                    <xdr:col>6</xdr:col>
                    <xdr:colOff>76200</xdr:colOff>
                    <xdr:row>147</xdr:row>
                    <xdr:rowOff>19050</xdr:rowOff>
                  </from>
                  <to>
                    <xdr:col>6</xdr:col>
                    <xdr:colOff>323850</xdr:colOff>
                    <xdr:row>147</xdr:row>
                    <xdr:rowOff>180975</xdr:rowOff>
                  </to>
                </anchor>
              </controlPr>
            </control>
          </mc:Choice>
        </mc:AlternateContent>
        <mc:AlternateContent xmlns:mc="http://schemas.openxmlformats.org/markup-compatibility/2006">
          <mc:Choice Requires="x14">
            <control shapeId="45259" r:id="rId35" name="Check Box 1227">
              <controlPr defaultSize="0" autoFill="0" autoLine="0" autoPict="0">
                <anchor moveWithCells="1">
                  <from>
                    <xdr:col>6</xdr:col>
                    <xdr:colOff>76200</xdr:colOff>
                    <xdr:row>147</xdr:row>
                    <xdr:rowOff>19050</xdr:rowOff>
                  </from>
                  <to>
                    <xdr:col>6</xdr:col>
                    <xdr:colOff>323850</xdr:colOff>
                    <xdr:row>147</xdr:row>
                    <xdr:rowOff>180975</xdr:rowOff>
                  </to>
                </anchor>
              </controlPr>
            </control>
          </mc:Choice>
        </mc:AlternateContent>
        <mc:AlternateContent xmlns:mc="http://schemas.openxmlformats.org/markup-compatibility/2006">
          <mc:Choice Requires="x14">
            <control shapeId="45260" r:id="rId36" name="Check Box 1228">
              <controlPr defaultSize="0" autoFill="0" autoLine="0" autoPict="0">
                <anchor moveWithCells="1">
                  <from>
                    <xdr:col>6</xdr:col>
                    <xdr:colOff>76200</xdr:colOff>
                    <xdr:row>164</xdr:row>
                    <xdr:rowOff>19050</xdr:rowOff>
                  </from>
                  <to>
                    <xdr:col>6</xdr:col>
                    <xdr:colOff>323850</xdr:colOff>
                    <xdr:row>164</xdr:row>
                    <xdr:rowOff>180975</xdr:rowOff>
                  </to>
                </anchor>
              </controlPr>
            </control>
          </mc:Choice>
        </mc:AlternateContent>
        <mc:AlternateContent xmlns:mc="http://schemas.openxmlformats.org/markup-compatibility/2006">
          <mc:Choice Requires="x14">
            <control shapeId="45261" r:id="rId37" name="Check Box 1229">
              <controlPr defaultSize="0" autoFill="0" autoLine="0" autoPict="0">
                <anchor moveWithCells="1">
                  <from>
                    <xdr:col>6</xdr:col>
                    <xdr:colOff>76200</xdr:colOff>
                    <xdr:row>164</xdr:row>
                    <xdr:rowOff>19050</xdr:rowOff>
                  </from>
                  <to>
                    <xdr:col>6</xdr:col>
                    <xdr:colOff>323850</xdr:colOff>
                    <xdr:row>164</xdr:row>
                    <xdr:rowOff>180975</xdr:rowOff>
                  </to>
                </anchor>
              </controlPr>
            </control>
          </mc:Choice>
        </mc:AlternateContent>
        <mc:AlternateContent xmlns:mc="http://schemas.openxmlformats.org/markup-compatibility/2006">
          <mc:Choice Requires="x14">
            <control shapeId="45262" r:id="rId38" name="Check Box 1230">
              <controlPr defaultSize="0" autoFill="0" autoLine="0" autoPict="0">
                <anchor moveWithCells="1">
                  <from>
                    <xdr:col>6</xdr:col>
                    <xdr:colOff>76200</xdr:colOff>
                    <xdr:row>181</xdr:row>
                    <xdr:rowOff>19050</xdr:rowOff>
                  </from>
                  <to>
                    <xdr:col>6</xdr:col>
                    <xdr:colOff>323850</xdr:colOff>
                    <xdr:row>181</xdr:row>
                    <xdr:rowOff>180975</xdr:rowOff>
                  </to>
                </anchor>
              </controlPr>
            </control>
          </mc:Choice>
        </mc:AlternateContent>
        <mc:AlternateContent xmlns:mc="http://schemas.openxmlformats.org/markup-compatibility/2006">
          <mc:Choice Requires="x14">
            <control shapeId="45263" r:id="rId39" name="Check Box 1231">
              <controlPr defaultSize="0" autoFill="0" autoLine="0" autoPict="0">
                <anchor moveWithCells="1">
                  <from>
                    <xdr:col>6</xdr:col>
                    <xdr:colOff>76200</xdr:colOff>
                    <xdr:row>181</xdr:row>
                    <xdr:rowOff>19050</xdr:rowOff>
                  </from>
                  <to>
                    <xdr:col>6</xdr:col>
                    <xdr:colOff>323850</xdr:colOff>
                    <xdr:row>181</xdr:row>
                    <xdr:rowOff>180975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54434-8A04-4732-AF6E-3231093BDD73}">
  <sheetPr codeName="Sheet3">
    <tabColor rgb="FF00B0F0"/>
    <outlinePr summaryBelow="0"/>
  </sheetPr>
  <dimension ref="A1:N65"/>
  <sheetViews>
    <sheetView workbookViewId="0">
      <selection activeCell="D29" sqref="D29"/>
    </sheetView>
    <sheetView workbookViewId="1"/>
  </sheetViews>
  <sheetFormatPr defaultColWidth="9.140625" defaultRowHeight="14.25" outlineLevelRow="2"/>
  <cols>
    <col min="1" max="1" width="10.7109375" style="1127" customWidth="1"/>
    <col min="2" max="2" width="20.28515625" style="1128" customWidth="1"/>
    <col min="3" max="3" width="3.85546875" style="1018" customWidth="1"/>
    <col min="4" max="4" width="28.7109375" style="1128" customWidth="1"/>
    <col min="5" max="5" width="10" style="1128" customWidth="1"/>
    <col min="6" max="8" width="12" style="1018" customWidth="1"/>
    <col min="9" max="9" width="32.28515625" style="1128" customWidth="1"/>
    <col min="10" max="13" width="8.7109375" style="1018" customWidth="1"/>
    <col min="14" max="15" width="12.28515625" style="1018" customWidth="1"/>
    <col min="16" max="16" width="8.7109375" style="1018" customWidth="1"/>
    <col min="17" max="16384" width="9.140625" style="1018"/>
  </cols>
  <sheetData>
    <row r="1" spans="1:9" s="988" customFormat="1" ht="18" customHeight="1">
      <c r="B1" s="989"/>
      <c r="C1" s="990" t="str">
        <f>'OSNOVNI PODATKI'!D1</f>
        <v>NAROČNIK</v>
      </c>
      <c r="D1" s="995">
        <f>IFERROR('OSNOVNI PODATKI'!E1,"")</f>
        <v>0</v>
      </c>
      <c r="E1" s="992"/>
      <c r="F1" s="992"/>
      <c r="I1" s="989"/>
    </row>
    <row r="2" spans="1:9" s="993" customFormat="1" ht="18" customHeight="1">
      <c r="B2" s="994"/>
      <c r="C2" s="990"/>
      <c r="D2" s="995">
        <f>IFERROR('OSNOVNI PODATKI'!E2,"")</f>
        <v>0</v>
      </c>
      <c r="E2" s="996"/>
      <c r="F2" s="996"/>
      <c r="I2" s="994"/>
    </row>
    <row r="3" spans="1:9" s="988" customFormat="1" ht="23.25">
      <c r="A3" s="993"/>
      <c r="B3" s="997"/>
      <c r="C3" s="990" t="str">
        <f>'OSNOVNI PODATKI'!D3</f>
        <v>PROJEKTANT</v>
      </c>
      <c r="D3" s="995">
        <f>IFERROR('OSNOVNI PODATKI'!E3,"")</f>
        <v>0</v>
      </c>
      <c r="E3" s="992"/>
      <c r="F3" s="992"/>
      <c r="G3" s="998"/>
      <c r="H3" s="998"/>
      <c r="I3" s="999"/>
    </row>
    <row r="4" spans="1:9" s="998" customFormat="1" ht="15.75">
      <c r="B4" s="988"/>
      <c r="C4" s="990" t="str">
        <f>'OSNOVNI PODATKI'!D4</f>
        <v>GRADNJA</v>
      </c>
      <c r="D4" s="995">
        <f>IFERROR('OSNOVNI PODATKI'!E4,"")</f>
        <v>0</v>
      </c>
      <c r="E4" s="992"/>
      <c r="F4" s="992"/>
      <c r="I4" s="999"/>
    </row>
    <row r="5" spans="1:9" s="988" customFormat="1" ht="15.75">
      <c r="A5" s="1000"/>
      <c r="B5" s="1001"/>
      <c r="C5" s="1002" t="str">
        <f>'OSNOVNI PODATKI'!D5</f>
        <v>DATUM</v>
      </c>
      <c r="D5" s="1003">
        <f ca="1">'OSNOVNI PODATKI'!E5</f>
        <v>46278</v>
      </c>
      <c r="E5" s="1004"/>
      <c r="F5" s="1004"/>
      <c r="I5" s="989"/>
    </row>
    <row r="6" spans="1:9" s="988" customFormat="1" ht="18.75">
      <c r="A6" s="1005"/>
      <c r="B6" s="1006"/>
      <c r="C6" s="993"/>
      <c r="D6" s="994"/>
      <c r="E6" s="994"/>
      <c r="F6" s="993"/>
      <c r="G6" s="993"/>
      <c r="H6" s="993"/>
      <c r="I6" s="994"/>
    </row>
    <row r="7" spans="1:9" s="998" customFormat="1" ht="15.75">
      <c r="B7" s="999"/>
      <c r="D7" s="999"/>
      <c r="E7" s="999"/>
      <c r="I7" s="999"/>
    </row>
    <row r="8" spans="1:9" s="1008" customFormat="1" ht="23.25">
      <c r="A8" s="1263" t="s">
        <v>957</v>
      </c>
      <c r="B8" s="1007"/>
      <c r="D8" s="1009"/>
      <c r="E8" s="1009"/>
    </row>
    <row r="9" spans="1:9" s="1008" customFormat="1" ht="23.25">
      <c r="A9" s="1263" t="s">
        <v>952</v>
      </c>
      <c r="B9" s="1007"/>
      <c r="D9" s="1009"/>
      <c r="E9" s="1009"/>
      <c r="I9" s="1009"/>
    </row>
    <row r="10" spans="1:9" s="998" customFormat="1" ht="15.75">
      <c r="A10" s="1010"/>
      <c r="B10" s="1011"/>
      <c r="C10" s="1012"/>
      <c r="D10" s="1013"/>
      <c r="E10" s="1013"/>
      <c r="F10" s="1012"/>
      <c r="G10" s="1012"/>
      <c r="H10" s="1012"/>
      <c r="I10" s="1013"/>
    </row>
    <row r="11" spans="1:9" ht="23.25">
      <c r="A11" s="1014"/>
      <c r="B11" s="1015"/>
      <c r="C11" s="1329" t="s">
        <v>814</v>
      </c>
      <c r="D11" s="1329"/>
      <c r="E11" s="1016" t="s">
        <v>815</v>
      </c>
      <c r="F11" s="1016" t="s">
        <v>816</v>
      </c>
      <c r="G11" s="1016" t="s">
        <v>188</v>
      </c>
      <c r="H11" s="1016" t="s">
        <v>818</v>
      </c>
      <c r="I11" s="1017" t="s">
        <v>817</v>
      </c>
    </row>
    <row r="12" spans="1:9" s="1024" customFormat="1" collapsed="1">
      <c r="A12" s="1019" t="s">
        <v>26</v>
      </c>
      <c r="B12" s="1020" t="s">
        <v>27</v>
      </c>
      <c r="C12" s="1021"/>
      <c r="D12" s="1022"/>
      <c r="E12" s="1252"/>
      <c r="F12" s="1023"/>
      <c r="G12" s="1023"/>
      <c r="H12" s="1023"/>
      <c r="I12" s="1022"/>
    </row>
    <row r="13" spans="1:9" s="1031" customFormat="1" ht="45" hidden="1" outlineLevel="1">
      <c r="A13" s="1025" t="s">
        <v>28</v>
      </c>
      <c r="B13" s="1026" t="s">
        <v>62</v>
      </c>
      <c r="C13" s="1027" t="s">
        <v>819</v>
      </c>
      <c r="D13" s="1028" t="s">
        <v>840</v>
      </c>
      <c r="E13" s="1253" t="str">
        <f>IFERROR(+F13/($F$55+'POSEBNE STORITVE'!$F$91),"%")</f>
        <v>%</v>
      </c>
      <c r="F13" s="1029">
        <v>0</v>
      </c>
      <c r="G13" s="1029">
        <f>+F13*0.22</f>
        <v>0</v>
      </c>
      <c r="H13" s="1029">
        <f>+F13+G13</f>
        <v>0</v>
      </c>
      <c r="I13" s="1030" t="s">
        <v>850</v>
      </c>
    </row>
    <row r="14" spans="1:9" s="1031" customFormat="1" ht="33.75" hidden="1" outlineLevel="1">
      <c r="A14" s="1025" t="s">
        <v>29</v>
      </c>
      <c r="B14" s="1026" t="s">
        <v>63</v>
      </c>
      <c r="C14" s="1027" t="s">
        <v>819</v>
      </c>
      <c r="D14" s="1028" t="s">
        <v>841</v>
      </c>
      <c r="E14" s="1253" t="str">
        <f>IFERROR(+F14/($F$55+'POSEBNE STORITVE'!$F$91),"%")</f>
        <v>%</v>
      </c>
      <c r="F14" s="1029">
        <v>0</v>
      </c>
      <c r="G14" s="1029">
        <f>+F14*0.22</f>
        <v>0</v>
      </c>
      <c r="H14" s="1029">
        <f>+F14+G14</f>
        <v>0</v>
      </c>
      <c r="I14" s="1030" t="s">
        <v>851</v>
      </c>
    </row>
    <row r="15" spans="1:9" s="1037" customFormat="1" collapsed="1">
      <c r="A15" s="1032" t="s">
        <v>30</v>
      </c>
      <c r="B15" s="1033" t="s">
        <v>31</v>
      </c>
      <c r="C15" s="1034"/>
      <c r="D15" s="1035"/>
      <c r="E15" s="1254"/>
      <c r="F15" s="1034"/>
      <c r="G15" s="1034"/>
      <c r="H15" s="1034"/>
      <c r="I15" s="1036"/>
    </row>
    <row r="16" spans="1:9" s="1040" customFormat="1" ht="45" hidden="1" outlineLevel="1">
      <c r="A16" s="1038" t="s">
        <v>32</v>
      </c>
      <c r="B16" s="1039" t="s">
        <v>64</v>
      </c>
      <c r="C16" s="1027" t="s">
        <v>819</v>
      </c>
      <c r="D16" s="1028" t="s">
        <v>841</v>
      </c>
      <c r="E16" s="1253" t="str">
        <f>IFERROR(+F16/($F$55+'POSEBNE STORITVE'!$F$91),"%")</f>
        <v>%</v>
      </c>
      <c r="F16" s="1029">
        <v>0</v>
      </c>
      <c r="G16" s="1029">
        <f>+F16*0.22</f>
        <v>0</v>
      </c>
      <c r="H16" s="1029">
        <f>+F16+G16</f>
        <v>0</v>
      </c>
      <c r="I16" s="1030" t="s">
        <v>852</v>
      </c>
    </row>
    <row r="17" spans="1:9" s="1040" customFormat="1" ht="56.25" hidden="1" outlineLevel="1">
      <c r="A17" s="1038" t="s">
        <v>33</v>
      </c>
      <c r="B17" s="1039" t="s">
        <v>65</v>
      </c>
      <c r="C17" s="1027" t="s">
        <v>819</v>
      </c>
      <c r="D17" s="1028" t="s">
        <v>841</v>
      </c>
      <c r="E17" s="1253" t="str">
        <f>IFERROR(+F17/($F$55+'POSEBNE STORITVE'!$F$91),"%")</f>
        <v>%</v>
      </c>
      <c r="F17" s="1029">
        <v>0</v>
      </c>
      <c r="G17" s="1029">
        <f>+F17*0.22</f>
        <v>0</v>
      </c>
      <c r="H17" s="1029">
        <f>+F17+G17</f>
        <v>0</v>
      </c>
      <c r="I17" s="1030" t="s">
        <v>853</v>
      </c>
    </row>
    <row r="18" spans="1:9" s="1040" customFormat="1" ht="33.75" hidden="1" outlineLevel="1">
      <c r="A18" s="1041" t="s">
        <v>34</v>
      </c>
      <c r="B18" s="1042" t="s">
        <v>695</v>
      </c>
      <c r="C18" s="1043" t="s">
        <v>819</v>
      </c>
      <c r="D18" s="1028" t="s">
        <v>841</v>
      </c>
      <c r="E18" s="1253" t="str">
        <f>IFERROR(+F18/($F$55+'POSEBNE STORITVE'!$F$91),"%")</f>
        <v>%</v>
      </c>
      <c r="F18" s="1044">
        <v>0</v>
      </c>
      <c r="G18" s="1044">
        <f>+F18*0.22</f>
        <v>0</v>
      </c>
      <c r="H18" s="1044">
        <f>+F18+G18</f>
        <v>0</v>
      </c>
      <c r="I18" s="1030" t="s">
        <v>854</v>
      </c>
    </row>
    <row r="19" spans="1:9" s="1037" customFormat="1">
      <c r="A19" s="1045">
        <v>2</v>
      </c>
      <c r="B19" s="1033" t="s">
        <v>35</v>
      </c>
      <c r="C19" s="1034"/>
      <c r="D19" s="1035"/>
      <c r="E19" s="1254"/>
      <c r="F19" s="1046"/>
      <c r="G19" s="1046"/>
      <c r="H19" s="1046"/>
      <c r="I19" s="1047"/>
    </row>
    <row r="20" spans="1:9" s="1037" customFormat="1" outlineLevel="1">
      <c r="A20" s="1038" t="s">
        <v>48</v>
      </c>
      <c r="B20" s="1039" t="s">
        <v>78</v>
      </c>
      <c r="C20" s="1048"/>
      <c r="D20" s="1049"/>
      <c r="E20" s="1255"/>
      <c r="F20" s="1048"/>
      <c r="G20" s="1048"/>
      <c r="H20" s="1048"/>
      <c r="I20" s="1050"/>
    </row>
    <row r="21" spans="1:9" s="1053" customFormat="1" ht="45" outlineLevel="2">
      <c r="A21" s="1051"/>
      <c r="B21" s="1052" t="s">
        <v>821</v>
      </c>
      <c r="C21" s="1027" t="s">
        <v>819</v>
      </c>
      <c r="D21" s="1028" t="s">
        <v>842</v>
      </c>
      <c r="E21" s="1253" t="str">
        <f>IFERROR(+F21/($F$55+'POSEBNE STORITVE'!$F$91),"%")</f>
        <v>%</v>
      </c>
      <c r="F21" s="1029">
        <v>0</v>
      </c>
      <c r="G21" s="1029">
        <f>+F21*0.22</f>
        <v>0</v>
      </c>
      <c r="H21" s="1029">
        <f>+F21+G21</f>
        <v>0</v>
      </c>
      <c r="I21" s="1030" t="s">
        <v>856</v>
      </c>
    </row>
    <row r="22" spans="1:9" s="1037" customFormat="1" outlineLevel="1">
      <c r="A22" s="1054" t="s">
        <v>49</v>
      </c>
      <c r="B22" s="1055" t="s">
        <v>624</v>
      </c>
      <c r="C22" s="1056"/>
      <c r="D22" s="1057"/>
      <c r="E22" s="1255"/>
      <c r="F22" s="1048"/>
      <c r="G22" s="1048"/>
      <c r="H22" s="1048"/>
      <c r="I22" s="1058"/>
    </row>
    <row r="23" spans="1:9" s="1053" customFormat="1" ht="22.5" outlineLevel="2">
      <c r="A23" s="1051"/>
      <c r="B23" s="1052" t="s">
        <v>822</v>
      </c>
      <c r="C23" s="1027" t="s">
        <v>819</v>
      </c>
      <c r="D23" s="1028" t="s">
        <v>823</v>
      </c>
      <c r="E23" s="1253" t="str">
        <f>IFERROR(+F23/($F$55+'POSEBNE STORITVE'!$F$91),"%")</f>
        <v>%</v>
      </c>
      <c r="F23" s="1029">
        <v>0</v>
      </c>
      <c r="G23" s="1029">
        <f>+F23*0.22</f>
        <v>0</v>
      </c>
      <c r="H23" s="1029">
        <f>+F23+G23</f>
        <v>0</v>
      </c>
      <c r="I23" s="1030" t="s">
        <v>857</v>
      </c>
    </row>
    <row r="24" spans="1:9" s="1037" customFormat="1" outlineLevel="1">
      <c r="A24" s="1054" t="s">
        <v>50</v>
      </c>
      <c r="B24" s="1055" t="s">
        <v>824</v>
      </c>
      <c r="C24" s="1027"/>
      <c r="D24" s="1028"/>
      <c r="E24" s="1253"/>
      <c r="F24" s="1029"/>
      <c r="G24" s="1029"/>
      <c r="H24" s="1029"/>
      <c r="I24" s="1030"/>
    </row>
    <row r="25" spans="1:9" s="1053" customFormat="1" ht="45" outlineLevel="2">
      <c r="A25" s="1051"/>
      <c r="B25" s="1052" t="s">
        <v>855</v>
      </c>
      <c r="C25" s="1043" t="s">
        <v>819</v>
      </c>
      <c r="D25" s="1059" t="s">
        <v>825</v>
      </c>
      <c r="E25" s="1256" t="str">
        <f>IFERROR(+F25/($F$55+'POSEBNE STORITVE'!$F$91),"%")</f>
        <v>%</v>
      </c>
      <c r="F25" s="1044">
        <v>0</v>
      </c>
      <c r="G25" s="1044">
        <f>+F25*0.22</f>
        <v>0</v>
      </c>
      <c r="H25" s="1044">
        <f>+F25+G25</f>
        <v>0</v>
      </c>
      <c r="I25" s="1060" t="s">
        <v>858</v>
      </c>
    </row>
    <row r="26" spans="1:9" s="1053" customFormat="1" ht="78.75" outlineLevel="2">
      <c r="A26" s="1061"/>
      <c r="B26" s="1062" t="s">
        <v>826</v>
      </c>
      <c r="C26" s="1063" t="s">
        <v>819</v>
      </c>
      <c r="D26" s="1064" t="s">
        <v>912</v>
      </c>
      <c r="E26" s="1257" t="str">
        <f>IFERROR(+F26/($F$55+'POSEBNE STORITVE'!$F$91),"%")</f>
        <v>%</v>
      </c>
      <c r="F26" s="1065">
        <v>0</v>
      </c>
      <c r="G26" s="1065">
        <f>+F26*0.22</f>
        <v>0</v>
      </c>
      <c r="H26" s="1065">
        <f>+F26+G26</f>
        <v>0</v>
      </c>
      <c r="I26" s="1066" t="s">
        <v>859</v>
      </c>
    </row>
    <row r="27" spans="1:9" s="1037" customFormat="1" outlineLevel="1">
      <c r="A27" s="1054" t="s">
        <v>79</v>
      </c>
      <c r="B27" s="1055" t="s">
        <v>625</v>
      </c>
      <c r="C27" s="1056"/>
      <c r="D27" s="1057"/>
      <c r="E27" s="1255"/>
      <c r="F27" s="1048"/>
      <c r="G27" s="1048"/>
      <c r="H27" s="1048"/>
      <c r="I27" s="1058"/>
    </row>
    <row r="28" spans="1:9" s="1053" customFormat="1" ht="33.75" outlineLevel="2">
      <c r="A28" s="1061"/>
      <c r="B28" s="1062" t="s">
        <v>843</v>
      </c>
      <c r="C28" s="1067" t="s">
        <v>819</v>
      </c>
      <c r="D28" s="1068" t="s">
        <v>844</v>
      </c>
      <c r="E28" s="1256" t="str">
        <f>IFERROR(+F28/($F$55+'POSEBNE STORITVE'!$F$91),"%")</f>
        <v>%</v>
      </c>
      <c r="F28" s="1069">
        <v>0</v>
      </c>
      <c r="G28" s="1069">
        <f>+F28*0.22</f>
        <v>0</v>
      </c>
      <c r="H28" s="1069">
        <f>+F28+G28</f>
        <v>0</v>
      </c>
      <c r="I28" s="1060" t="s">
        <v>860</v>
      </c>
    </row>
    <row r="29" spans="1:9" s="1053" customFormat="1" ht="33.75" outlineLevel="2">
      <c r="A29" s="1070"/>
      <c r="B29" s="1071" t="s">
        <v>828</v>
      </c>
      <c r="C29" s="1072" t="s">
        <v>819</v>
      </c>
      <c r="D29" s="1073" t="s">
        <v>829</v>
      </c>
      <c r="E29" s="1258" t="str">
        <f>IFERROR(+F29/($F$55+'POSEBNE STORITVE'!$F$91),"%")</f>
        <v>%</v>
      </c>
      <c r="F29" s="1074">
        <v>0</v>
      </c>
      <c r="G29" s="1074">
        <f>+F29*0.22</f>
        <v>0</v>
      </c>
      <c r="H29" s="1074">
        <f>+F29+G29</f>
        <v>0</v>
      </c>
      <c r="I29" s="1075" t="s">
        <v>861</v>
      </c>
    </row>
    <row r="30" spans="1:9" s="1053" customFormat="1" ht="33.75" outlineLevel="2">
      <c r="A30" s="1070"/>
      <c r="B30" s="1071" t="s">
        <v>830</v>
      </c>
      <c r="C30" s="1072" t="s">
        <v>819</v>
      </c>
      <c r="D30" s="1073" t="s">
        <v>829</v>
      </c>
      <c r="E30" s="1258" t="str">
        <f>IFERROR(+F30/($F$55+'POSEBNE STORITVE'!$F$91),"%")</f>
        <v>%</v>
      </c>
      <c r="F30" s="1074">
        <v>0</v>
      </c>
      <c r="G30" s="1074">
        <f>+F30*0.22</f>
        <v>0</v>
      </c>
      <c r="H30" s="1074">
        <f>+F30+G30</f>
        <v>0</v>
      </c>
      <c r="I30" s="1075" t="s">
        <v>861</v>
      </c>
    </row>
    <row r="31" spans="1:9" s="1053" customFormat="1" ht="33.75" outlineLevel="2">
      <c r="A31" s="1070"/>
      <c r="B31" s="1071" t="s">
        <v>831</v>
      </c>
      <c r="C31" s="1076" t="s">
        <v>819</v>
      </c>
      <c r="D31" s="1077" t="s">
        <v>829</v>
      </c>
      <c r="E31" s="1259" t="str">
        <f>IFERROR(+F31/($F$55+'POSEBNE STORITVE'!$F$91),"%")</f>
        <v>%</v>
      </c>
      <c r="F31" s="1078">
        <v>0</v>
      </c>
      <c r="G31" s="1078">
        <f>+F31*0.22</f>
        <v>0</v>
      </c>
      <c r="H31" s="1078">
        <f>+F31+G31</f>
        <v>0</v>
      </c>
      <c r="I31" s="1079" t="s">
        <v>861</v>
      </c>
    </row>
    <row r="32" spans="1:9" s="1037" customFormat="1" outlineLevel="1">
      <c r="A32" s="1054" t="s">
        <v>80</v>
      </c>
      <c r="B32" s="1055" t="s">
        <v>696</v>
      </c>
      <c r="C32" s="1056"/>
      <c r="D32" s="1057"/>
      <c r="E32" s="1255"/>
      <c r="F32" s="1048"/>
      <c r="G32" s="1048"/>
      <c r="H32" s="1048"/>
      <c r="I32" s="1058"/>
    </row>
    <row r="33" spans="1:9" s="1053" customFormat="1" ht="33.75" outlineLevel="2">
      <c r="A33" s="1061"/>
      <c r="B33" s="1062" t="s">
        <v>845</v>
      </c>
      <c r="C33" s="1067" t="s">
        <v>819</v>
      </c>
      <c r="D33" s="1068" t="s">
        <v>832</v>
      </c>
      <c r="E33" s="1256" t="str">
        <f>IFERROR(+F33/($F$55+'POSEBNE STORITVE'!$F$91),"%")</f>
        <v>%</v>
      </c>
      <c r="F33" s="1069">
        <v>0</v>
      </c>
      <c r="G33" s="1069">
        <f>+F33*0.22</f>
        <v>0</v>
      </c>
      <c r="H33" s="1069">
        <f>+F33+G33</f>
        <v>0</v>
      </c>
      <c r="I33" s="1060" t="s">
        <v>862</v>
      </c>
    </row>
    <row r="34" spans="1:9" s="1053" customFormat="1" ht="22.5" outlineLevel="2">
      <c r="A34" s="1070"/>
      <c r="B34" s="1071" t="s">
        <v>833</v>
      </c>
      <c r="C34" s="1072" t="s">
        <v>819</v>
      </c>
      <c r="D34" s="1073" t="s">
        <v>829</v>
      </c>
      <c r="E34" s="1258" t="str">
        <f>IFERROR(+F34/($F$55+'POSEBNE STORITVE'!$F$91),"%")</f>
        <v>%</v>
      </c>
      <c r="F34" s="1074">
        <v>0</v>
      </c>
      <c r="G34" s="1074">
        <f t="shared" ref="G34:G36" si="0">+F34*0.22</f>
        <v>0</v>
      </c>
      <c r="H34" s="1074">
        <f t="shared" ref="H34:H36" si="1">+F34+G34</f>
        <v>0</v>
      </c>
      <c r="I34" s="1075" t="s">
        <v>861</v>
      </c>
    </row>
    <row r="35" spans="1:9" s="1053" customFormat="1" ht="22.5" outlineLevel="2">
      <c r="A35" s="1070"/>
      <c r="B35" s="1071" t="s">
        <v>834</v>
      </c>
      <c r="C35" s="1072" t="s">
        <v>819</v>
      </c>
      <c r="D35" s="1073" t="s">
        <v>829</v>
      </c>
      <c r="E35" s="1258" t="str">
        <f>IFERROR(+F35/($F$55+'POSEBNE STORITVE'!$F$91),"%")</f>
        <v>%</v>
      </c>
      <c r="F35" s="1074">
        <v>0</v>
      </c>
      <c r="G35" s="1074">
        <f t="shared" si="0"/>
        <v>0</v>
      </c>
      <c r="H35" s="1074">
        <f t="shared" si="1"/>
        <v>0</v>
      </c>
      <c r="I35" s="1075" t="s">
        <v>861</v>
      </c>
    </row>
    <row r="36" spans="1:9" s="1053" customFormat="1" ht="22.5" outlineLevel="2">
      <c r="A36" s="1070"/>
      <c r="B36" s="1071" t="s">
        <v>835</v>
      </c>
      <c r="C36" s="1072" t="s">
        <v>819</v>
      </c>
      <c r="D36" s="1073" t="s">
        <v>829</v>
      </c>
      <c r="E36" s="1258" t="str">
        <f>IFERROR(+F36/($F$55+'POSEBNE STORITVE'!$F$91),"%")</f>
        <v>%</v>
      </c>
      <c r="F36" s="1074">
        <v>0</v>
      </c>
      <c r="G36" s="1074">
        <f t="shared" si="0"/>
        <v>0</v>
      </c>
      <c r="H36" s="1074">
        <f t="shared" si="1"/>
        <v>0</v>
      </c>
      <c r="I36" s="1079" t="s">
        <v>861</v>
      </c>
    </row>
    <row r="37" spans="1:9" s="1037" customFormat="1" collapsed="1">
      <c r="A37" s="1080" t="s">
        <v>36</v>
      </c>
      <c r="B37" s="1081" t="s">
        <v>836</v>
      </c>
      <c r="C37" s="1034"/>
      <c r="D37" s="1035"/>
      <c r="E37" s="1254"/>
      <c r="F37" s="1034"/>
      <c r="G37" s="1034"/>
      <c r="H37" s="1034"/>
      <c r="I37" s="1036"/>
    </row>
    <row r="38" spans="1:9" s="1031" customFormat="1" ht="22.5" hidden="1" outlineLevel="1">
      <c r="A38" s="1054" t="s">
        <v>37</v>
      </c>
      <c r="B38" s="1082" t="s">
        <v>697</v>
      </c>
      <c r="C38" s="1027" t="s">
        <v>819</v>
      </c>
      <c r="D38" s="1028" t="s">
        <v>837</v>
      </c>
      <c r="E38" s="1253" t="str">
        <f>IFERROR(+F38/($F$55+'POSEBNE STORITVE'!$F$91),"%")</f>
        <v>%</v>
      </c>
      <c r="F38" s="1029">
        <v>0</v>
      </c>
      <c r="G38" s="1029">
        <f>+F38*0.22</f>
        <v>0</v>
      </c>
      <c r="H38" s="1029">
        <f>+F38+G38</f>
        <v>0</v>
      </c>
      <c r="I38" s="1030" t="s">
        <v>861</v>
      </c>
    </row>
    <row r="39" spans="1:9" s="1031" customFormat="1" ht="22.5" hidden="1" outlineLevel="1">
      <c r="A39" s="1083" t="s">
        <v>38</v>
      </c>
      <c r="B39" s="1084" t="s">
        <v>180</v>
      </c>
      <c r="C39" s="1085" t="s">
        <v>819</v>
      </c>
      <c r="D39" s="1028" t="s">
        <v>837</v>
      </c>
      <c r="E39" s="1253" t="str">
        <f>IFERROR(+F39/($F$55+'POSEBNE STORITVE'!$F$91),"%")</f>
        <v>%</v>
      </c>
      <c r="F39" s="1086">
        <v>0</v>
      </c>
      <c r="G39" s="1086">
        <f>+F39*0.22</f>
        <v>0</v>
      </c>
      <c r="H39" s="1086">
        <f>+F39+G39</f>
        <v>0</v>
      </c>
      <c r="I39" s="1030" t="s">
        <v>861</v>
      </c>
    </row>
    <row r="40" spans="1:9" s="1037" customFormat="1" collapsed="1">
      <c r="A40" s="1087">
        <v>4</v>
      </c>
      <c r="B40" s="1033" t="s">
        <v>57</v>
      </c>
      <c r="C40" s="1034"/>
      <c r="D40" s="1035"/>
      <c r="E40" s="1254"/>
      <c r="F40" s="1034"/>
      <c r="G40" s="1034"/>
      <c r="H40" s="1034"/>
      <c r="I40" s="1036"/>
    </row>
    <row r="41" spans="1:9" s="1031" customFormat="1" ht="33.75" hidden="1" outlineLevel="1">
      <c r="A41" s="1054" t="s">
        <v>39</v>
      </c>
      <c r="B41" s="1082" t="s">
        <v>181</v>
      </c>
      <c r="C41" s="1048"/>
      <c r="D41" s="1028" t="s">
        <v>846</v>
      </c>
      <c r="E41" s="1255"/>
      <c r="F41" s="1048"/>
      <c r="G41" s="1048"/>
      <c r="H41" s="1048"/>
      <c r="I41" s="1050" t="s">
        <v>863</v>
      </c>
    </row>
    <row r="42" spans="1:9" s="1031" customFormat="1" ht="56.25" hidden="1" outlineLevel="1">
      <c r="A42" s="1054" t="s">
        <v>40</v>
      </c>
      <c r="B42" s="1082" t="s">
        <v>712</v>
      </c>
      <c r="C42" s="1027"/>
      <c r="D42" s="1028" t="s">
        <v>913</v>
      </c>
      <c r="E42" s="1253" t="str">
        <f>IFERROR(+F42/$F$55,"%")</f>
        <v>%</v>
      </c>
      <c r="F42" s="1029">
        <v>0</v>
      </c>
      <c r="G42" s="1029">
        <f>+F42*0.22</f>
        <v>0</v>
      </c>
      <c r="H42" s="1029">
        <f>+F42+G42</f>
        <v>0</v>
      </c>
      <c r="I42" s="1030" t="s">
        <v>864</v>
      </c>
    </row>
    <row r="43" spans="1:9" s="1031" customFormat="1" ht="45" hidden="1" outlineLevel="1">
      <c r="A43" s="1054" t="s">
        <v>41</v>
      </c>
      <c r="B43" s="1082" t="s">
        <v>796</v>
      </c>
      <c r="C43" s="1027"/>
      <c r="D43" s="1028" t="s">
        <v>874</v>
      </c>
      <c r="E43" s="1253" t="str">
        <f>IFERROR(+F43/$F$55,"%")</f>
        <v>%</v>
      </c>
      <c r="F43" s="1029">
        <v>0</v>
      </c>
      <c r="G43" s="1029">
        <f>+F43*0.22</f>
        <v>0</v>
      </c>
      <c r="H43" s="1029">
        <f>+F43+G43</f>
        <v>0</v>
      </c>
      <c r="I43" s="1030" t="s">
        <v>864</v>
      </c>
    </row>
    <row r="44" spans="1:9" s="1031" customFormat="1" ht="56.25" hidden="1" outlineLevel="1">
      <c r="A44" s="1054" t="s">
        <v>42</v>
      </c>
      <c r="B44" s="1082" t="s">
        <v>713</v>
      </c>
      <c r="C44" s="1027"/>
      <c r="D44" s="1028" t="s">
        <v>875</v>
      </c>
      <c r="E44" s="1253" t="str">
        <f>IFERROR(+F44/$F$55,"%")</f>
        <v>%</v>
      </c>
      <c r="F44" s="1029">
        <v>0</v>
      </c>
      <c r="G44" s="1029">
        <f>+F44*0.22</f>
        <v>0</v>
      </c>
      <c r="H44" s="1029">
        <f>+F44+G44</f>
        <v>0</v>
      </c>
      <c r="I44" s="1030" t="s">
        <v>864</v>
      </c>
    </row>
    <row r="45" spans="1:9" s="1031" customFormat="1" ht="12.75" hidden="1" outlineLevel="1">
      <c r="A45" s="1054" t="s">
        <v>43</v>
      </c>
      <c r="B45" s="1088" t="s">
        <v>698</v>
      </c>
      <c r="C45" s="1027"/>
      <c r="D45" s="1028"/>
      <c r="E45" s="1253"/>
      <c r="F45" s="1029"/>
      <c r="G45" s="1029"/>
      <c r="H45" s="1029"/>
      <c r="I45" s="1030"/>
    </row>
    <row r="46" spans="1:9" s="1053" customFormat="1" ht="45" hidden="1" outlineLevel="2">
      <c r="A46" s="1089"/>
      <c r="B46" s="1090" t="s">
        <v>839</v>
      </c>
      <c r="C46" s="1091" t="s">
        <v>819</v>
      </c>
      <c r="D46" s="1092" t="s">
        <v>847</v>
      </c>
      <c r="E46" s="1260" t="str">
        <f>IFERROR(+F46/$F$55,"%")</f>
        <v>%</v>
      </c>
      <c r="F46" s="1093">
        <v>0</v>
      </c>
      <c r="G46" s="1093">
        <f>+F46*0.22</f>
        <v>0</v>
      </c>
      <c r="H46" s="1093">
        <f>+F46+G46</f>
        <v>0</v>
      </c>
      <c r="I46" s="1094" t="s">
        <v>865</v>
      </c>
    </row>
    <row r="47" spans="1:9" s="1037" customFormat="1" collapsed="1">
      <c r="A47" s="1095">
        <v>5</v>
      </c>
      <c r="B47" s="1096" t="s">
        <v>44</v>
      </c>
      <c r="C47" s="1097"/>
      <c r="D47" s="1098"/>
      <c r="E47" s="1257"/>
      <c r="F47" s="1097"/>
      <c r="G47" s="1097"/>
      <c r="H47" s="1097"/>
      <c r="I47" s="1099"/>
    </row>
    <row r="48" spans="1:9" s="1031" customFormat="1" ht="33.75" hidden="1" outlineLevel="1">
      <c r="A48" s="1054" t="s">
        <v>45</v>
      </c>
      <c r="B48" s="1100" t="s">
        <v>183</v>
      </c>
      <c r="C48" s="1027" t="s">
        <v>819</v>
      </c>
      <c r="D48" s="1028" t="s">
        <v>849</v>
      </c>
      <c r="E48" s="1253" t="str">
        <f>IFERROR(+F48/$F$55,"%")</f>
        <v>%</v>
      </c>
      <c r="F48" s="1029">
        <v>0</v>
      </c>
      <c r="G48" s="1029">
        <f>+F48*0.22</f>
        <v>0</v>
      </c>
      <c r="H48" s="1029">
        <f>+F48+G48</f>
        <v>0</v>
      </c>
      <c r="I48" s="1030" t="s">
        <v>866</v>
      </c>
    </row>
    <row r="49" spans="1:14" s="1031" customFormat="1" ht="33.75" hidden="1" outlineLevel="1">
      <c r="A49" s="1101" t="s">
        <v>46</v>
      </c>
      <c r="B49" s="1102" t="s">
        <v>184</v>
      </c>
      <c r="C49" s="1091" t="s">
        <v>819</v>
      </c>
      <c r="D49" s="1092" t="s">
        <v>849</v>
      </c>
      <c r="E49" s="1260" t="str">
        <f>IFERROR(+F49/$F$55,"%")</f>
        <v>%</v>
      </c>
      <c r="F49" s="1093">
        <v>0</v>
      </c>
      <c r="G49" s="1093">
        <f>+F49*0.22</f>
        <v>0</v>
      </c>
      <c r="H49" s="1093">
        <f>+F49+G49</f>
        <v>0</v>
      </c>
      <c r="I49" s="1094" t="s">
        <v>866</v>
      </c>
    </row>
    <row r="50" spans="1:14" s="1024" customFormat="1" collapsed="1">
      <c r="A50" s="1103">
        <v>6</v>
      </c>
      <c r="B50" s="1104" t="s">
        <v>47</v>
      </c>
      <c r="C50" s="1097"/>
      <c r="D50" s="1098"/>
      <c r="E50" s="1257"/>
      <c r="F50" s="1105"/>
      <c r="G50" s="1105"/>
      <c r="H50" s="1105"/>
      <c r="I50" s="1066"/>
    </row>
    <row r="51" spans="1:14" s="1031" customFormat="1" ht="33.75" hidden="1" outlineLevel="1">
      <c r="A51" s="1106" t="s">
        <v>51</v>
      </c>
      <c r="B51" s="1107" t="s">
        <v>185</v>
      </c>
      <c r="C51" s="1027" t="s">
        <v>819</v>
      </c>
      <c r="D51" s="1098" t="s">
        <v>876</v>
      </c>
      <c r="E51" s="1253" t="str">
        <f>IFERROR(+F51/$F$55,"%")</f>
        <v>%</v>
      </c>
      <c r="F51" s="1029">
        <v>0</v>
      </c>
      <c r="G51" s="1029">
        <f>+F51*0.22</f>
        <v>0</v>
      </c>
      <c r="H51" s="1029">
        <f>+F51+G51</f>
        <v>0</v>
      </c>
      <c r="I51" s="1030" t="s">
        <v>861</v>
      </c>
    </row>
    <row r="52" spans="1:14" s="1031" customFormat="1" ht="33.75" hidden="1" outlineLevel="1">
      <c r="A52" s="1054" t="s">
        <v>52</v>
      </c>
      <c r="B52" s="1100" t="s">
        <v>186</v>
      </c>
      <c r="C52" s="1027" t="s">
        <v>819</v>
      </c>
      <c r="D52" s="1028" t="s">
        <v>877</v>
      </c>
      <c r="E52" s="1253" t="str">
        <f>IFERROR(+F52/$F$55,"%")</f>
        <v>%</v>
      </c>
      <c r="F52" s="1029">
        <v>0</v>
      </c>
      <c r="G52" s="1029">
        <f>+F52*0.22</f>
        <v>0</v>
      </c>
      <c r="H52" s="1029">
        <f>+F52+G52</f>
        <v>0</v>
      </c>
      <c r="I52" s="1030" t="s">
        <v>861</v>
      </c>
    </row>
    <row r="53" spans="1:14" s="1031" customFormat="1" ht="22.5" hidden="1" outlineLevel="1">
      <c r="A53" s="1054" t="s">
        <v>53</v>
      </c>
      <c r="B53" s="1100" t="s">
        <v>187</v>
      </c>
      <c r="C53" s="1027" t="s">
        <v>819</v>
      </c>
      <c r="D53" s="1028" t="s">
        <v>820</v>
      </c>
      <c r="E53" s="1253" t="str">
        <f>IFERROR(+F53/$F$55,"%")</f>
        <v>%</v>
      </c>
      <c r="F53" s="1029">
        <v>0</v>
      </c>
      <c r="G53" s="1029">
        <f>+F53*0.22</f>
        <v>0</v>
      </c>
      <c r="H53" s="1029">
        <f>+F53+G53</f>
        <v>0</v>
      </c>
      <c r="I53" s="1030" t="s">
        <v>861</v>
      </c>
    </row>
    <row r="54" spans="1:14" s="1112" customFormat="1">
      <c r="A54" s="1108"/>
      <c r="B54" s="1109"/>
      <c r="C54" s="1110"/>
      <c r="D54" s="1111"/>
      <c r="E54" s="1261"/>
      <c r="F54" s="1110"/>
      <c r="G54" s="1110"/>
      <c r="H54" s="1110"/>
      <c r="I54" s="1111"/>
    </row>
    <row r="55" spans="1:14" s="1112" customFormat="1" ht="22.5">
      <c r="A55" s="1113"/>
      <c r="B55" s="1114" t="s">
        <v>179</v>
      </c>
      <c r="C55" s="1115"/>
      <c r="D55" s="1116"/>
      <c r="E55" s="1117">
        <f>SUM(E13:E54)</f>
        <v>0</v>
      </c>
      <c r="F55" s="1115">
        <f>SUM(F13:F54)</f>
        <v>0</v>
      </c>
      <c r="G55" s="1115">
        <f>SUM(G13:G54)</f>
        <v>0</v>
      </c>
      <c r="H55" s="1115">
        <f>SUM(H13:H54)</f>
        <v>0</v>
      </c>
      <c r="I55" s="1116"/>
    </row>
    <row r="56" spans="1:14" s="1112" customFormat="1">
      <c r="A56" s="1118"/>
      <c r="B56" s="1119" t="s">
        <v>626</v>
      </c>
      <c r="C56" s="1120"/>
      <c r="D56" s="1121"/>
      <c r="E56" s="1121"/>
      <c r="F56" s="1120" t="str">
        <f>IFERROR(F55/'OSNOVNI PODATKI'!$E$350,"")</f>
        <v/>
      </c>
      <c r="G56" s="1120" t="str">
        <f>IFERROR(G55/'OSNOVNI PODATKI'!$E$350,"")</f>
        <v/>
      </c>
      <c r="H56" s="1120" t="str">
        <f>IFERROR(H55/'OSNOVNI PODATKI'!$E$350,"")</f>
        <v/>
      </c>
      <c r="I56" s="1121"/>
    </row>
    <row r="57" spans="1:14" s="1112" customFormat="1">
      <c r="A57" s="1122"/>
      <c r="B57" s="1123"/>
      <c r="C57" s="1124"/>
      <c r="D57" s="1125"/>
      <c r="E57" s="1125"/>
      <c r="F57" s="1124"/>
      <c r="G57" s="1124"/>
      <c r="H57" s="1124"/>
      <c r="I57" s="1125"/>
    </row>
    <row r="58" spans="1:14" s="1112" customFormat="1">
      <c r="A58" s="1122"/>
      <c r="B58" s="1123"/>
      <c r="C58" s="1126"/>
      <c r="D58" s="1123"/>
      <c r="E58" s="1123"/>
      <c r="F58" s="1126"/>
      <c r="G58" s="1126"/>
      <c r="H58" s="1126"/>
      <c r="I58" s="1123"/>
    </row>
    <row r="60" spans="1:14" s="998" customFormat="1" ht="15.75">
      <c r="B60" s="999"/>
      <c r="D60" s="999"/>
      <c r="E60" s="999"/>
      <c r="I60" s="999"/>
    </row>
    <row r="61" spans="1:14">
      <c r="C61" s="1129"/>
      <c r="D61" s="1130"/>
      <c r="E61" s="1130"/>
      <c r="F61" s="1129"/>
      <c r="G61" s="1129"/>
      <c r="H61" s="1129"/>
      <c r="I61" s="1130"/>
      <c r="J61" s="1129"/>
      <c r="N61" s="1131"/>
    </row>
    <row r="62" spans="1:14">
      <c r="C62" s="1129"/>
      <c r="D62" s="1130"/>
      <c r="E62" s="1130"/>
      <c r="F62" s="1129"/>
      <c r="G62" s="1129"/>
      <c r="H62" s="1129"/>
      <c r="I62" s="1130"/>
      <c r="J62" s="1129"/>
      <c r="N62" s="1131"/>
    </row>
    <row r="63" spans="1:14">
      <c r="C63" s="1129"/>
      <c r="D63" s="1130"/>
      <c r="E63" s="1130"/>
      <c r="F63" s="1129"/>
      <c r="G63" s="1129"/>
      <c r="H63" s="1129"/>
      <c r="I63" s="1130"/>
      <c r="J63" s="1129"/>
      <c r="N63" s="1131"/>
    </row>
    <row r="64" spans="1:14">
      <c r="C64" s="1129"/>
      <c r="D64" s="1130"/>
      <c r="E64" s="1130"/>
      <c r="F64" s="1129"/>
      <c r="G64" s="1129"/>
      <c r="H64" s="1129"/>
      <c r="I64" s="1130"/>
      <c r="J64" s="1129"/>
      <c r="N64" s="1131"/>
    </row>
    <row r="65" spans="3:14">
      <c r="C65" s="1129"/>
      <c r="D65" s="1130"/>
      <c r="E65" s="1130"/>
      <c r="F65" s="1129"/>
      <c r="G65" s="1129"/>
      <c r="H65" s="1129"/>
      <c r="I65" s="1130"/>
      <c r="J65" s="1129"/>
      <c r="N65" s="1131"/>
    </row>
  </sheetData>
  <mergeCells count="1">
    <mergeCell ref="C11:D11"/>
  </mergeCells>
  <pageMargins left="0.39370078740157483" right="0.39370078740157483" top="0.98425196850393704" bottom="0.39370078740157483" header="0.31496062992125984" footer="0.31496062992125984"/>
  <pageSetup paperSize="9" fitToHeight="0" orientation="landscape" r:id="rId1"/>
  <ignoredErrors>
    <ignoredError sqref="C1:D5"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E7391-524F-4BA3-BC74-D59A432DDF1C}">
  <sheetPr codeName="Sheet8">
    <tabColor rgb="FF00B0F0"/>
    <outlinePr summaryBelow="0"/>
  </sheetPr>
  <dimension ref="A1:M100"/>
  <sheetViews>
    <sheetView workbookViewId="0"/>
    <sheetView workbookViewId="1"/>
  </sheetViews>
  <sheetFormatPr defaultColWidth="9.140625" defaultRowHeight="14.25" outlineLevelRow="2"/>
  <cols>
    <col min="1" max="1" width="10.7109375" style="1127" customWidth="1"/>
    <col min="2" max="2" width="20.7109375" style="1128" customWidth="1"/>
    <col min="3" max="3" width="4.28515625" style="1018" customWidth="1"/>
    <col min="4" max="4" width="28.7109375" style="1128" customWidth="1"/>
    <col min="5" max="5" width="9.85546875" style="1128" customWidth="1"/>
    <col min="6" max="8" width="12" style="1018" customWidth="1"/>
    <col min="9" max="9" width="30.7109375" style="1018" customWidth="1"/>
    <col min="10" max="12" width="8.7109375" style="1018" customWidth="1"/>
    <col min="13" max="14" width="12.28515625" style="1018" customWidth="1"/>
    <col min="15" max="15" width="8.7109375" style="1018" customWidth="1"/>
    <col min="16" max="16384" width="9.140625" style="1018"/>
  </cols>
  <sheetData>
    <row r="1" spans="1:9" s="988" customFormat="1" ht="18" customHeight="1">
      <c r="B1" s="1132"/>
      <c r="C1" s="990" t="str">
        <f>'OSNOVNI PODATKI'!D1</f>
        <v>NAROČNIK</v>
      </c>
      <c r="D1" s="995">
        <f>IFERROR('OSNOVNI PODATKI'!E1,"")</f>
        <v>0</v>
      </c>
      <c r="E1" s="991"/>
      <c r="F1" s="991"/>
    </row>
    <row r="2" spans="1:9" s="993" customFormat="1" ht="18" customHeight="1">
      <c r="B2" s="1132"/>
      <c r="C2" s="990"/>
      <c r="D2" s="995">
        <f>IFERROR('OSNOVNI PODATKI'!E2,"")</f>
        <v>0</v>
      </c>
      <c r="E2" s="995"/>
      <c r="F2" s="995"/>
    </row>
    <row r="3" spans="1:9" s="988" customFormat="1" ht="18.75">
      <c r="A3" s="993"/>
      <c r="B3" s="1133"/>
      <c r="C3" s="990" t="str">
        <f>'OSNOVNI PODATKI'!D3</f>
        <v>PROJEKTANT</v>
      </c>
      <c r="D3" s="995">
        <f>IFERROR('OSNOVNI PODATKI'!E3,"")</f>
        <v>0</v>
      </c>
      <c r="E3" s="991"/>
      <c r="F3" s="991"/>
      <c r="G3" s="998"/>
      <c r="H3" s="998"/>
    </row>
    <row r="4" spans="1:9" s="998" customFormat="1" ht="26.25" customHeight="1">
      <c r="B4" s="1132"/>
      <c r="C4" s="990" t="str">
        <f>'OSNOVNI PODATKI'!D4</f>
        <v>GRADNJA</v>
      </c>
      <c r="D4" s="995">
        <f>IFERROR('OSNOVNI PODATKI'!E4,"")</f>
        <v>0</v>
      </c>
      <c r="E4" s="991"/>
      <c r="F4" s="991"/>
    </row>
    <row r="5" spans="1:9" s="988" customFormat="1" ht="12.75">
      <c r="A5" s="1000"/>
      <c r="B5" s="1132"/>
      <c r="C5" s="1002" t="str">
        <f>'OSNOVNI PODATKI'!D5</f>
        <v>DATUM</v>
      </c>
      <c r="D5" s="1003">
        <f ca="1">'OSNOVNI PODATKI'!E5</f>
        <v>46278</v>
      </c>
      <c r="E5" s="1003"/>
      <c r="F5" s="1003"/>
    </row>
    <row r="6" spans="1:9" s="988" customFormat="1" ht="18.75">
      <c r="A6" s="1005"/>
      <c r="B6" s="1006"/>
      <c r="C6" s="993"/>
      <c r="D6" s="994"/>
      <c r="E6" s="994"/>
      <c r="F6" s="993"/>
      <c r="G6" s="993"/>
      <c r="H6" s="993"/>
    </row>
    <row r="7" spans="1:9" s="998" customFormat="1" ht="15.75">
      <c r="B7" s="999"/>
      <c r="D7" s="999"/>
      <c r="E7" s="999"/>
    </row>
    <row r="8" spans="1:9" s="1008" customFormat="1" ht="23.25">
      <c r="A8" s="1263" t="s">
        <v>957</v>
      </c>
      <c r="B8" s="1007"/>
      <c r="D8" s="1009"/>
      <c r="E8" s="1009"/>
    </row>
    <row r="9" spans="1:9" s="1008" customFormat="1" ht="23.25">
      <c r="A9" s="1263" t="s">
        <v>951</v>
      </c>
      <c r="B9" s="1007"/>
      <c r="D9" s="1009"/>
      <c r="E9" s="1009"/>
    </row>
    <row r="10" spans="1:9" s="998" customFormat="1" ht="15.75">
      <c r="A10" s="1010"/>
      <c r="B10" s="1011"/>
      <c r="C10" s="1012"/>
      <c r="D10" s="1013"/>
      <c r="E10" s="1013"/>
      <c r="F10" s="1012"/>
      <c r="G10" s="1012"/>
      <c r="H10" s="1012"/>
    </row>
    <row r="11" spans="1:9" ht="23.25">
      <c r="A11" s="1014"/>
      <c r="B11" s="1015"/>
      <c r="C11" s="1329" t="s">
        <v>814</v>
      </c>
      <c r="D11" s="1329"/>
      <c r="E11" s="1016" t="s">
        <v>815</v>
      </c>
      <c r="F11" s="1016" t="s">
        <v>816</v>
      </c>
      <c r="G11" s="1016" t="s">
        <v>188</v>
      </c>
      <c r="H11" s="1016" t="s">
        <v>818</v>
      </c>
      <c r="I11" s="1017" t="s">
        <v>817</v>
      </c>
    </row>
    <row r="12" spans="1:9" s="1024" customFormat="1" collapsed="1">
      <c r="A12" s="1019" t="s">
        <v>26</v>
      </c>
      <c r="B12" s="1020" t="s">
        <v>27</v>
      </c>
      <c r="C12" s="1021"/>
      <c r="D12" s="1022"/>
      <c r="E12" s="1022"/>
      <c r="F12" s="1023"/>
      <c r="G12" s="1023"/>
      <c r="H12" s="1023"/>
      <c r="I12" s="1022"/>
    </row>
    <row r="13" spans="1:9" s="1031" customFormat="1" ht="12.75" hidden="1" outlineLevel="1">
      <c r="A13" s="1025" t="s">
        <v>28</v>
      </c>
      <c r="B13" s="1026" t="s">
        <v>62</v>
      </c>
      <c r="C13" s="1134"/>
      <c r="D13" s="1082"/>
      <c r="E13" s="1135"/>
      <c r="F13" s="1088"/>
      <c r="G13" s="1088"/>
      <c r="H13" s="1088"/>
      <c r="I13" s="1082"/>
    </row>
    <row r="14" spans="1:9" s="1024" customFormat="1" ht="67.5" hidden="1" outlineLevel="1">
      <c r="A14" s="1136"/>
      <c r="B14" s="1052"/>
      <c r="C14" s="1137" t="s">
        <v>819</v>
      </c>
      <c r="D14" s="1138" t="s">
        <v>829</v>
      </c>
      <c r="E14" s="1248" t="str">
        <f>IFERROR(+F14/('OSNOVNE STORITVE'!$F$55+$F$91),"%")</f>
        <v>%</v>
      </c>
      <c r="F14" s="1139">
        <v>0</v>
      </c>
      <c r="G14" s="1139">
        <f>+F14*0.22</f>
        <v>0</v>
      </c>
      <c r="H14" s="1139">
        <f>+F14+G14</f>
        <v>0</v>
      </c>
      <c r="I14" s="1030" t="s">
        <v>878</v>
      </c>
    </row>
    <row r="15" spans="1:9" s="1024" customFormat="1" hidden="1" outlineLevel="1">
      <c r="A15" s="1136"/>
      <c r="B15" s="1140"/>
      <c r="C15" s="1141" t="s">
        <v>819</v>
      </c>
      <c r="D15" s="1142" t="s">
        <v>829</v>
      </c>
      <c r="E15" s="1248" t="str">
        <f>IFERROR(+F15/('OSNOVNE STORITVE'!$F$55+$F$91),"%")</f>
        <v>%</v>
      </c>
      <c r="F15" s="1143">
        <v>0</v>
      </c>
      <c r="G15" s="1143">
        <f>+F15*0.22</f>
        <v>0</v>
      </c>
      <c r="H15" s="1143">
        <f>+F15+G15</f>
        <v>0</v>
      </c>
      <c r="I15" s="1030"/>
    </row>
    <row r="16" spans="1:9" s="1031" customFormat="1" ht="22.5" hidden="1" outlineLevel="1">
      <c r="A16" s="1025" t="s">
        <v>29</v>
      </c>
      <c r="B16" s="1026" t="s">
        <v>63</v>
      </c>
      <c r="C16" s="1144"/>
      <c r="D16" s="1082"/>
      <c r="E16" s="1135"/>
      <c r="F16" s="1088"/>
      <c r="G16" s="1088"/>
      <c r="H16" s="1088"/>
      <c r="I16" s="1082"/>
    </row>
    <row r="17" spans="1:9" s="1024" customFormat="1" hidden="1" outlineLevel="1">
      <c r="A17" s="1136"/>
      <c r="B17" s="1052"/>
      <c r="C17" s="1137" t="s">
        <v>819</v>
      </c>
      <c r="D17" s="1138" t="s">
        <v>829</v>
      </c>
      <c r="E17" s="1248" t="str">
        <f>IFERROR(+F17/('OSNOVNE STORITVE'!$F$55+$F$91),"%")</f>
        <v>%</v>
      </c>
      <c r="F17" s="1139">
        <v>0</v>
      </c>
      <c r="G17" s="1139">
        <f>+F17*0.22</f>
        <v>0</v>
      </c>
      <c r="H17" s="1139">
        <f>+F17+G17</f>
        <v>0</v>
      </c>
      <c r="I17" s="1030"/>
    </row>
    <row r="18" spans="1:9" s="1024" customFormat="1" hidden="1" outlineLevel="1">
      <c r="A18" s="1136"/>
      <c r="B18" s="1140"/>
      <c r="C18" s="1141" t="s">
        <v>819</v>
      </c>
      <c r="D18" s="1142" t="s">
        <v>829</v>
      </c>
      <c r="E18" s="1248" t="str">
        <f>IFERROR(+F18/('OSNOVNE STORITVE'!$F$55+$F$91),"%")</f>
        <v>%</v>
      </c>
      <c r="F18" s="1143">
        <v>0</v>
      </c>
      <c r="G18" s="1143">
        <f>+F18*0.22</f>
        <v>0</v>
      </c>
      <c r="H18" s="1143">
        <f>+F18+G18</f>
        <v>0</v>
      </c>
      <c r="I18" s="1030"/>
    </row>
    <row r="19" spans="1:9" s="1037" customFormat="1" collapsed="1">
      <c r="A19" s="1145" t="s">
        <v>30</v>
      </c>
      <c r="B19" s="1146" t="s">
        <v>31</v>
      </c>
      <c r="C19" s="1021"/>
      <c r="D19" s="1022"/>
      <c r="E19" s="1249"/>
      <c r="F19" s="1023"/>
      <c r="G19" s="1023"/>
      <c r="H19" s="1023"/>
      <c r="I19" s="1022"/>
    </row>
    <row r="20" spans="1:9" s="1040" customFormat="1" ht="12.75" hidden="1" outlineLevel="2">
      <c r="A20" s="1038" t="s">
        <v>32</v>
      </c>
      <c r="B20" s="1039" t="s">
        <v>64</v>
      </c>
      <c r="C20" s="1134"/>
      <c r="D20" s="1082"/>
      <c r="E20" s="1135"/>
      <c r="F20" s="1088"/>
      <c r="G20" s="1088"/>
      <c r="H20" s="1088"/>
      <c r="I20" s="1082"/>
    </row>
    <row r="21" spans="1:9" s="1024" customFormat="1" hidden="1" outlineLevel="1">
      <c r="A21" s="1136"/>
      <c r="B21" s="1052"/>
      <c r="C21" s="1137" t="s">
        <v>819</v>
      </c>
      <c r="D21" s="1138" t="s">
        <v>829</v>
      </c>
      <c r="E21" s="1248" t="str">
        <f>IFERROR(+F21/('OSNOVNE STORITVE'!$F$55+$F$91),"%")</f>
        <v>%</v>
      </c>
      <c r="F21" s="1139">
        <v>0</v>
      </c>
      <c r="G21" s="1139">
        <f>+F21*0.22</f>
        <v>0</v>
      </c>
      <c r="H21" s="1139">
        <f>+F21+G21</f>
        <v>0</v>
      </c>
      <c r="I21" s="1030"/>
    </row>
    <row r="22" spans="1:9" s="1024" customFormat="1" hidden="1" outlineLevel="1">
      <c r="A22" s="1136"/>
      <c r="B22" s="1140"/>
      <c r="C22" s="1141" t="s">
        <v>819</v>
      </c>
      <c r="D22" s="1142" t="s">
        <v>829</v>
      </c>
      <c r="E22" s="1248" t="str">
        <f>IFERROR(+F22/('OSNOVNE STORITVE'!$F$55+$F$91),"%")</f>
        <v>%</v>
      </c>
      <c r="F22" s="1143">
        <v>0</v>
      </c>
      <c r="G22" s="1143">
        <f>+F22*0.22</f>
        <v>0</v>
      </c>
      <c r="H22" s="1143">
        <f>+F22+G22</f>
        <v>0</v>
      </c>
      <c r="I22" s="1030"/>
    </row>
    <row r="23" spans="1:9" s="1040" customFormat="1" ht="12.75" hidden="1" outlineLevel="2">
      <c r="A23" s="1038" t="s">
        <v>33</v>
      </c>
      <c r="B23" s="1039" t="s">
        <v>65</v>
      </c>
      <c r="C23" s="1144"/>
      <c r="D23" s="1082"/>
      <c r="E23" s="1135"/>
      <c r="F23" s="1088"/>
      <c r="G23" s="1088"/>
      <c r="H23" s="1088"/>
      <c r="I23" s="1082"/>
    </row>
    <row r="24" spans="1:9" s="1024" customFormat="1" hidden="1" outlineLevel="1">
      <c r="A24" s="1136"/>
      <c r="B24" s="1052"/>
      <c r="C24" s="1137" t="s">
        <v>819</v>
      </c>
      <c r="D24" s="1138" t="s">
        <v>829</v>
      </c>
      <c r="E24" s="1248" t="str">
        <f>IFERROR(+F24/('OSNOVNE STORITVE'!$F$55+$F$91),"%")</f>
        <v>%</v>
      </c>
      <c r="F24" s="1139">
        <v>0</v>
      </c>
      <c r="G24" s="1139">
        <f>+F24*0.22</f>
        <v>0</v>
      </c>
      <c r="H24" s="1139">
        <f>+F24+G24</f>
        <v>0</v>
      </c>
      <c r="I24" s="1030"/>
    </row>
    <row r="25" spans="1:9" s="1024" customFormat="1" hidden="1" outlineLevel="1">
      <c r="A25" s="1136"/>
      <c r="B25" s="1140"/>
      <c r="C25" s="1141" t="s">
        <v>819</v>
      </c>
      <c r="D25" s="1142" t="s">
        <v>829</v>
      </c>
      <c r="E25" s="1248" t="str">
        <f>IFERROR(+F25/('OSNOVNE STORITVE'!$F$55+$F$91),"%")</f>
        <v>%</v>
      </c>
      <c r="F25" s="1143">
        <v>0</v>
      </c>
      <c r="G25" s="1143">
        <f>+F25*0.22</f>
        <v>0</v>
      </c>
      <c r="H25" s="1143">
        <f>+F25+G25</f>
        <v>0</v>
      </c>
      <c r="I25" s="1030"/>
    </row>
    <row r="26" spans="1:9" s="1040" customFormat="1" ht="12.75" hidden="1" outlineLevel="2">
      <c r="A26" s="1038" t="s">
        <v>34</v>
      </c>
      <c r="B26" s="1039" t="s">
        <v>695</v>
      </c>
      <c r="C26" s="1144"/>
      <c r="D26" s="1082"/>
      <c r="E26" s="1248"/>
      <c r="F26" s="1088"/>
      <c r="G26" s="1088"/>
      <c r="H26" s="1088"/>
      <c r="I26" s="1082"/>
    </row>
    <row r="27" spans="1:9" s="1024" customFormat="1" hidden="1" outlineLevel="1">
      <c r="A27" s="1136"/>
      <c r="B27" s="1052"/>
      <c r="C27" s="1137" t="s">
        <v>819</v>
      </c>
      <c r="D27" s="1138" t="s">
        <v>829</v>
      </c>
      <c r="E27" s="1248" t="str">
        <f>IFERROR(+F27/('OSNOVNE STORITVE'!$F$55+$F$91),"%")</f>
        <v>%</v>
      </c>
      <c r="F27" s="1139">
        <v>0</v>
      </c>
      <c r="G27" s="1139">
        <f>+F27*0.22</f>
        <v>0</v>
      </c>
      <c r="H27" s="1139">
        <f>+F27+G27</f>
        <v>0</v>
      </c>
      <c r="I27" s="1030"/>
    </row>
    <row r="28" spans="1:9" s="1024" customFormat="1" hidden="1" outlineLevel="1">
      <c r="A28" s="1136"/>
      <c r="B28" s="1140"/>
      <c r="C28" s="1141" t="s">
        <v>819</v>
      </c>
      <c r="D28" s="1142" t="s">
        <v>829</v>
      </c>
      <c r="E28" s="1248" t="str">
        <f>IFERROR(+F28/('OSNOVNE STORITVE'!$F$55+$F$91),"%")</f>
        <v>%</v>
      </c>
      <c r="F28" s="1143">
        <v>0</v>
      </c>
      <c r="G28" s="1143">
        <f>+F28*0.22</f>
        <v>0</v>
      </c>
      <c r="H28" s="1143">
        <f>+F28+G28</f>
        <v>0</v>
      </c>
      <c r="I28" s="1030"/>
    </row>
    <row r="29" spans="1:9" s="1037" customFormat="1">
      <c r="A29" s="1147">
        <v>2</v>
      </c>
      <c r="B29" s="1146" t="s">
        <v>35</v>
      </c>
      <c r="C29" s="1023"/>
      <c r="D29" s="1148"/>
      <c r="E29" s="1250"/>
      <c r="F29" s="1149"/>
      <c r="G29" s="1149"/>
      <c r="H29" s="1149"/>
      <c r="I29" s="1150"/>
    </row>
    <row r="30" spans="1:9" s="1037" customFormat="1" outlineLevel="1">
      <c r="A30" s="1038" t="s">
        <v>48</v>
      </c>
      <c r="B30" s="1039" t="s">
        <v>78</v>
      </c>
      <c r="C30" s="1144"/>
      <c r="D30" s="1082"/>
      <c r="E30" s="1135"/>
      <c r="F30" s="1088"/>
      <c r="G30" s="1088"/>
      <c r="H30" s="1088"/>
      <c r="I30" s="1082"/>
    </row>
    <row r="31" spans="1:9" s="1024" customFormat="1">
      <c r="A31" s="1136"/>
      <c r="B31" s="1052"/>
      <c r="C31" s="1137" t="s">
        <v>819</v>
      </c>
      <c r="D31" s="1138" t="s">
        <v>829</v>
      </c>
      <c r="E31" s="1248" t="str">
        <f>IFERROR(+F31/('OSNOVNE STORITVE'!$F$55+$F$91),"%")</f>
        <v>%</v>
      </c>
      <c r="F31" s="1139">
        <v>0</v>
      </c>
      <c r="G31" s="1139">
        <f>+F31*0.22</f>
        <v>0</v>
      </c>
      <c r="H31" s="1139">
        <f>+F31+G31</f>
        <v>0</v>
      </c>
      <c r="I31" s="1030"/>
    </row>
    <row r="32" spans="1:9" s="1024" customFormat="1">
      <c r="A32" s="1136"/>
      <c r="B32" s="1140"/>
      <c r="C32" s="1141" t="s">
        <v>819</v>
      </c>
      <c r="D32" s="1142" t="s">
        <v>829</v>
      </c>
      <c r="E32" s="1248" t="str">
        <f>IFERROR(+F32/('OSNOVNE STORITVE'!$F$55+$F$91),"%")</f>
        <v>%</v>
      </c>
      <c r="F32" s="1143">
        <v>0</v>
      </c>
      <c r="G32" s="1143">
        <f>+F32*0.22</f>
        <v>0</v>
      </c>
      <c r="H32" s="1143">
        <f>+F32+G32</f>
        <v>0</v>
      </c>
      <c r="I32" s="1030"/>
    </row>
    <row r="33" spans="1:9" s="1037" customFormat="1" outlineLevel="1">
      <c r="A33" s="1054" t="s">
        <v>49</v>
      </c>
      <c r="B33" s="1151" t="s">
        <v>624</v>
      </c>
      <c r="C33" s="1144"/>
      <c r="D33" s="1082"/>
      <c r="E33" s="1135"/>
      <c r="F33" s="1088"/>
      <c r="G33" s="1088"/>
      <c r="H33" s="1088"/>
      <c r="I33" s="1082"/>
    </row>
    <row r="34" spans="1:9" s="1024" customFormat="1">
      <c r="A34" s="1136"/>
      <c r="B34" s="1052"/>
      <c r="C34" s="1137" t="s">
        <v>819</v>
      </c>
      <c r="D34" s="1138" t="s">
        <v>829</v>
      </c>
      <c r="E34" s="1248" t="str">
        <f>IFERROR(+F34/('OSNOVNE STORITVE'!$F$55+$F$91),"%")</f>
        <v>%</v>
      </c>
      <c r="F34" s="1139">
        <v>0</v>
      </c>
      <c r="G34" s="1139">
        <f>+F34*0.22</f>
        <v>0</v>
      </c>
      <c r="H34" s="1139">
        <f>+F34+G34</f>
        <v>0</v>
      </c>
      <c r="I34" s="1030"/>
    </row>
    <row r="35" spans="1:9" s="1024" customFormat="1">
      <c r="A35" s="1136"/>
      <c r="B35" s="1140"/>
      <c r="C35" s="1141" t="s">
        <v>819</v>
      </c>
      <c r="D35" s="1142" t="s">
        <v>829</v>
      </c>
      <c r="E35" s="1248" t="str">
        <f>IFERROR(+F35/('OSNOVNE STORITVE'!$F$55+$F$91),"%")</f>
        <v>%</v>
      </c>
      <c r="F35" s="1143">
        <v>0</v>
      </c>
      <c r="G35" s="1143">
        <f>+F35*0.22</f>
        <v>0</v>
      </c>
      <c r="H35" s="1143">
        <f>+F35+G35</f>
        <v>0</v>
      </c>
      <c r="I35" s="1030"/>
    </row>
    <row r="36" spans="1:9" s="1037" customFormat="1" outlineLevel="1">
      <c r="A36" s="1054" t="s">
        <v>50</v>
      </c>
      <c r="B36" s="1055" t="s">
        <v>824</v>
      </c>
      <c r="C36" s="1144"/>
      <c r="D36" s="1082"/>
      <c r="E36" s="1135"/>
      <c r="F36" s="1088"/>
      <c r="G36" s="1088"/>
      <c r="H36" s="1088"/>
      <c r="I36" s="1082"/>
    </row>
    <row r="37" spans="1:9" s="1053" customFormat="1" ht="56.25" outlineLevel="2">
      <c r="A37" s="1152"/>
      <c r="B37" s="1153" t="s">
        <v>945</v>
      </c>
      <c r="C37" s="1154" t="s">
        <v>819</v>
      </c>
      <c r="D37" s="1155" t="s">
        <v>825</v>
      </c>
      <c r="E37" s="1248" t="str">
        <f>IFERROR(+F37/('OSNOVNE STORITVE'!$F$55+$F$91),"%")</f>
        <v>%</v>
      </c>
      <c r="F37" s="1156">
        <v>0</v>
      </c>
      <c r="G37" s="1156">
        <f>+F37*0.22</f>
        <v>0</v>
      </c>
      <c r="H37" s="1156">
        <f>+F37+G37</f>
        <v>0</v>
      </c>
      <c r="I37" s="1157" t="s">
        <v>867</v>
      </c>
    </row>
    <row r="38" spans="1:9" s="1024" customFormat="1" ht="45">
      <c r="A38" s="1136"/>
      <c r="B38" s="1140" t="s">
        <v>946</v>
      </c>
      <c r="C38" s="1141" t="s">
        <v>819</v>
      </c>
      <c r="D38" s="1142" t="s">
        <v>827</v>
      </c>
      <c r="E38" s="1248" t="str">
        <f>IFERROR(+F38/('OSNOVNE STORITVE'!$F$55+$F$91),"%")</f>
        <v>%</v>
      </c>
      <c r="F38" s="1143">
        <v>0</v>
      </c>
      <c r="G38" s="1143">
        <f>+F38*0.22</f>
        <v>0</v>
      </c>
      <c r="H38" s="1143">
        <f>+F38+G38</f>
        <v>0</v>
      </c>
      <c r="I38" s="1155" t="s">
        <v>948</v>
      </c>
    </row>
    <row r="39" spans="1:9" s="1024" customFormat="1" ht="67.5">
      <c r="A39" s="1136"/>
      <c r="B39" s="1140" t="s">
        <v>947</v>
      </c>
      <c r="C39" s="1141" t="s">
        <v>819</v>
      </c>
      <c r="D39" s="1142" t="s">
        <v>827</v>
      </c>
      <c r="E39" s="1248" t="str">
        <f>IFERROR(+F39/('OSNOVNE STORITVE'!$F$55+$F$91),"%")</f>
        <v>%</v>
      </c>
      <c r="F39" s="1143">
        <v>0</v>
      </c>
      <c r="G39" s="1143">
        <f>+F39*0.22</f>
        <v>0</v>
      </c>
      <c r="H39" s="1143">
        <f>+F39+G39</f>
        <v>0</v>
      </c>
      <c r="I39" s="1155" t="s">
        <v>949</v>
      </c>
    </row>
    <row r="40" spans="1:9" s="1037" customFormat="1" ht="22.5" outlineLevel="1">
      <c r="A40" s="1054" t="s">
        <v>79</v>
      </c>
      <c r="B40" s="1151" t="s">
        <v>625</v>
      </c>
      <c r="C40" s="1144"/>
      <c r="D40" s="1082"/>
      <c r="E40" s="1135"/>
      <c r="F40" s="1088"/>
      <c r="G40" s="1088"/>
      <c r="H40" s="1088"/>
      <c r="I40" s="1082"/>
    </row>
    <row r="41" spans="1:9" s="1024" customFormat="1">
      <c r="A41" s="1136"/>
      <c r="B41" s="1052"/>
      <c r="C41" s="1137" t="s">
        <v>819</v>
      </c>
      <c r="D41" s="1138" t="s">
        <v>829</v>
      </c>
      <c r="E41" s="1248" t="str">
        <f>IFERROR(+F41/('OSNOVNE STORITVE'!$F$55+$F$91),"%")</f>
        <v>%</v>
      </c>
      <c r="F41" s="1139">
        <v>0</v>
      </c>
      <c r="G41" s="1139">
        <f>+F41*0.22</f>
        <v>0</v>
      </c>
      <c r="H41" s="1139">
        <f t="shared" ref="H41:H42" si="0">+F41+G41</f>
        <v>0</v>
      </c>
      <c r="I41" s="1030"/>
    </row>
    <row r="42" spans="1:9" s="1024" customFormat="1">
      <c r="A42" s="1136"/>
      <c r="B42" s="1140"/>
      <c r="C42" s="1141" t="s">
        <v>819</v>
      </c>
      <c r="D42" s="1142" t="s">
        <v>829</v>
      </c>
      <c r="E42" s="1248" t="str">
        <f>IFERROR(+F42/('OSNOVNE STORITVE'!$F$55+$F$91),"%")</f>
        <v>%</v>
      </c>
      <c r="F42" s="1143">
        <v>0</v>
      </c>
      <c r="G42" s="1143">
        <f>+F42*0.22</f>
        <v>0</v>
      </c>
      <c r="H42" s="1143">
        <f t="shared" si="0"/>
        <v>0</v>
      </c>
      <c r="I42" s="1030"/>
    </row>
    <row r="43" spans="1:9" s="1037" customFormat="1" outlineLevel="1">
      <c r="A43" s="1054" t="s">
        <v>80</v>
      </c>
      <c r="B43" s="1055" t="s">
        <v>696</v>
      </c>
      <c r="C43" s="1144"/>
      <c r="D43" s="1082"/>
      <c r="E43" s="1135"/>
      <c r="F43" s="1088"/>
      <c r="G43" s="1088"/>
      <c r="H43" s="1088"/>
      <c r="I43" s="1082"/>
    </row>
    <row r="44" spans="1:9" s="1024" customFormat="1" ht="22.5">
      <c r="A44" s="1136"/>
      <c r="B44" s="1052" t="s">
        <v>797</v>
      </c>
      <c r="C44" s="1137" t="s">
        <v>819</v>
      </c>
      <c r="D44" s="1138" t="s">
        <v>829</v>
      </c>
      <c r="E44" s="1248" t="str">
        <f>IFERROR(+F44/('OSNOVNE STORITVE'!$F$55+$F$91),"%")</f>
        <v>%</v>
      </c>
      <c r="F44" s="1139">
        <v>0</v>
      </c>
      <c r="G44" s="1139">
        <f>+F44*0.22</f>
        <v>0</v>
      </c>
      <c r="H44" s="1139">
        <f>+F44+G44</f>
        <v>0</v>
      </c>
      <c r="I44" s="1030"/>
    </row>
    <row r="45" spans="1:9" s="1024" customFormat="1" ht="22.5">
      <c r="A45" s="1136"/>
      <c r="B45" s="1140" t="s">
        <v>868</v>
      </c>
      <c r="C45" s="1141" t="s">
        <v>819</v>
      </c>
      <c r="D45" s="1142" t="s">
        <v>829</v>
      </c>
      <c r="E45" s="1248" t="str">
        <f>IFERROR(+F45/('OSNOVNE STORITVE'!$F$55+$F$91),"%")</f>
        <v>%</v>
      </c>
      <c r="F45" s="1143">
        <v>0</v>
      </c>
      <c r="G45" s="1143">
        <f>+F45*0.22</f>
        <v>0</v>
      </c>
      <c r="H45" s="1143">
        <f>+F45+G45</f>
        <v>0</v>
      </c>
      <c r="I45" s="1030"/>
    </row>
    <row r="46" spans="1:9" s="1024" customFormat="1">
      <c r="A46" s="1136"/>
      <c r="B46" s="1140"/>
      <c r="C46" s="1141" t="s">
        <v>819</v>
      </c>
      <c r="D46" s="1142" t="s">
        <v>829</v>
      </c>
      <c r="E46" s="1248" t="str">
        <f>IFERROR(+F46/('OSNOVNE STORITVE'!$F$55+$F$91),"%")</f>
        <v>%</v>
      </c>
      <c r="F46" s="1143">
        <v>0</v>
      </c>
      <c r="G46" s="1143">
        <f t="shared" ref="G46" si="1">+F46*0.22</f>
        <v>0</v>
      </c>
      <c r="H46" s="1143">
        <f t="shared" ref="H46" si="2">+F46+G46</f>
        <v>0</v>
      </c>
      <c r="I46" s="1030"/>
    </row>
    <row r="47" spans="1:9" s="1037" customFormat="1">
      <c r="A47" s="1158" t="s">
        <v>36</v>
      </c>
      <c r="B47" s="1146" t="s">
        <v>836</v>
      </c>
      <c r="C47" s="1023"/>
      <c r="D47" s="1022"/>
      <c r="E47" s="1249"/>
      <c r="F47" s="1023"/>
      <c r="G47" s="1023"/>
      <c r="H47" s="1023"/>
      <c r="I47" s="1150"/>
    </row>
    <row r="48" spans="1:9" s="1031" customFormat="1" ht="12.75" outlineLevel="1">
      <c r="A48" s="1054" t="s">
        <v>37</v>
      </c>
      <c r="B48" s="1088" t="s">
        <v>697</v>
      </c>
      <c r="C48" s="1144"/>
      <c r="D48" s="1082"/>
      <c r="E48" s="1135"/>
      <c r="F48" s="1088"/>
      <c r="G48" s="1088"/>
      <c r="H48" s="1088"/>
      <c r="I48" s="1082"/>
    </row>
    <row r="49" spans="1:9" s="1024" customFormat="1">
      <c r="A49" s="1136"/>
      <c r="B49" s="1052" t="s">
        <v>869</v>
      </c>
      <c r="C49" s="1137" t="s">
        <v>819</v>
      </c>
      <c r="D49" s="1138" t="s">
        <v>829</v>
      </c>
      <c r="E49" s="1248" t="str">
        <f>IFERROR(+F49/('OSNOVNE STORITVE'!$F$55+$F$91),"%")</f>
        <v>%</v>
      </c>
      <c r="F49" s="1139">
        <v>0</v>
      </c>
      <c r="G49" s="1139">
        <f>+F49*0.22</f>
        <v>0</v>
      </c>
      <c r="H49" s="1139">
        <f t="shared" ref="H49:H50" si="3">+F49+G49</f>
        <v>0</v>
      </c>
      <c r="I49" s="1030"/>
    </row>
    <row r="50" spans="1:9" s="1024" customFormat="1">
      <c r="A50" s="1136"/>
      <c r="B50" s="1140"/>
      <c r="C50" s="1141" t="s">
        <v>819</v>
      </c>
      <c r="D50" s="1142" t="s">
        <v>829</v>
      </c>
      <c r="E50" s="1248" t="str">
        <f>IFERROR(+F50/('OSNOVNE STORITVE'!$F$55+$F$91),"%")</f>
        <v>%</v>
      </c>
      <c r="F50" s="1143">
        <v>0</v>
      </c>
      <c r="G50" s="1143">
        <f>+F50*0.22</f>
        <v>0</v>
      </c>
      <c r="H50" s="1143">
        <f t="shared" si="3"/>
        <v>0</v>
      </c>
      <c r="I50" s="1030"/>
    </row>
    <row r="51" spans="1:9" s="1031" customFormat="1" ht="12.75" outlineLevel="1">
      <c r="A51" s="1054" t="s">
        <v>38</v>
      </c>
      <c r="B51" s="1082" t="s">
        <v>180</v>
      </c>
      <c r="C51" s="1144"/>
      <c r="D51" s="1082"/>
      <c r="E51" s="1135"/>
      <c r="F51" s="1088"/>
      <c r="G51" s="1088"/>
      <c r="H51" s="1088"/>
      <c r="I51" s="1082"/>
    </row>
    <row r="52" spans="1:9" s="1024" customFormat="1">
      <c r="A52" s="1136"/>
      <c r="B52" s="1052" t="s">
        <v>869</v>
      </c>
      <c r="C52" s="1137" t="s">
        <v>819</v>
      </c>
      <c r="D52" s="1138" t="s">
        <v>829</v>
      </c>
      <c r="E52" s="1248" t="str">
        <f>IFERROR(+F52/('OSNOVNE STORITVE'!$F$55+$F$91),"%")</f>
        <v>%</v>
      </c>
      <c r="F52" s="1139">
        <v>0</v>
      </c>
      <c r="G52" s="1139">
        <f>+F52*0.22</f>
        <v>0</v>
      </c>
      <c r="H52" s="1139">
        <f>+F52+G52</f>
        <v>0</v>
      </c>
      <c r="I52" s="1030"/>
    </row>
    <row r="53" spans="1:9" s="1024" customFormat="1">
      <c r="A53" s="1136"/>
      <c r="B53" s="1140"/>
      <c r="C53" s="1141" t="s">
        <v>819</v>
      </c>
      <c r="D53" s="1142" t="s">
        <v>829</v>
      </c>
      <c r="E53" s="1248" t="str">
        <f>IFERROR(+F53/('OSNOVNE STORITVE'!$F$55+$F$91),"%")</f>
        <v>%</v>
      </c>
      <c r="F53" s="1143">
        <v>0</v>
      </c>
      <c r="G53" s="1143">
        <f>+F53*0.22</f>
        <v>0</v>
      </c>
      <c r="H53" s="1143">
        <f>+F53+G53</f>
        <v>0</v>
      </c>
      <c r="I53" s="1030"/>
    </row>
    <row r="54" spans="1:9" s="1037" customFormat="1">
      <c r="A54" s="1159">
        <v>4</v>
      </c>
      <c r="B54" s="1146" t="s">
        <v>57</v>
      </c>
      <c r="C54" s="1023"/>
      <c r="D54" s="1022"/>
      <c r="E54" s="1249"/>
      <c r="F54" s="1023"/>
      <c r="G54" s="1023"/>
      <c r="H54" s="1023"/>
      <c r="I54" s="1150"/>
    </row>
    <row r="55" spans="1:9" s="1031" customFormat="1" ht="12.75" outlineLevel="1">
      <c r="A55" s="1054" t="s">
        <v>39</v>
      </c>
      <c r="B55" s="1082" t="s">
        <v>181</v>
      </c>
      <c r="C55" s="1144"/>
      <c r="D55" s="1082"/>
      <c r="E55" s="1135"/>
      <c r="F55" s="1088"/>
      <c r="G55" s="1088"/>
      <c r="H55" s="1088"/>
      <c r="I55" s="1082"/>
    </row>
    <row r="56" spans="1:9" s="1053" customFormat="1" ht="90" outlineLevel="2">
      <c r="A56" s="1152"/>
      <c r="B56" s="1052" t="s">
        <v>871</v>
      </c>
      <c r="C56" s="1160" t="s">
        <v>819</v>
      </c>
      <c r="D56" s="1157" t="s">
        <v>838</v>
      </c>
      <c r="E56" s="1248" t="str">
        <f>IFERROR(+F56/('OSNOVNE STORITVE'!$F$55+$F$91),"%")</f>
        <v>%</v>
      </c>
      <c r="F56" s="1161">
        <v>0</v>
      </c>
      <c r="G56" s="1161">
        <f>+F56*0.22</f>
        <v>0</v>
      </c>
      <c r="H56" s="1161">
        <f>+F56+G56</f>
        <v>0</v>
      </c>
      <c r="I56" s="1157" t="s">
        <v>870</v>
      </c>
    </row>
    <row r="57" spans="1:9" s="1024" customFormat="1">
      <c r="A57" s="1136"/>
      <c r="B57" s="1052"/>
      <c r="C57" s="1137" t="s">
        <v>819</v>
      </c>
      <c r="D57" s="1138" t="s">
        <v>829</v>
      </c>
      <c r="E57" s="1248" t="str">
        <f>IFERROR(+F57/('OSNOVNE STORITVE'!$F$55+$F$91),"%")</f>
        <v>%</v>
      </c>
      <c r="F57" s="1139">
        <v>0</v>
      </c>
      <c r="G57" s="1139">
        <f>+F57*0.22</f>
        <v>0</v>
      </c>
      <c r="H57" s="1139">
        <f t="shared" ref="H57:H58" si="4">+F57+G57</f>
        <v>0</v>
      </c>
      <c r="I57" s="1162"/>
    </row>
    <row r="58" spans="1:9" s="1024" customFormat="1">
      <c r="A58" s="1136"/>
      <c r="B58" s="1140"/>
      <c r="C58" s="1141" t="s">
        <v>819</v>
      </c>
      <c r="D58" s="1142" t="s">
        <v>829</v>
      </c>
      <c r="E58" s="1248" t="str">
        <f>IFERROR(+F58/('OSNOVNE STORITVE'!$F$55+$F$91),"%")</f>
        <v>%</v>
      </c>
      <c r="F58" s="1143">
        <v>0</v>
      </c>
      <c r="G58" s="1143">
        <f>+F58*0.22</f>
        <v>0</v>
      </c>
      <c r="H58" s="1143">
        <f t="shared" si="4"/>
        <v>0</v>
      </c>
      <c r="I58" s="1066"/>
    </row>
    <row r="59" spans="1:9" s="1031" customFormat="1" ht="12.75" outlineLevel="1">
      <c r="A59" s="1054" t="s">
        <v>40</v>
      </c>
      <c r="B59" s="1082" t="s">
        <v>712</v>
      </c>
      <c r="C59" s="1144"/>
      <c r="D59" s="1082"/>
      <c r="E59" s="1135"/>
      <c r="F59" s="1088"/>
      <c r="G59" s="1088"/>
      <c r="H59" s="1088"/>
      <c r="I59" s="1082"/>
    </row>
    <row r="60" spans="1:9" s="1024" customFormat="1" ht="112.5">
      <c r="A60" s="1136"/>
      <c r="B60" s="1052" t="s">
        <v>400</v>
      </c>
      <c r="C60" s="1137"/>
      <c r="D60" s="1157" t="s">
        <v>914</v>
      </c>
      <c r="E60" s="1248" t="str">
        <f>IFERROR(+F60/('OSNOVNE STORITVE'!$F$55+$F$91),"%")</f>
        <v>%</v>
      </c>
      <c r="F60" s="1139">
        <v>0</v>
      </c>
      <c r="G60" s="1139">
        <f>+F60*0.22</f>
        <v>0</v>
      </c>
      <c r="H60" s="1139">
        <f>+F60+G60</f>
        <v>0</v>
      </c>
      <c r="I60" s="1060" t="s">
        <v>864</v>
      </c>
    </row>
    <row r="61" spans="1:9" s="1024" customFormat="1">
      <c r="A61" s="1136"/>
      <c r="B61" s="1140"/>
      <c r="C61" s="1141" t="s">
        <v>819</v>
      </c>
      <c r="D61" s="1155" t="s">
        <v>829</v>
      </c>
      <c r="E61" s="1248" t="str">
        <f>IFERROR(+F61/('OSNOVNE STORITVE'!$F$55+$F$91),"%")</f>
        <v>%</v>
      </c>
      <c r="F61" s="1143">
        <v>0</v>
      </c>
      <c r="G61" s="1143">
        <f>+F61*0.22</f>
        <v>0</v>
      </c>
      <c r="H61" s="1143">
        <f>+F61+G61</f>
        <v>0</v>
      </c>
      <c r="I61" s="1155"/>
    </row>
    <row r="62" spans="1:9" s="1031" customFormat="1" ht="12.75" outlineLevel="1">
      <c r="A62" s="1054" t="s">
        <v>41</v>
      </c>
      <c r="B62" s="1088" t="s">
        <v>796</v>
      </c>
      <c r="C62" s="1144"/>
      <c r="D62" s="1082"/>
      <c r="E62" s="1135"/>
      <c r="F62" s="1088"/>
      <c r="G62" s="1088"/>
      <c r="H62" s="1088"/>
      <c r="I62" s="1082"/>
    </row>
    <row r="63" spans="1:9" s="1024" customFormat="1" ht="101.25">
      <c r="A63" s="1136"/>
      <c r="B63" s="1052" t="s">
        <v>400</v>
      </c>
      <c r="C63" s="1137"/>
      <c r="D63" s="1068" t="s">
        <v>915</v>
      </c>
      <c r="E63" s="1251" t="str">
        <f>IFERROR(+F63/('OSNOVNE STORITVE'!$F$55+$F$91),"%")</f>
        <v>%</v>
      </c>
      <c r="F63" s="1161">
        <v>0</v>
      </c>
      <c r="G63" s="1161">
        <f>+F63*0.22</f>
        <v>0</v>
      </c>
      <c r="H63" s="1161">
        <f t="shared" ref="H63:H64" si="5">+F63+G63</f>
        <v>0</v>
      </c>
      <c r="I63" s="1060" t="s">
        <v>864</v>
      </c>
    </row>
    <row r="64" spans="1:9" s="1024" customFormat="1">
      <c r="A64" s="1136"/>
      <c r="B64" s="1140"/>
      <c r="C64" s="1141" t="s">
        <v>819</v>
      </c>
      <c r="D64" s="1155" t="s">
        <v>829</v>
      </c>
      <c r="E64" s="1248" t="str">
        <f>IFERROR(+F64/('OSNOVNE STORITVE'!$F$55+$F$91),"%")</f>
        <v>%</v>
      </c>
      <c r="F64" s="1163">
        <v>0</v>
      </c>
      <c r="G64" s="1163">
        <f>+F64*0.22</f>
        <v>0</v>
      </c>
      <c r="H64" s="1163">
        <f t="shared" si="5"/>
        <v>0</v>
      </c>
      <c r="I64" s="1155"/>
    </row>
    <row r="65" spans="1:9" s="1031" customFormat="1" ht="12.75" outlineLevel="1">
      <c r="A65" s="1054" t="s">
        <v>42</v>
      </c>
      <c r="B65" s="1082" t="s">
        <v>713</v>
      </c>
      <c r="C65" s="1144"/>
      <c r="D65" s="1082"/>
      <c r="E65" s="1135"/>
      <c r="F65" s="1088"/>
      <c r="G65" s="1088"/>
      <c r="H65" s="1088"/>
      <c r="I65" s="1164"/>
    </row>
    <row r="66" spans="1:9" s="1024" customFormat="1" ht="112.5">
      <c r="A66" s="1136"/>
      <c r="B66" s="1052" t="s">
        <v>400</v>
      </c>
      <c r="C66" s="1137"/>
      <c r="D66" s="1068" t="s">
        <v>916</v>
      </c>
      <c r="E66" s="1251" t="str">
        <f>IFERROR(+F66/('OSNOVNE STORITVE'!$F$55+$F$91),"%")</f>
        <v>%</v>
      </c>
      <c r="F66" s="1161">
        <v>0</v>
      </c>
      <c r="G66" s="1161">
        <f>+F66*0.22</f>
        <v>0</v>
      </c>
      <c r="H66" s="1161">
        <f t="shared" ref="H66:H67" si="6">+F66+G66</f>
        <v>0</v>
      </c>
      <c r="I66" s="1060" t="s">
        <v>864</v>
      </c>
    </row>
    <row r="67" spans="1:9" s="1024" customFormat="1">
      <c r="A67" s="1136"/>
      <c r="B67" s="1140"/>
      <c r="C67" s="1141" t="s">
        <v>819</v>
      </c>
      <c r="D67" s="1155" t="s">
        <v>829</v>
      </c>
      <c r="E67" s="1248" t="str">
        <f>IFERROR(+F67/('OSNOVNE STORITVE'!$F$55+$F$91),"%")</f>
        <v>%</v>
      </c>
      <c r="F67" s="1163">
        <v>0</v>
      </c>
      <c r="G67" s="1163">
        <f>+F67*0.22</f>
        <v>0</v>
      </c>
      <c r="H67" s="1163">
        <f t="shared" si="6"/>
        <v>0</v>
      </c>
      <c r="I67" s="1155"/>
    </row>
    <row r="68" spans="1:9" s="1031" customFormat="1" ht="12.75" outlineLevel="1">
      <c r="A68" s="1054" t="s">
        <v>43</v>
      </c>
      <c r="B68" s="1088" t="s">
        <v>698</v>
      </c>
      <c r="C68" s="1144"/>
      <c r="D68" s="1082"/>
      <c r="E68" s="1135"/>
      <c r="F68" s="1088"/>
      <c r="G68" s="1088"/>
      <c r="H68" s="1088"/>
      <c r="I68" s="1082"/>
    </row>
    <row r="69" spans="1:9" s="1053" customFormat="1" ht="78.75" outlineLevel="2">
      <c r="A69" s="1051"/>
      <c r="B69" s="1165" t="s">
        <v>872</v>
      </c>
      <c r="C69" s="1067"/>
      <c r="D69" s="1068" t="s">
        <v>848</v>
      </c>
      <c r="E69" s="1251" t="str">
        <f>IFERROR(+F69/('OSNOVNE STORITVE'!$F$55+$F$91),"%")</f>
        <v>%</v>
      </c>
      <c r="F69" s="1069">
        <v>0</v>
      </c>
      <c r="G69" s="1069">
        <f>+F69*0.22</f>
        <v>0</v>
      </c>
      <c r="H69" s="1069">
        <f>+F69+G69</f>
        <v>0</v>
      </c>
      <c r="I69" s="1060" t="s">
        <v>873</v>
      </c>
    </row>
    <row r="70" spans="1:9" s="1024" customFormat="1">
      <c r="A70" s="1136"/>
      <c r="B70" s="1052"/>
      <c r="C70" s="1137" t="s">
        <v>819</v>
      </c>
      <c r="D70" s="1138" t="s">
        <v>829</v>
      </c>
      <c r="E70" s="1248" t="str">
        <f>IFERROR(+F70/('OSNOVNE STORITVE'!$F$55+$F$91),"%")</f>
        <v>%</v>
      </c>
      <c r="F70" s="1139">
        <v>0</v>
      </c>
      <c r="G70" s="1139">
        <f>+F70*0.22</f>
        <v>0</v>
      </c>
      <c r="H70" s="1139">
        <f t="shared" ref="H70:H71" si="7">+F70+G70</f>
        <v>0</v>
      </c>
      <c r="I70" s="1138"/>
    </row>
    <row r="71" spans="1:9" s="1024" customFormat="1">
      <c r="A71" s="1136"/>
      <c r="B71" s="1140"/>
      <c r="C71" s="1141" t="s">
        <v>819</v>
      </c>
      <c r="D71" s="1142" t="s">
        <v>829</v>
      </c>
      <c r="E71" s="1248" t="str">
        <f>IFERROR(+F71/('OSNOVNE STORITVE'!$F$55+$F$91),"%")</f>
        <v>%</v>
      </c>
      <c r="F71" s="1143">
        <v>0</v>
      </c>
      <c r="G71" s="1143">
        <f>+F71*0.22</f>
        <v>0</v>
      </c>
      <c r="H71" s="1143">
        <f t="shared" si="7"/>
        <v>0</v>
      </c>
      <c r="I71" s="1142"/>
    </row>
    <row r="72" spans="1:9" s="1037" customFormat="1">
      <c r="A72" s="1166">
        <v>5</v>
      </c>
      <c r="B72" s="1146" t="s">
        <v>44</v>
      </c>
      <c r="C72" s="1023"/>
      <c r="D72" s="1022"/>
      <c r="E72" s="1249"/>
      <c r="F72" s="1023"/>
      <c r="G72" s="1023"/>
      <c r="H72" s="1023"/>
      <c r="I72" s="1150"/>
    </row>
    <row r="73" spans="1:9" s="1031" customFormat="1" ht="12.75" outlineLevel="1">
      <c r="A73" s="1054" t="s">
        <v>45</v>
      </c>
      <c r="B73" s="1100" t="s">
        <v>183</v>
      </c>
      <c r="C73" s="1144"/>
      <c r="D73" s="1082"/>
      <c r="E73" s="1135"/>
      <c r="F73" s="1088"/>
      <c r="G73" s="1088"/>
      <c r="H73" s="1088"/>
      <c r="I73" s="1082"/>
    </row>
    <row r="74" spans="1:9" s="1024" customFormat="1">
      <c r="A74" s="1136"/>
      <c r="B74" s="1052"/>
      <c r="C74" s="1137" t="s">
        <v>819</v>
      </c>
      <c r="D74" s="1138" t="s">
        <v>829</v>
      </c>
      <c r="E74" s="1248" t="str">
        <f>IFERROR(+F74/('OSNOVNE STORITVE'!$F$55+$F$91),"%")</f>
        <v>%</v>
      </c>
      <c r="F74" s="1139">
        <v>0</v>
      </c>
      <c r="G74" s="1139">
        <f>+F74*0.22</f>
        <v>0</v>
      </c>
      <c r="H74" s="1139">
        <f>+F74+G74</f>
        <v>0</v>
      </c>
      <c r="I74" s="1138"/>
    </row>
    <row r="75" spans="1:9" s="1024" customFormat="1">
      <c r="A75" s="1136"/>
      <c r="B75" s="1140"/>
      <c r="C75" s="1141" t="s">
        <v>819</v>
      </c>
      <c r="D75" s="1142" t="s">
        <v>829</v>
      </c>
      <c r="E75" s="1248" t="str">
        <f>IFERROR(+F75/('OSNOVNE STORITVE'!$F$55+$F$91),"%")</f>
        <v>%</v>
      </c>
      <c r="F75" s="1143">
        <v>0</v>
      </c>
      <c r="G75" s="1143">
        <f>+F75*0.22</f>
        <v>0</v>
      </c>
      <c r="H75" s="1143">
        <f>+F75+G75</f>
        <v>0</v>
      </c>
      <c r="I75" s="1142"/>
    </row>
    <row r="76" spans="1:9" s="1031" customFormat="1" ht="12.75" outlineLevel="1">
      <c r="A76" s="1054" t="s">
        <v>46</v>
      </c>
      <c r="B76" s="1100" t="s">
        <v>184</v>
      </c>
      <c r="C76" s="1144"/>
      <c r="D76" s="1082"/>
      <c r="E76" s="1135"/>
      <c r="F76" s="1088"/>
      <c r="G76" s="1088"/>
      <c r="H76" s="1088"/>
      <c r="I76" s="1082"/>
    </row>
    <row r="77" spans="1:9" s="1024" customFormat="1">
      <c r="A77" s="1136"/>
      <c r="B77" s="1052"/>
      <c r="C77" s="1137" t="s">
        <v>819</v>
      </c>
      <c r="D77" s="1138" t="s">
        <v>829</v>
      </c>
      <c r="E77" s="1248" t="str">
        <f>IFERROR(+F77/('OSNOVNE STORITVE'!$F$55+$F$91),"%")</f>
        <v>%</v>
      </c>
      <c r="F77" s="1139">
        <v>0</v>
      </c>
      <c r="G77" s="1139">
        <f>+F77*0.22</f>
        <v>0</v>
      </c>
      <c r="H77" s="1139">
        <f t="shared" ref="H77:H78" si="8">+F77+G77</f>
        <v>0</v>
      </c>
      <c r="I77" s="1138"/>
    </row>
    <row r="78" spans="1:9" s="1024" customFormat="1">
      <c r="A78" s="1136"/>
      <c r="B78" s="1140"/>
      <c r="C78" s="1141" t="s">
        <v>819</v>
      </c>
      <c r="D78" s="1142" t="s">
        <v>829</v>
      </c>
      <c r="E78" s="1248" t="str">
        <f>IFERROR(+F78/('OSNOVNE STORITVE'!$F$55+$F$91),"%")</f>
        <v>%</v>
      </c>
      <c r="F78" s="1143">
        <v>0</v>
      </c>
      <c r="G78" s="1143">
        <f>+F78*0.22</f>
        <v>0</v>
      </c>
      <c r="H78" s="1143">
        <f t="shared" si="8"/>
        <v>0</v>
      </c>
      <c r="I78" s="1142"/>
    </row>
    <row r="79" spans="1:9" s="1024" customFormat="1">
      <c r="A79" s="1167">
        <v>6</v>
      </c>
      <c r="B79" s="1168" t="s">
        <v>47</v>
      </c>
      <c r="C79" s="1023"/>
      <c r="D79" s="1148"/>
      <c r="E79" s="1250"/>
      <c r="F79" s="1149"/>
      <c r="G79" s="1149"/>
      <c r="H79" s="1149"/>
      <c r="I79" s="1169"/>
    </row>
    <row r="80" spans="1:9" s="1031" customFormat="1" ht="12.75">
      <c r="A80" s="1054" t="s">
        <v>51</v>
      </c>
      <c r="B80" s="1100" t="s">
        <v>185</v>
      </c>
      <c r="C80" s="1144"/>
      <c r="D80" s="1082"/>
      <c r="E80" s="1135"/>
      <c r="F80" s="1088"/>
      <c r="G80" s="1088"/>
      <c r="H80" s="1088"/>
      <c r="I80" s="1082"/>
    </row>
    <row r="81" spans="1:13" s="1024" customFormat="1">
      <c r="A81" s="1136"/>
      <c r="B81" s="1052"/>
      <c r="C81" s="1137" t="s">
        <v>819</v>
      </c>
      <c r="D81" s="1138" t="s">
        <v>829</v>
      </c>
      <c r="E81" s="1248" t="str">
        <f>IFERROR(+F81/('OSNOVNE STORITVE'!$F$55+$F$91),"%")</f>
        <v>%</v>
      </c>
      <c r="F81" s="1139">
        <v>0</v>
      </c>
      <c r="G81" s="1139">
        <f>+F81*0.22</f>
        <v>0</v>
      </c>
      <c r="H81" s="1139">
        <f>+F81+G81</f>
        <v>0</v>
      </c>
      <c r="I81" s="1138"/>
    </row>
    <row r="82" spans="1:13" s="1024" customFormat="1">
      <c r="A82" s="1136"/>
      <c r="B82" s="1140"/>
      <c r="C82" s="1141" t="s">
        <v>819</v>
      </c>
      <c r="D82" s="1142" t="s">
        <v>829</v>
      </c>
      <c r="E82" s="1248" t="str">
        <f>IFERROR(+F82/('OSNOVNE STORITVE'!$F$55+$F$91),"%")</f>
        <v>%</v>
      </c>
      <c r="F82" s="1143">
        <v>0</v>
      </c>
      <c r="G82" s="1143">
        <f>+F82*0.22</f>
        <v>0</v>
      </c>
      <c r="H82" s="1143">
        <f>+F82+G82</f>
        <v>0</v>
      </c>
      <c r="I82" s="1142"/>
    </row>
    <row r="83" spans="1:13" s="1031" customFormat="1" ht="12.75">
      <c r="A83" s="1054" t="s">
        <v>52</v>
      </c>
      <c r="B83" s="1100" t="s">
        <v>186</v>
      </c>
      <c r="C83" s="1144"/>
      <c r="D83" s="1082"/>
      <c r="E83" s="1135"/>
      <c r="F83" s="1088"/>
      <c r="G83" s="1088"/>
      <c r="H83" s="1088"/>
      <c r="I83" s="1082"/>
    </row>
    <row r="84" spans="1:13" s="1024" customFormat="1">
      <c r="A84" s="1136"/>
      <c r="B84" s="1052"/>
      <c r="C84" s="1137" t="s">
        <v>819</v>
      </c>
      <c r="D84" s="1138" t="s">
        <v>829</v>
      </c>
      <c r="E84" s="1248" t="str">
        <f>IFERROR(+F84/('OSNOVNE STORITVE'!$F$55+$F$91),"%")</f>
        <v>%</v>
      </c>
      <c r="F84" s="1139">
        <v>0</v>
      </c>
      <c r="G84" s="1139">
        <f>+F84*0.22</f>
        <v>0</v>
      </c>
      <c r="H84" s="1139">
        <f t="shared" ref="H84:H85" si="9">+F84+G84</f>
        <v>0</v>
      </c>
      <c r="I84" s="1138"/>
    </row>
    <row r="85" spans="1:13" s="1024" customFormat="1">
      <c r="A85" s="1136"/>
      <c r="B85" s="1140"/>
      <c r="C85" s="1141" t="s">
        <v>819</v>
      </c>
      <c r="D85" s="1142" t="s">
        <v>829</v>
      </c>
      <c r="E85" s="1248" t="str">
        <f>IFERROR(+F85/('OSNOVNE STORITVE'!$F$55+$F$91),"%")</f>
        <v>%</v>
      </c>
      <c r="F85" s="1143">
        <v>0</v>
      </c>
      <c r="G85" s="1143">
        <f>+F85*0.22</f>
        <v>0</v>
      </c>
      <c r="H85" s="1143">
        <f t="shared" si="9"/>
        <v>0</v>
      </c>
      <c r="I85" s="1142"/>
    </row>
    <row r="86" spans="1:13" s="1031" customFormat="1" ht="12.75">
      <c r="A86" s="1054" t="s">
        <v>53</v>
      </c>
      <c r="B86" s="1100" t="s">
        <v>187</v>
      </c>
      <c r="C86" s="1144"/>
      <c r="D86" s="1082"/>
      <c r="E86" s="1135"/>
      <c r="F86" s="1088"/>
      <c r="G86" s="1088"/>
      <c r="H86" s="1088"/>
      <c r="I86" s="1082"/>
    </row>
    <row r="87" spans="1:13" s="1024" customFormat="1">
      <c r="A87" s="1136"/>
      <c r="B87" s="1052"/>
      <c r="C87" s="1137" t="s">
        <v>819</v>
      </c>
      <c r="D87" s="1138" t="s">
        <v>829</v>
      </c>
      <c r="E87" s="1248" t="str">
        <f>IFERROR(+F87/('OSNOVNE STORITVE'!$F$55+$F$91),"%")</f>
        <v>%</v>
      </c>
      <c r="F87" s="1139">
        <v>0</v>
      </c>
      <c r="G87" s="1139">
        <f>+F87*0.22</f>
        <v>0</v>
      </c>
      <c r="H87" s="1139">
        <f>+F87+G87</f>
        <v>0</v>
      </c>
      <c r="I87" s="1138"/>
    </row>
    <row r="88" spans="1:13" s="1024" customFormat="1">
      <c r="A88" s="1170"/>
      <c r="B88" s="1171"/>
      <c r="C88" s="1172" t="s">
        <v>819</v>
      </c>
      <c r="D88" s="1173" t="s">
        <v>829</v>
      </c>
      <c r="E88" s="1248" t="str">
        <f>IFERROR(+F88/('OSNOVNE STORITVE'!$F$55+$F$91),"%")</f>
        <v>%</v>
      </c>
      <c r="F88" s="1174">
        <v>0</v>
      </c>
      <c r="G88" s="1174">
        <f>+F88*0.22</f>
        <v>0</v>
      </c>
      <c r="H88" s="1174">
        <f>+F88+G88</f>
        <v>0</v>
      </c>
      <c r="I88" s="1173"/>
    </row>
    <row r="89" spans="1:13" s="1112" customFormat="1">
      <c r="A89" s="1108"/>
      <c r="B89" s="1109"/>
      <c r="C89" s="1175"/>
      <c r="D89" s="1176"/>
      <c r="E89" s="1176"/>
      <c r="F89" s="1175"/>
      <c r="G89" s="1175"/>
      <c r="H89" s="1175"/>
      <c r="I89" s="1056"/>
    </row>
    <row r="90" spans="1:13" s="1112" customFormat="1">
      <c r="A90" s="1108"/>
      <c r="B90" s="1109"/>
      <c r="C90" s="1110"/>
      <c r="D90" s="1111"/>
      <c r="E90" s="1111"/>
      <c r="F90" s="1110"/>
      <c r="G90" s="1110"/>
      <c r="H90" s="1110"/>
      <c r="I90" s="1056"/>
    </row>
    <row r="91" spans="1:13" s="1112" customFormat="1" ht="22.5">
      <c r="A91" s="1113"/>
      <c r="B91" s="1114" t="s">
        <v>179</v>
      </c>
      <c r="C91" s="1115"/>
      <c r="D91" s="1116"/>
      <c r="E91" s="1117">
        <f>SUM(E12:E90)</f>
        <v>0</v>
      </c>
      <c r="F91" s="1115">
        <f>SUM(F19:F89)</f>
        <v>0</v>
      </c>
      <c r="G91" s="1115">
        <f>SUM(G19:G89)</f>
        <v>0</v>
      </c>
      <c r="H91" s="1115">
        <f>SUM(H19:H89)</f>
        <v>0</v>
      </c>
      <c r="I91" s="1056"/>
    </row>
    <row r="92" spans="1:13" s="1112" customFormat="1">
      <c r="A92" s="1108"/>
      <c r="B92" s="1109" t="s">
        <v>626</v>
      </c>
      <c r="C92" s="1177"/>
      <c r="D92" s="1178"/>
      <c r="E92" s="1178"/>
      <c r="F92" s="1177" t="str">
        <f>IFERROR(F91/'OSNOVNI PODATKI'!$E$350,"")</f>
        <v/>
      </c>
      <c r="G92" s="1177" t="str">
        <f>IFERROR(G91/'OSNOVNI PODATKI'!$E$350,"")</f>
        <v/>
      </c>
      <c r="H92" s="1177" t="str">
        <f>IFERROR(H91/'OSNOVNI PODATKI'!$E$350,"")</f>
        <v/>
      </c>
      <c r="I92" s="1056"/>
    </row>
    <row r="93" spans="1:13" s="1112" customFormat="1">
      <c r="A93" s="1122"/>
      <c r="B93" s="1123"/>
      <c r="C93" s="1124"/>
      <c r="D93" s="1125"/>
      <c r="E93" s="1125"/>
      <c r="F93" s="1124"/>
      <c r="G93" s="1124"/>
      <c r="H93" s="1124"/>
    </row>
    <row r="95" spans="1:13" s="998" customFormat="1" ht="15.75">
      <c r="B95" s="999"/>
      <c r="D95" s="999"/>
      <c r="E95" s="999"/>
    </row>
    <row r="96" spans="1:13">
      <c r="C96" s="1129"/>
      <c r="D96" s="1130"/>
      <c r="E96" s="1130"/>
      <c r="F96" s="1129"/>
      <c r="G96" s="1129"/>
      <c r="H96" s="1129"/>
      <c r="I96" s="1129"/>
      <c r="M96" s="1131"/>
    </row>
    <row r="97" spans="3:13">
      <c r="C97" s="1129"/>
      <c r="D97" s="1130"/>
      <c r="E97" s="1130"/>
      <c r="F97" s="1129"/>
      <c r="G97" s="1129"/>
      <c r="H97" s="1129"/>
      <c r="I97" s="1129"/>
      <c r="M97" s="1131"/>
    </row>
    <row r="98" spans="3:13">
      <c r="C98" s="1129"/>
      <c r="D98" s="1130"/>
      <c r="E98" s="1130"/>
      <c r="F98" s="1129"/>
      <c r="G98" s="1129"/>
      <c r="H98" s="1129"/>
      <c r="I98" s="1129"/>
      <c r="M98" s="1131"/>
    </row>
    <row r="99" spans="3:13">
      <c r="C99" s="1129"/>
      <c r="D99" s="1130"/>
      <c r="E99" s="1130"/>
      <c r="F99" s="1129"/>
      <c r="G99" s="1129"/>
      <c r="H99" s="1129"/>
      <c r="I99" s="1129"/>
      <c r="M99" s="1131"/>
    </row>
    <row r="100" spans="3:13">
      <c r="C100" s="1129"/>
      <c r="D100" s="1130"/>
      <c r="E100" s="1130"/>
      <c r="F100" s="1129"/>
      <c r="G100" s="1129"/>
      <c r="H100" s="1129"/>
      <c r="I100" s="1129"/>
      <c r="M100" s="1131"/>
    </row>
  </sheetData>
  <mergeCells count="1">
    <mergeCell ref="C11:D11"/>
  </mergeCells>
  <pageMargins left="0.39370078740157483" right="0.39370078740157483" top="0.98425196850393704" bottom="0.39370078740157483" header="0.31496062992125984" footer="0.31496062992125984"/>
  <pageSetup paperSize="9" orientation="landscape" r:id="rId1"/>
  <ignoredErrors>
    <ignoredError sqref="C1:D5 E40:H40 E92 F92:H92 E16:H16 G37:H37 G39:H39 F14:H14 F15:H15 E19:H20 F17:H17 F18:H18 E23:H23 F21:H22 E26:H26 F24:H25 E29:H30 F27:H28 E33:H33 F31:H32 E36:H36 F34:H35 E43:H43 F41:H42 E47:H48 F44:H46 E51:H51 F49:H50 E54:H55 F52:H53 E59:H59 F56:H58 E62:H62 F60:H61 E65:H65 F63:H64 E68:H68 F66:H67 E72:H73 F69:H71 E76:H76 F74:H75 E79:H80 F77:H78 E83:H83 F81:H82 E86:H86 F84:H85 E89:H90 F87:H88" unlockedFormula="1"/>
    <ignoredError sqref="F91:H91" formulaRange="1"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tabColor rgb="FF00B0F0"/>
  </sheetPr>
  <dimension ref="A1:G84"/>
  <sheetViews>
    <sheetView workbookViewId="0">
      <selection activeCell="D43" sqref="D43"/>
    </sheetView>
    <sheetView workbookViewId="1"/>
  </sheetViews>
  <sheetFormatPr defaultColWidth="9.140625" defaultRowHeight="12.75"/>
  <cols>
    <col min="1" max="1" width="4.140625" style="129" customWidth="1"/>
    <col min="2" max="2" width="55.85546875" style="129" customWidth="1"/>
    <col min="3" max="4" width="13.7109375" style="129" customWidth="1"/>
    <col min="5" max="5" width="13.7109375" style="139" customWidth="1"/>
    <col min="6" max="6" width="13.7109375" style="129" customWidth="1"/>
    <col min="7" max="7" width="22" style="129" customWidth="1"/>
    <col min="8" max="8" width="3.42578125" style="129" customWidth="1"/>
    <col min="9" max="9" width="25.140625" style="129" customWidth="1"/>
    <col min="10" max="10" width="2.28515625" style="129" customWidth="1"/>
    <col min="11" max="11" width="22" style="129" customWidth="1"/>
    <col min="12" max="16384" width="9.140625" style="129"/>
  </cols>
  <sheetData>
    <row r="1" spans="1:6" ht="18.75">
      <c r="A1" s="1179" t="s">
        <v>1164</v>
      </c>
      <c r="B1" s="1179"/>
      <c r="C1" s="1179"/>
    </row>
    <row r="2" spans="1:6">
      <c r="A2" s="129" t="s">
        <v>911</v>
      </c>
    </row>
    <row r="5" spans="1:6" s="134" customFormat="1" ht="15.75">
      <c r="A5" s="142" t="s">
        <v>104</v>
      </c>
      <c r="B5" s="142" t="s">
        <v>152</v>
      </c>
      <c r="C5" s="142"/>
      <c r="D5" s="142"/>
      <c r="E5" s="143"/>
      <c r="F5" s="131"/>
    </row>
    <row r="6" spans="1:6">
      <c r="A6" s="168"/>
      <c r="B6" s="168" t="s">
        <v>153</v>
      </c>
      <c r="C6" s="168"/>
      <c r="D6" s="168"/>
      <c r="E6" s="175"/>
      <c r="F6" s="1180">
        <v>1</v>
      </c>
    </row>
    <row r="7" spans="1:6">
      <c r="A7" s="169"/>
      <c r="B7" s="169" t="s">
        <v>154</v>
      </c>
      <c r="C7" s="169"/>
      <c r="D7" s="169"/>
      <c r="E7" s="176"/>
      <c r="F7" s="1181">
        <v>1</v>
      </c>
    </row>
    <row r="8" spans="1:6">
      <c r="A8" s="178"/>
      <c r="B8" s="178" t="s">
        <v>905</v>
      </c>
      <c r="C8" s="178"/>
      <c r="D8" s="178"/>
      <c r="E8" s="747"/>
      <c r="F8" s="1182">
        <v>8</v>
      </c>
    </row>
    <row r="9" spans="1:6">
      <c r="A9" s="178"/>
      <c r="B9" s="178" t="s">
        <v>903</v>
      </c>
      <c r="C9" s="178"/>
      <c r="D9" s="179"/>
      <c r="E9" s="178"/>
      <c r="F9" s="1182">
        <v>6</v>
      </c>
    </row>
    <row r="10" spans="1:6" s="133" customFormat="1">
      <c r="A10" s="170"/>
      <c r="B10" s="170" t="s">
        <v>904</v>
      </c>
      <c r="C10" s="170"/>
      <c r="D10" s="170"/>
      <c r="E10" s="180"/>
      <c r="F10" s="1183">
        <f>+F9*5</f>
        <v>30</v>
      </c>
    </row>
    <row r="11" spans="1:6">
      <c r="C11" s="1184" t="s">
        <v>107</v>
      </c>
      <c r="D11" s="1184" t="s">
        <v>108</v>
      </c>
      <c r="E11" s="129"/>
    </row>
    <row r="12" spans="1:6">
      <c r="A12" s="168"/>
      <c r="B12" s="168" t="s">
        <v>1169</v>
      </c>
      <c r="C12" s="1185">
        <v>2682.36</v>
      </c>
      <c r="D12" s="1185">
        <f>+C12*12</f>
        <v>32188.32</v>
      </c>
      <c r="E12" s="1186"/>
      <c r="F12" s="1187"/>
    </row>
    <row r="13" spans="1:6">
      <c r="A13" s="169"/>
      <c r="B13" s="1188" t="s">
        <v>1170</v>
      </c>
      <c r="C13" s="1189">
        <v>1680.8</v>
      </c>
      <c r="D13" s="1189">
        <f>+C13*12</f>
        <v>20169.599999999999</v>
      </c>
      <c r="E13" s="1190"/>
      <c r="F13" s="1191"/>
    </row>
    <row r="14" spans="1:6">
      <c r="A14" s="170"/>
      <c r="B14" s="1192" t="s">
        <v>110</v>
      </c>
      <c r="C14" s="1193">
        <f>+C12/C13</f>
        <v>1.5958829128986198</v>
      </c>
      <c r="D14" s="1193">
        <f>+D12/D13</f>
        <v>1.5958829128986198</v>
      </c>
      <c r="E14" s="144"/>
      <c r="F14" s="149"/>
    </row>
    <row r="15" spans="1:6">
      <c r="A15" s="137"/>
      <c r="B15" s="1194"/>
      <c r="C15" s="1195"/>
      <c r="D15" s="1195"/>
      <c r="E15" s="181"/>
      <c r="F15" s="182"/>
    </row>
    <row r="16" spans="1:6">
      <c r="A16" s="1196"/>
      <c r="B16" s="1197">
        <v>2026</v>
      </c>
      <c r="C16" s="1197"/>
      <c r="D16" s="1197"/>
      <c r="E16" s="1184" t="s">
        <v>157</v>
      </c>
      <c r="F16" s="1184" t="s">
        <v>158</v>
      </c>
    </row>
    <row r="17" spans="1:6">
      <c r="A17" s="168"/>
      <c r="B17" s="168" t="s">
        <v>23</v>
      </c>
      <c r="C17" s="168"/>
      <c r="D17" s="168"/>
      <c r="E17" s="1198">
        <v>250</v>
      </c>
      <c r="F17" s="168"/>
    </row>
    <row r="18" spans="1:6">
      <c r="A18" s="169"/>
      <c r="B18" s="169" t="s">
        <v>24</v>
      </c>
      <c r="C18" s="169"/>
      <c r="D18" s="169"/>
      <c r="E18" s="1199">
        <v>11</v>
      </c>
      <c r="F18" s="169"/>
    </row>
    <row r="19" spans="1:6">
      <c r="A19" s="169"/>
      <c r="B19" s="169" t="s">
        <v>159</v>
      </c>
      <c r="C19" s="169"/>
      <c r="D19" s="169"/>
      <c r="E19" s="1199">
        <v>25</v>
      </c>
      <c r="F19" s="169"/>
    </row>
    <row r="20" spans="1:6">
      <c r="A20" s="169"/>
      <c r="B20" s="169" t="s">
        <v>160</v>
      </c>
      <c r="C20" s="169"/>
      <c r="D20" s="169"/>
      <c r="E20" s="1199">
        <v>5</v>
      </c>
      <c r="F20" s="169"/>
    </row>
    <row r="21" spans="1:6">
      <c r="A21" s="170"/>
      <c r="B21" s="170" t="s">
        <v>161</v>
      </c>
      <c r="C21" s="170"/>
      <c r="D21" s="170"/>
      <c r="E21" s="1199">
        <v>5</v>
      </c>
      <c r="F21" s="170"/>
    </row>
    <row r="22" spans="1:6">
      <c r="A22" s="138"/>
      <c r="B22" s="1200" t="s">
        <v>907</v>
      </c>
      <c r="C22" s="1242"/>
      <c r="D22" s="1242"/>
      <c r="E22" s="1243">
        <f>+E17-E19-E20-E21</f>
        <v>215</v>
      </c>
      <c r="F22" s="1242"/>
    </row>
    <row r="23" spans="1:6">
      <c r="A23" s="177"/>
      <c r="B23" s="169" t="s">
        <v>908</v>
      </c>
      <c r="C23" s="177"/>
      <c r="D23" s="177"/>
      <c r="E23" s="1201">
        <f>+E22/12</f>
        <v>17.916666666666668</v>
      </c>
      <c r="F23" s="177"/>
    </row>
    <row r="24" spans="1:6">
      <c r="E24" s="1202"/>
    </row>
    <row r="25" spans="1:6">
      <c r="C25" s="135"/>
      <c r="D25" s="130"/>
    </row>
    <row r="26" spans="1:6" s="134" customFormat="1" ht="15.75">
      <c r="A26" s="142" t="s">
        <v>104</v>
      </c>
      <c r="B26" s="142" t="s">
        <v>105</v>
      </c>
      <c r="C26" s="142"/>
      <c r="D26" s="142"/>
      <c r="E26" s="143"/>
      <c r="F26" s="131"/>
    </row>
    <row r="27" spans="1:6" ht="15" customHeight="1">
      <c r="C27" s="135"/>
      <c r="F27" s="131"/>
    </row>
    <row r="28" spans="1:6">
      <c r="A28" s="1196" t="s">
        <v>106</v>
      </c>
      <c r="B28" s="1197" t="s">
        <v>155</v>
      </c>
      <c r="C28" s="1184" t="s">
        <v>107</v>
      </c>
      <c r="D28" s="1184" t="s">
        <v>108</v>
      </c>
      <c r="E28" s="1203" t="s">
        <v>109</v>
      </c>
      <c r="F28" s="1203"/>
    </row>
    <row r="29" spans="1:6">
      <c r="A29" s="168" t="s">
        <v>3</v>
      </c>
      <c r="B29" s="168" t="s">
        <v>162</v>
      </c>
      <c r="C29" s="1185">
        <f>+C30*C31</f>
        <v>2713.0009519276537</v>
      </c>
      <c r="D29" s="1185">
        <f>+C29*12</f>
        <v>32556.011423131844</v>
      </c>
      <c r="E29" s="1186">
        <f>+C29/$E$23/$F$8</f>
        <v>18.927913618099907</v>
      </c>
      <c r="F29" s="1187"/>
    </row>
    <row r="30" spans="1:6">
      <c r="A30" s="169"/>
      <c r="B30" s="1188" t="s">
        <v>163</v>
      </c>
      <c r="C30" s="1204">
        <v>1700</v>
      </c>
      <c r="D30" s="1189">
        <f>+C30*12</f>
        <v>20400</v>
      </c>
      <c r="E30" s="1190">
        <f>+C30/$E$23/$F$8</f>
        <v>11.86046511627907</v>
      </c>
      <c r="F30" s="1191"/>
    </row>
    <row r="31" spans="1:6">
      <c r="A31" s="170"/>
      <c r="B31" s="1192" t="s">
        <v>110</v>
      </c>
      <c r="C31" s="1193">
        <f>C14</f>
        <v>1.5958829128986198</v>
      </c>
      <c r="D31" s="1193">
        <f>D14</f>
        <v>1.5958829128986198</v>
      </c>
      <c r="E31" s="144"/>
      <c r="F31" s="149"/>
    </row>
    <row r="32" spans="1:6">
      <c r="A32" s="168" t="s">
        <v>4</v>
      </c>
      <c r="B32" s="168" t="s">
        <v>149</v>
      </c>
      <c r="C32" s="1205">
        <f>20*10</f>
        <v>200</v>
      </c>
      <c r="D32" s="1185">
        <f>+C32*12</f>
        <v>2400</v>
      </c>
      <c r="E32" s="1206"/>
      <c r="F32" s="1207"/>
    </row>
    <row r="33" spans="1:7">
      <c r="A33" s="169" t="s">
        <v>5</v>
      </c>
      <c r="B33" s="169" t="s">
        <v>150</v>
      </c>
      <c r="C33" s="1204">
        <v>50</v>
      </c>
      <c r="D33" s="1189">
        <f>+C33*12</f>
        <v>600</v>
      </c>
      <c r="E33" s="1208"/>
      <c r="F33" s="1209"/>
    </row>
    <row r="34" spans="1:7" ht="14.25" customHeight="1">
      <c r="A34" s="170" t="s">
        <v>93</v>
      </c>
      <c r="B34" s="170" t="s">
        <v>151</v>
      </c>
      <c r="C34" s="1210"/>
      <c r="D34" s="1211">
        <v>1500</v>
      </c>
      <c r="E34" s="1193"/>
      <c r="F34" s="1212"/>
    </row>
    <row r="35" spans="1:7" ht="14.25" customHeight="1">
      <c r="A35" s="1213"/>
      <c r="B35" s="1213" t="s">
        <v>111</v>
      </c>
      <c r="C35" s="1214">
        <f>+C34+C33+C32+C29</f>
        <v>2963.0009519276537</v>
      </c>
      <c r="D35" s="1214">
        <f>+D34+D33+D32+D29</f>
        <v>37056.011423131844</v>
      </c>
      <c r="E35" s="1215"/>
      <c r="F35" s="1215"/>
    </row>
    <row r="36" spans="1:7" ht="14.25" customHeight="1">
      <c r="C36" s="1216"/>
      <c r="D36" s="1216"/>
      <c r="E36" s="1216"/>
      <c r="F36" s="1203" t="s">
        <v>148</v>
      </c>
    </row>
    <row r="37" spans="1:7" s="138" customFormat="1" ht="14.25" customHeight="1">
      <c r="A37" s="146"/>
      <c r="B37" s="146" t="s">
        <v>156</v>
      </c>
      <c r="C37" s="1217">
        <f>+C35*F6</f>
        <v>2963.0009519276537</v>
      </c>
      <c r="D37" s="1217">
        <f>+D35*F6</f>
        <v>37056.011423131844</v>
      </c>
      <c r="E37" s="146"/>
      <c r="F37" s="147">
        <f>+D37/D67</f>
        <v>0.5775561849381452</v>
      </c>
    </row>
    <row r="38" spans="1:7" ht="14.25" customHeight="1">
      <c r="C38" s="1216"/>
      <c r="D38" s="1216"/>
      <c r="E38" s="141"/>
      <c r="F38" s="150"/>
    </row>
    <row r="39" spans="1:7" ht="14.25" customHeight="1">
      <c r="A39" s="1196" t="s">
        <v>112</v>
      </c>
      <c r="B39" s="1197" t="s">
        <v>113</v>
      </c>
      <c r="C39" s="1184"/>
      <c r="D39" s="1184" t="s">
        <v>108</v>
      </c>
      <c r="E39" s="1203"/>
      <c r="F39" s="151"/>
    </row>
    <row r="40" spans="1:7" ht="14.25" customHeight="1">
      <c r="A40" s="168" t="s">
        <v>3</v>
      </c>
      <c r="B40" s="168" t="s">
        <v>114</v>
      </c>
      <c r="C40" s="168"/>
      <c r="D40" s="1205">
        <v>500</v>
      </c>
      <c r="E40" s="162"/>
      <c r="F40" s="163"/>
      <c r="G40" s="136"/>
    </row>
    <row r="41" spans="1:7" ht="25.5">
      <c r="A41" s="169" t="s">
        <v>4</v>
      </c>
      <c r="B41" s="1218" t="s">
        <v>144</v>
      </c>
      <c r="C41" s="169"/>
      <c r="D41" s="1204">
        <f>500*12*F6</f>
        <v>6000</v>
      </c>
      <c r="E41" s="164"/>
      <c r="F41" s="165"/>
    </row>
    <row r="42" spans="1:7" ht="14.25" customHeight="1">
      <c r="A42" s="169" t="s">
        <v>5</v>
      </c>
      <c r="B42" s="169" t="s">
        <v>145</v>
      </c>
      <c r="C42" s="169"/>
      <c r="D42" s="1204">
        <v>200</v>
      </c>
      <c r="E42" s="164"/>
      <c r="F42" s="165"/>
    </row>
    <row r="43" spans="1:7" ht="14.25" customHeight="1">
      <c r="A43" s="169" t="s">
        <v>93</v>
      </c>
      <c r="B43" s="169" t="s">
        <v>115</v>
      </c>
      <c r="C43" s="169"/>
      <c r="D43" s="1204">
        <f>40*12</f>
        <v>480</v>
      </c>
      <c r="E43" s="164"/>
      <c r="F43" s="165"/>
    </row>
    <row r="44" spans="1:7" ht="14.25" customHeight="1">
      <c r="A44" s="169" t="s">
        <v>94</v>
      </c>
      <c r="B44" s="169" t="s">
        <v>116</v>
      </c>
      <c r="C44" s="169"/>
      <c r="D44" s="1204">
        <v>200</v>
      </c>
      <c r="E44" s="164"/>
      <c r="F44" s="165"/>
    </row>
    <row r="45" spans="1:7" ht="14.25" customHeight="1">
      <c r="A45" s="169" t="s">
        <v>6</v>
      </c>
      <c r="B45" s="169" t="s">
        <v>117</v>
      </c>
      <c r="C45" s="169"/>
      <c r="D45" s="1204">
        <v>500</v>
      </c>
      <c r="E45" s="164"/>
      <c r="F45" s="165"/>
    </row>
    <row r="46" spans="1:7" ht="14.25" customHeight="1">
      <c r="A46" s="169" t="s">
        <v>118</v>
      </c>
      <c r="B46" s="169" t="s">
        <v>1171</v>
      </c>
      <c r="C46" s="169"/>
      <c r="D46" s="1204">
        <v>1500</v>
      </c>
      <c r="E46" s="164"/>
      <c r="F46" s="165"/>
    </row>
    <row r="47" spans="1:7" ht="14.25" customHeight="1">
      <c r="A47" s="169" t="s">
        <v>7</v>
      </c>
      <c r="B47" s="169" t="s">
        <v>119</v>
      </c>
      <c r="C47" s="169"/>
      <c r="D47" s="1204">
        <v>2000</v>
      </c>
      <c r="E47" s="164"/>
      <c r="F47" s="165"/>
    </row>
    <row r="48" spans="1:7" ht="14.25" customHeight="1">
      <c r="A48" s="169" t="s">
        <v>8</v>
      </c>
      <c r="B48" s="169" t="s">
        <v>120</v>
      </c>
      <c r="C48" s="169"/>
      <c r="D48" s="1204">
        <v>0</v>
      </c>
      <c r="E48" s="164"/>
      <c r="F48" s="165"/>
    </row>
    <row r="49" spans="1:6" ht="14.25" customHeight="1">
      <c r="A49" s="169" t="s">
        <v>9</v>
      </c>
      <c r="B49" s="169" t="s">
        <v>121</v>
      </c>
      <c r="C49" s="169"/>
      <c r="D49" s="1204">
        <v>1200</v>
      </c>
      <c r="E49" s="164"/>
      <c r="F49" s="165"/>
    </row>
    <row r="50" spans="1:6" ht="14.25" customHeight="1">
      <c r="A50" s="169" t="s">
        <v>10</v>
      </c>
      <c r="B50" s="169" t="s">
        <v>122</v>
      </c>
      <c r="C50" s="169"/>
      <c r="D50" s="1204">
        <v>0</v>
      </c>
      <c r="E50" s="164"/>
      <c r="F50" s="165"/>
    </row>
    <row r="51" spans="1:6" ht="14.25" customHeight="1">
      <c r="A51" s="169" t="s">
        <v>11</v>
      </c>
      <c r="B51" s="169" t="s">
        <v>123</v>
      </c>
      <c r="C51" s="169"/>
      <c r="D51" s="1204">
        <v>500</v>
      </c>
      <c r="E51" s="164"/>
      <c r="F51" s="165"/>
    </row>
    <row r="52" spans="1:6" ht="14.25" customHeight="1">
      <c r="A52" s="169" t="s">
        <v>12</v>
      </c>
      <c r="B52" s="169" t="s">
        <v>124</v>
      </c>
      <c r="C52" s="169"/>
      <c r="D52" s="1204">
        <f>30*12</f>
        <v>360</v>
      </c>
      <c r="E52" s="164"/>
      <c r="F52" s="165"/>
    </row>
    <row r="53" spans="1:6" ht="14.25" customHeight="1">
      <c r="A53" s="169" t="s">
        <v>13</v>
      </c>
      <c r="B53" s="169" t="s">
        <v>125</v>
      </c>
      <c r="C53" s="169"/>
      <c r="D53" s="1204">
        <v>2000</v>
      </c>
      <c r="E53" s="164"/>
      <c r="F53" s="165"/>
    </row>
    <row r="54" spans="1:6" ht="14.25" customHeight="1">
      <c r="A54" s="169" t="s">
        <v>14</v>
      </c>
      <c r="B54" s="169" t="s">
        <v>126</v>
      </c>
      <c r="C54" s="169"/>
      <c r="D54" s="1204">
        <f>150*12</f>
        <v>1800</v>
      </c>
      <c r="E54" s="164"/>
      <c r="F54" s="165"/>
    </row>
    <row r="55" spans="1:6" ht="14.25" customHeight="1">
      <c r="A55" s="169" t="s">
        <v>15</v>
      </c>
      <c r="B55" s="169" t="s">
        <v>127</v>
      </c>
      <c r="C55" s="169"/>
      <c r="D55" s="1204">
        <v>0</v>
      </c>
      <c r="E55" s="164"/>
      <c r="F55" s="165"/>
    </row>
    <row r="56" spans="1:6" ht="14.25" customHeight="1">
      <c r="A56" s="169" t="s">
        <v>16</v>
      </c>
      <c r="B56" s="169" t="s">
        <v>128</v>
      </c>
      <c r="C56" s="169"/>
      <c r="D56" s="1204">
        <v>500</v>
      </c>
      <c r="E56" s="164"/>
      <c r="F56" s="165"/>
    </row>
    <row r="57" spans="1:6" ht="14.25" customHeight="1">
      <c r="A57" s="169" t="s">
        <v>17</v>
      </c>
      <c r="B57" s="169" t="s">
        <v>129</v>
      </c>
      <c r="C57" s="169"/>
      <c r="D57" s="1204">
        <v>400</v>
      </c>
      <c r="E57" s="164"/>
      <c r="F57" s="165"/>
    </row>
    <row r="58" spans="1:6" ht="14.25" customHeight="1">
      <c r="A58" s="169" t="s">
        <v>18</v>
      </c>
      <c r="B58" s="169" t="s">
        <v>130</v>
      </c>
      <c r="C58" s="169"/>
      <c r="D58" s="1204">
        <v>0</v>
      </c>
      <c r="E58" s="164"/>
      <c r="F58" s="165"/>
    </row>
    <row r="59" spans="1:6" ht="14.25" customHeight="1">
      <c r="A59" s="169" t="s">
        <v>19</v>
      </c>
      <c r="B59" s="169" t="s">
        <v>131</v>
      </c>
      <c r="C59" s="169"/>
      <c r="D59" s="1204">
        <v>500</v>
      </c>
      <c r="E59" s="164"/>
      <c r="F59" s="165"/>
    </row>
    <row r="60" spans="1:6" ht="14.25" customHeight="1">
      <c r="A60" s="169" t="s">
        <v>20</v>
      </c>
      <c r="B60" s="169" t="s">
        <v>132</v>
      </c>
      <c r="C60" s="169"/>
      <c r="D60" s="1204">
        <v>0</v>
      </c>
      <c r="E60" s="164"/>
      <c r="F60" s="165"/>
    </row>
    <row r="61" spans="1:6" ht="14.25" customHeight="1">
      <c r="A61" s="169" t="s">
        <v>21</v>
      </c>
      <c r="B61" s="169" t="s">
        <v>133</v>
      </c>
      <c r="C61" s="169"/>
      <c r="D61" s="1204">
        <v>0</v>
      </c>
      <c r="E61" s="164"/>
      <c r="F61" s="165"/>
    </row>
    <row r="62" spans="1:6" ht="14.25" customHeight="1">
      <c r="A62" s="170" t="s">
        <v>22</v>
      </c>
      <c r="B62" s="170" t="s">
        <v>134</v>
      </c>
      <c r="C62" s="170"/>
      <c r="D62" s="1211">
        <v>6000</v>
      </c>
      <c r="E62" s="166"/>
      <c r="F62" s="167"/>
    </row>
    <row r="63" spans="1:6" s="135" customFormat="1" ht="14.25" customHeight="1">
      <c r="A63" s="146"/>
      <c r="B63" s="146" t="s">
        <v>135</v>
      </c>
      <c r="C63" s="146"/>
      <c r="D63" s="1219">
        <f>SUM(D40:D62)</f>
        <v>24640</v>
      </c>
      <c r="F63" s="147">
        <f>+D63/D67</f>
        <v>0.38403983187441343</v>
      </c>
    </row>
    <row r="64" spans="1:6" ht="14.25" customHeight="1">
      <c r="A64" s="156"/>
      <c r="B64" s="1220"/>
      <c r="C64" s="1221"/>
      <c r="D64" s="1222"/>
      <c r="E64" s="148"/>
      <c r="F64" s="152"/>
    </row>
    <row r="65" spans="1:6" ht="14.25" customHeight="1">
      <c r="A65" s="1223" t="s">
        <v>136</v>
      </c>
      <c r="B65" s="1223" t="s">
        <v>146</v>
      </c>
      <c r="C65" s="1224"/>
      <c r="D65" s="1219">
        <f>+D63*0.1</f>
        <v>2464</v>
      </c>
      <c r="E65" s="148"/>
      <c r="F65" s="147">
        <f>+D65/D67</f>
        <v>3.8403983187441343E-2</v>
      </c>
    </row>
    <row r="66" spans="1:6" ht="14.25" customHeight="1" thickBot="1">
      <c r="A66" s="157"/>
      <c r="B66" s="157"/>
      <c r="C66" s="1225"/>
      <c r="D66" s="1226"/>
      <c r="E66" s="158"/>
      <c r="F66" s="159"/>
    </row>
    <row r="67" spans="1:6" ht="14.25" customHeight="1" thickBot="1">
      <c r="A67" s="1227"/>
      <c r="B67" s="1227" t="s">
        <v>137</v>
      </c>
      <c r="C67" s="1228"/>
      <c r="D67" s="1229">
        <f>+D65+D63+D37</f>
        <v>64160.011423131844</v>
      </c>
      <c r="E67" s="160"/>
      <c r="F67" s="161">
        <v>1</v>
      </c>
    </row>
    <row r="68" spans="1:6" ht="16.5" customHeight="1">
      <c r="C68" s="1216"/>
      <c r="D68" s="1216"/>
      <c r="E68" s="129"/>
      <c r="F68" s="153"/>
    </row>
    <row r="69" spans="1:6" ht="16.5" customHeight="1">
      <c r="C69" s="1216"/>
      <c r="D69" s="1216"/>
      <c r="E69" s="129"/>
      <c r="F69" s="153"/>
    </row>
    <row r="70" spans="1:6" ht="13.5" customHeight="1">
      <c r="A70" s="142" t="s">
        <v>138</v>
      </c>
      <c r="B70" s="142" t="s">
        <v>139</v>
      </c>
      <c r="C70" s="142"/>
      <c r="D70" s="142"/>
      <c r="E70" s="132"/>
      <c r="F70" s="143"/>
    </row>
    <row r="71" spans="1:6" ht="13.5" customHeight="1">
      <c r="E71" s="129"/>
      <c r="F71" s="153"/>
    </row>
    <row r="72" spans="1:6" s="135" customFormat="1" ht="13.5" customHeight="1">
      <c r="A72" s="1223" t="s">
        <v>106</v>
      </c>
      <c r="B72" s="1223" t="s">
        <v>909</v>
      </c>
      <c r="C72" s="1230" t="s">
        <v>107</v>
      </c>
      <c r="D72" s="1230" t="s">
        <v>108</v>
      </c>
      <c r="E72" s="1203"/>
      <c r="F72" s="1203"/>
    </row>
    <row r="73" spans="1:6" ht="13.5" customHeight="1">
      <c r="A73" s="168"/>
      <c r="B73" s="168" t="s">
        <v>906</v>
      </c>
      <c r="C73" s="1185">
        <f>+E23*F9*F7</f>
        <v>107.5</v>
      </c>
      <c r="D73" s="1185">
        <f>+C73*12</f>
        <v>1290</v>
      </c>
      <c r="E73" s="168"/>
      <c r="F73" s="748">
        <f>+D73/D74</f>
        <v>0.75</v>
      </c>
    </row>
    <row r="74" spans="1:6" ht="13.5" customHeight="1">
      <c r="B74" s="129" t="s">
        <v>910</v>
      </c>
      <c r="C74" s="1231">
        <f>+F6*E23*F8</f>
        <v>143.33333333333334</v>
      </c>
      <c r="D74" s="1231">
        <f>+C74*12</f>
        <v>1720</v>
      </c>
      <c r="E74" s="129"/>
      <c r="F74" s="153"/>
    </row>
    <row r="75" spans="1:6" ht="13.5" customHeight="1">
      <c r="A75" s="137"/>
      <c r="B75" s="137"/>
      <c r="C75" s="1195"/>
      <c r="D75" s="1232"/>
      <c r="E75" s="137"/>
      <c r="F75" s="155"/>
    </row>
    <row r="76" spans="1:6" ht="13.5" customHeight="1">
      <c r="A76" s="156"/>
      <c r="B76" s="146" t="s">
        <v>140</v>
      </c>
      <c r="C76" s="1233"/>
      <c r="D76" s="1217">
        <f>+D73</f>
        <v>1290</v>
      </c>
      <c r="E76" s="156"/>
      <c r="F76" s="147"/>
    </row>
    <row r="77" spans="1:6" ht="13.5" customHeight="1">
      <c r="C77" s="1216"/>
      <c r="D77" s="1216"/>
      <c r="E77" s="140"/>
      <c r="F77" s="154"/>
    </row>
    <row r="78" spans="1:6" ht="13.5" customHeight="1">
      <c r="C78" s="1216"/>
      <c r="D78" s="1216"/>
      <c r="E78" s="140"/>
      <c r="F78" s="154"/>
    </row>
    <row r="79" spans="1:6" ht="13.5" customHeight="1">
      <c r="A79" s="146" t="s">
        <v>112</v>
      </c>
      <c r="B79" s="146" t="s">
        <v>141</v>
      </c>
      <c r="C79" s="1233"/>
      <c r="D79" s="171"/>
      <c r="E79" s="171"/>
      <c r="F79" s="1234">
        <f>+D67/D76</f>
        <v>49.736442963668097</v>
      </c>
    </row>
    <row r="80" spans="1:6" ht="13.5" customHeight="1">
      <c r="C80" s="1216"/>
      <c r="D80" s="140"/>
      <c r="E80" s="140"/>
      <c r="F80" s="1216"/>
    </row>
    <row r="81" spans="1:6" ht="13.5" customHeight="1">
      <c r="C81" s="1216"/>
      <c r="D81" s="140"/>
      <c r="E81" s="140"/>
      <c r="F81" s="1216"/>
    </row>
    <row r="82" spans="1:6" ht="13.5" customHeight="1">
      <c r="A82" s="1223" t="s">
        <v>136</v>
      </c>
      <c r="B82" s="1223" t="s">
        <v>142</v>
      </c>
      <c r="C82" s="1224"/>
      <c r="D82" s="145"/>
      <c r="E82" s="145"/>
      <c r="F82" s="1224"/>
    </row>
    <row r="83" spans="1:6" ht="13.5" customHeight="1">
      <c r="A83" s="146"/>
      <c r="B83" s="172" t="s">
        <v>143</v>
      </c>
      <c r="C83" s="1233"/>
      <c r="D83" s="173"/>
      <c r="E83" s="173"/>
      <c r="F83" s="1235">
        <f>+F79/E29</f>
        <v>2.627676983696047</v>
      </c>
    </row>
    <row r="84" spans="1:6">
      <c r="A84" s="146"/>
      <c r="B84" s="172" t="s">
        <v>147</v>
      </c>
      <c r="C84" s="146"/>
      <c r="D84" s="174"/>
      <c r="E84" s="174"/>
      <c r="F84" s="1235">
        <f>+F79/E30</f>
        <v>4.193464798897506</v>
      </c>
    </row>
  </sheetData>
  <pageMargins left="0.7" right="0.7" top="0.75" bottom="0.75" header="0.3" footer="0.3"/>
  <pageSetup paperSize="9" orientation="portrait" horizontalDpi="1200" verticalDpi="1200" r:id="rId1"/>
  <ignoredErrors>
    <ignoredError sqref="C29:F29 C33:F39 C31 E31:F31 E22:E23 C14:D14 F10 D12 D13 D30:F30 D32:F32 C63:F84 C42 E42:F42 C43 E43:F43 C41 E41:F41 C44 E44:F44 C45 E45:F45 C46 E46:F46 C47 E47:F47 C48 E48:F48 C49 E49:F49 C50 E50:F50 C51 E51:F51 C52 E52:F52 C53 E53:F53 C54 E54:F54 C55 E55:F55 C56 E56:F56 C57 E57:F57 C58 E58:F58 C59 E59:F59 C60 E60:F60 C61 E61:F61 C62 E62:F62 C40 E40:F40" unlockedFormula="1"/>
    <ignoredError sqref="D31" formula="1"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77FE-92A5-46EF-8ED9-1CC8AC536F93}">
  <sheetPr codeName="Sheet7"/>
  <dimension ref="A1:AA181"/>
  <sheetViews>
    <sheetView showGridLines="0" topLeftCell="A133" workbookViewId="0">
      <selection activeCell="C11" sqref="C11"/>
    </sheetView>
    <sheetView topLeftCell="A115" workbookViewId="1">
      <selection activeCell="B146" sqref="B146"/>
    </sheetView>
  </sheetViews>
  <sheetFormatPr defaultRowHeight="12.75"/>
  <cols>
    <col min="2" max="2" width="32.28515625" customWidth="1"/>
    <col min="3" max="4" width="11.7109375" customWidth="1"/>
    <col min="5" max="5" width="17.42578125" customWidth="1"/>
    <col min="6" max="7" width="11.7109375" customWidth="1"/>
    <col min="8" max="8" width="15.5703125" customWidth="1"/>
    <col min="9" max="9" width="11.7109375" customWidth="1"/>
    <col min="10" max="10" width="18.5703125" customWidth="1"/>
    <col min="11" max="11" width="15.42578125" customWidth="1"/>
    <col min="12" max="12" width="11.7109375" customWidth="1"/>
    <col min="14" max="14" width="28.85546875" customWidth="1"/>
    <col min="15" max="20" width="12" customWidth="1"/>
    <col min="21" max="21" width="10.85546875" style="469" bestFit="1" customWidth="1"/>
    <col min="22" max="22" width="13.7109375" style="469" customWidth="1"/>
    <col min="23" max="23" width="13.140625" style="469" customWidth="1"/>
    <col min="24" max="24" width="16" style="469" customWidth="1"/>
    <col min="25" max="27" width="9.140625" style="469"/>
  </cols>
  <sheetData>
    <row r="1" spans="1:9" s="3" customFormat="1" ht="26.25">
      <c r="B1" s="711" t="s">
        <v>778</v>
      </c>
      <c r="C1" s="6"/>
      <c r="D1" s="6"/>
      <c r="E1" s="6"/>
      <c r="F1" s="6"/>
      <c r="G1" s="6"/>
      <c r="H1" s="6"/>
      <c r="I1" s="506"/>
    </row>
    <row r="2" spans="1:9" ht="13.5" thickBot="1"/>
    <row r="3" spans="1:9" s="73" customFormat="1" ht="18.75">
      <c r="A3" s="786" t="s">
        <v>928</v>
      </c>
      <c r="B3" s="786"/>
      <c r="C3" s="786"/>
      <c r="D3" s="786"/>
      <c r="E3" s="786"/>
      <c r="F3" s="786"/>
      <c r="G3" s="786"/>
      <c r="H3" s="786"/>
      <c r="I3" s="786"/>
    </row>
    <row r="4" spans="1:9" s="73" customFormat="1" ht="18.75">
      <c r="A4" s="834"/>
      <c r="B4" s="834"/>
      <c r="C4" s="834"/>
      <c r="D4" s="834"/>
      <c r="E4" s="834"/>
      <c r="F4" s="834"/>
      <c r="G4" s="834"/>
      <c r="H4" s="834"/>
      <c r="I4" s="834"/>
    </row>
    <row r="5" spans="1:9" s="73" customFormat="1">
      <c r="A5" s="76"/>
      <c r="B5" s="530" t="s">
        <v>786</v>
      </c>
      <c r="C5" s="612">
        <f>'OSNOVNI PODATKI'!H11</f>
        <v>2</v>
      </c>
      <c r="D5" s="530" t="str">
        <f>IF(C5=1,'OSNOVNI PODATKI'!B11,'OSNOVNI PODATKI'!B12)</f>
        <v>ENA STAVBA ALI VEČ RAZLIČNIH STAVB (PRI IZRAČUNU POTREBNIH NU SE VSAKA STAVBA IZRAČUNAVA LOČENO)</v>
      </c>
      <c r="E5" s="489"/>
      <c r="F5" s="489"/>
      <c r="G5" s="202"/>
      <c r="H5" s="202"/>
      <c r="I5" s="202"/>
    </row>
    <row r="6" spans="1:9" s="73" customFormat="1">
      <c r="A6" s="76"/>
      <c r="B6" s="530" t="s">
        <v>787</v>
      </c>
      <c r="C6" s="612">
        <f>'OSNOVNI PODATKI'!E308</f>
        <v>0</v>
      </c>
      <c r="D6" s="530"/>
      <c r="E6" s="489"/>
      <c r="F6" s="489"/>
      <c r="G6" s="202"/>
      <c r="H6" s="202"/>
      <c r="I6" s="202"/>
    </row>
    <row r="7" spans="1:9" s="73" customFormat="1">
      <c r="A7" s="76"/>
      <c r="D7" s="203"/>
      <c r="E7" s="203"/>
      <c r="F7" s="203"/>
    </row>
    <row r="8" spans="1:9" s="73" customFormat="1">
      <c r="A8" s="76"/>
      <c r="B8" s="203" t="str">
        <f>'OSNOVNI PODATKI'!A15</f>
        <v>STAVBA 1 / DEL 1</v>
      </c>
      <c r="C8" s="533">
        <f>'OSNOVNI PODATKI'!E15</f>
        <v>0</v>
      </c>
      <c r="D8" s="203"/>
      <c r="E8" s="203"/>
      <c r="F8" s="203"/>
    </row>
    <row r="9" spans="1:9" s="73" customFormat="1">
      <c r="A9" s="76"/>
      <c r="B9" s="198" t="s">
        <v>617</v>
      </c>
      <c r="C9" s="81" t="str">
        <f>'OSNOVNI PODATKI'!E16</f>
        <v>5. Nepodkletene eno in dvostanovanjske stavbe, nižji standard</v>
      </c>
      <c r="D9" s="489"/>
      <c r="E9" s="489"/>
      <c r="F9" s="489"/>
      <c r="G9" s="489"/>
      <c r="H9" s="489"/>
      <c r="I9" s="489"/>
    </row>
    <row r="10" spans="1:9" s="73" customFormat="1">
      <c r="A10" s="76"/>
      <c r="B10" s="198" t="s">
        <v>788</v>
      </c>
      <c r="C10" s="81">
        <f>'OSNOVNI PODATKI'!E17</f>
        <v>0</v>
      </c>
      <c r="D10" s="489"/>
      <c r="E10" s="489"/>
      <c r="F10" s="489"/>
      <c r="G10" s="489"/>
      <c r="H10" s="489"/>
      <c r="I10" s="489"/>
    </row>
    <row r="11" spans="1:9" s="73" customFormat="1">
      <c r="A11" s="76"/>
      <c r="B11" s="198" t="s">
        <v>789</v>
      </c>
      <c r="C11" s="81">
        <f>IF($C$5=1,$C$6,C10)</f>
        <v>0</v>
      </c>
      <c r="D11" s="489"/>
      <c r="E11" s="489"/>
      <c r="F11" s="489"/>
      <c r="G11" s="489"/>
      <c r="H11" s="489"/>
      <c r="I11" s="489"/>
    </row>
    <row r="12" spans="1:9" s="73" customFormat="1">
      <c r="A12" s="76"/>
      <c r="B12" s="530" t="s">
        <v>729</v>
      </c>
      <c r="C12" s="529">
        <f>'OSNOVNI PODATKI'!E27</f>
        <v>-105.40000000000009</v>
      </c>
      <c r="D12" s="489"/>
      <c r="E12" s="489"/>
      <c r="F12" s="489"/>
      <c r="G12" s="489"/>
      <c r="H12" s="489"/>
      <c r="I12" s="489"/>
    </row>
    <row r="13" spans="1:9" s="73" customFormat="1">
      <c r="A13" s="76"/>
      <c r="B13" s="198" t="s">
        <v>100</v>
      </c>
      <c r="C13" s="81" t="str">
        <f>'OSNOVNI PODATKI'!E18</f>
        <v>Cenovni razred III</v>
      </c>
      <c r="D13" s="489"/>
      <c r="E13" s="489"/>
      <c r="F13" s="489"/>
      <c r="G13" s="489"/>
      <c r="H13" s="489"/>
      <c r="I13" s="489"/>
    </row>
    <row r="14" spans="1:9" s="73" customFormat="1">
      <c r="A14" s="76"/>
      <c r="B14" s="522" t="s">
        <v>70</v>
      </c>
      <c r="C14" s="618">
        <f>IFERROR(0.005*POWER(IF((C21+C22+C23)&lt;25%*C20,C11*(1000+C12),(C20-37.5%*C20+50%)*C11*(1000+C12)),0.8868)/C11,0)</f>
        <v>0</v>
      </c>
      <c r="D14" s="619" t="s">
        <v>790</v>
      </c>
      <c r="E14" s="618"/>
      <c r="F14" s="203"/>
    </row>
    <row r="15" spans="1:9" s="73" customFormat="1">
      <c r="A15" s="76"/>
      <c r="B15" s="525" t="s">
        <v>71</v>
      </c>
      <c r="C15" s="620">
        <f>IFERROR(0.0058*POWER(IF((C21+C22+C23)&lt;25%*C20,C11*(1000+C12),(C20-37.5%*C20+50%)*C11*(1000+C12)),0.8868)/C11,0)</f>
        <v>0</v>
      </c>
      <c r="D15" s="621" t="s">
        <v>790</v>
      </c>
      <c r="E15" s="620"/>
      <c r="F15" s="203"/>
    </row>
    <row r="16" spans="1:9" s="73" customFormat="1">
      <c r="A16" s="76"/>
      <c r="B16" s="525" t="s">
        <v>72</v>
      </c>
      <c r="C16" s="620">
        <f>IFERROR(0.0069*POWER(IF((C21+C22+C23)&lt;25%*C20,C11*(1000+C12),(C20-37.5%*C20+50%)*C11*(1000+C12)),0.8868)/C11,0)</f>
        <v>0</v>
      </c>
      <c r="D16" s="621" t="s">
        <v>790</v>
      </c>
      <c r="E16" s="620"/>
      <c r="F16" s="203"/>
    </row>
    <row r="17" spans="1:9" s="73" customFormat="1">
      <c r="A17" s="76"/>
      <c r="B17" s="525" t="s">
        <v>73</v>
      </c>
      <c r="C17" s="620">
        <f>IFERROR(0.0086*POWER(IF((C21+C22+C23)&lt;25%*C20,C11*(1000+C12),(C20-37.5%*C20+50%)*C11*(1000+C12)),0.8868)/C11,0)</f>
        <v>0</v>
      </c>
      <c r="D17" s="621" t="s">
        <v>790</v>
      </c>
      <c r="E17" s="620"/>
      <c r="F17" s="203"/>
    </row>
    <row r="18" spans="1:9" s="73" customFormat="1">
      <c r="A18" s="76"/>
      <c r="B18" s="525" t="s">
        <v>74</v>
      </c>
      <c r="C18" s="620">
        <f>IFERROR(0.0097*POWER(IF((C21+C22+C23)&lt;25%*C20,C11*(1000+C12),(C20-37.5%*C20+50%)*C11*(1000+C12)),0.8868)/C11,0)</f>
        <v>0</v>
      </c>
      <c r="D18" s="621" t="s">
        <v>790</v>
      </c>
      <c r="E18" s="620"/>
      <c r="F18" s="203"/>
    </row>
    <row r="19" spans="1:9" s="73" customFormat="1">
      <c r="A19" s="76"/>
      <c r="B19" s="527" t="s">
        <v>728</v>
      </c>
      <c r="C19" s="622">
        <f>IFERROR(0.0105*POWER(IF((C21+C22+C23)&lt;25%*C20,C11*(1000+C12),(C20-37.5%*C20+50%)*C11*(1000+C12)),0.8868)/C11,0)</f>
        <v>0</v>
      </c>
      <c r="D19" s="623" t="s">
        <v>790</v>
      </c>
      <c r="E19" s="622"/>
      <c r="F19" s="203"/>
    </row>
    <row r="20" spans="1:9" s="73" customFormat="1">
      <c r="A20" s="76"/>
      <c r="B20" s="525" t="str">
        <f>'OSNOVNI PODATKI'!B59</f>
        <v>GRADBENO OBRTNIŠKA DELA (GO)</v>
      </c>
      <c r="C20" s="625">
        <f>'OSNOVNI PODATKI'!D33</f>
        <v>0.81699999999999995</v>
      </c>
      <c r="D20" s="623"/>
      <c r="E20" s="831">
        <f>IFERROR(C20*C$11*(1000+C$12),0)</f>
        <v>0</v>
      </c>
      <c r="F20" s="203"/>
    </row>
    <row r="21" spans="1:9" s="73" customFormat="1">
      <c r="A21" s="76"/>
      <c r="B21" s="525" t="str">
        <f>'OSNOVNI PODATKI'!B60</f>
        <v>ELEKTRIČNE INŠTALACIJE (EI)</v>
      </c>
      <c r="C21" s="625">
        <f>'OSNOVNI PODATKI'!D34</f>
        <v>3.4554399999999999E-2</v>
      </c>
      <c r="D21" s="623"/>
      <c r="E21" s="831">
        <f>IFERROR(C21*C$11*(1000+C$12),0)</f>
        <v>0</v>
      </c>
      <c r="F21" s="203"/>
    </row>
    <row r="22" spans="1:9" s="73" customFormat="1">
      <c r="A22" s="76"/>
      <c r="B22" s="525" t="str">
        <f>'OSNOVNI PODATKI'!B61</f>
        <v>STROJNE INŠTALACIJE (SI)</v>
      </c>
      <c r="C22" s="625">
        <f>'OSNOVNI PODATKI'!D35</f>
        <v>0.14823000000000003</v>
      </c>
      <c r="D22" s="623"/>
      <c r="E22" s="831">
        <f>IFERROR(C22*C$11*(1000+C$12),0)</f>
        <v>0</v>
      </c>
      <c r="F22" s="203"/>
    </row>
    <row r="23" spans="1:9" s="73" customFormat="1">
      <c r="A23" s="76"/>
      <c r="B23" s="525" t="str">
        <f>'OSNOVNI PODATKI'!B62</f>
        <v>TEHNOLOGIJA (TH)</v>
      </c>
      <c r="C23" s="625">
        <f>'OSNOVNI PODATKI'!D36</f>
        <v>0</v>
      </c>
      <c r="D23" s="623"/>
      <c r="E23" s="831">
        <f>IFERROR(C23*C$11*(1000+C$12),0)</f>
        <v>0</v>
      </c>
      <c r="F23" s="203"/>
    </row>
    <row r="24" spans="1:9" s="73" customFormat="1">
      <c r="A24" s="76"/>
      <c r="C24" s="629"/>
      <c r="D24" s="489"/>
      <c r="E24" s="630"/>
      <c r="F24" s="489"/>
      <c r="G24" s="489"/>
      <c r="H24" s="489"/>
      <c r="I24" s="489"/>
    </row>
    <row r="25" spans="1:9" s="73" customFormat="1" ht="14.25">
      <c r="B25" s="81" t="s">
        <v>730</v>
      </c>
      <c r="C25" s="507">
        <f>IFERROR(LOOKUP(C13,B14:C18),0)</f>
        <v>0</v>
      </c>
      <c r="D25" s="378" t="s">
        <v>721</v>
      </c>
      <c r="E25" s="489"/>
      <c r="F25" s="489"/>
      <c r="G25" s="489"/>
      <c r="H25" s="489"/>
      <c r="I25" s="489"/>
    </row>
    <row r="26" spans="1:9" s="73" customFormat="1" ht="14.25">
      <c r="B26" s="81" t="s">
        <v>731</v>
      </c>
      <c r="C26" s="507" cm="1">
        <f t="array" ref="C26">IFERROR(INDEX(C14:C19,MATCH(C13,B14:B18)+1),0)</f>
        <v>0</v>
      </c>
      <c r="D26" s="378" t="s">
        <v>721</v>
      </c>
      <c r="E26" s="489"/>
      <c r="F26" s="489"/>
      <c r="G26" s="489"/>
      <c r="H26" s="489"/>
      <c r="I26" s="489"/>
    </row>
    <row r="27" spans="1:9" s="73" customFormat="1">
      <c r="B27" s="81" t="s">
        <v>618</v>
      </c>
      <c r="C27" s="531">
        <f>IFERROR(C25*C10,0)</f>
        <v>0</v>
      </c>
      <c r="D27" s="378" t="s">
        <v>723</v>
      </c>
      <c r="E27" s="489"/>
      <c r="F27" s="489"/>
      <c r="G27" s="489"/>
      <c r="H27" s="489"/>
      <c r="I27" s="489"/>
    </row>
    <row r="28" spans="1:9" s="73" customFormat="1">
      <c r="B28" s="81" t="s">
        <v>619</v>
      </c>
      <c r="C28" s="531">
        <f>IFERROR(C26*C10,0)</f>
        <v>0</v>
      </c>
      <c r="D28" s="378" t="s">
        <v>723</v>
      </c>
      <c r="E28" s="489"/>
      <c r="F28" s="489"/>
      <c r="G28" s="489"/>
      <c r="H28" s="489"/>
      <c r="I28" s="489"/>
    </row>
    <row r="29" spans="1:9" s="73" customFormat="1">
      <c r="A29" s="76"/>
      <c r="C29" s="291"/>
      <c r="D29" s="203"/>
      <c r="E29" s="203"/>
      <c r="F29" s="203"/>
    </row>
    <row r="30" spans="1:9" s="73" customFormat="1">
      <c r="A30" s="76"/>
      <c r="B30" s="203" t="str">
        <f>'OSNOVNI PODATKI'!A41</f>
        <v>STAVBA 2 / DEL 2</v>
      </c>
      <c r="C30" s="533">
        <f>'OSNOVNI PODATKI'!E41</f>
        <v>0</v>
      </c>
      <c r="D30" s="203"/>
      <c r="E30" s="203"/>
      <c r="F30" s="203"/>
    </row>
    <row r="31" spans="1:9" s="73" customFormat="1">
      <c r="A31" s="76"/>
      <c r="B31" s="198" t="s">
        <v>617</v>
      </c>
      <c r="C31" s="81" t="str">
        <f>'OSNOVNI PODATKI'!E42</f>
        <v>6. Nepodkletene eno in dvostanovanjske stavbe, srednji standard</v>
      </c>
      <c r="D31" s="489"/>
      <c r="E31" s="489"/>
      <c r="F31" s="489"/>
      <c r="G31" s="489"/>
      <c r="H31" s="489"/>
      <c r="I31" s="489"/>
    </row>
    <row r="32" spans="1:9" s="73" customFormat="1">
      <c r="A32" s="76"/>
      <c r="B32" s="198" t="s">
        <v>788</v>
      </c>
      <c r="C32" s="81">
        <f>'OSNOVNI PODATKI'!E43</f>
        <v>0</v>
      </c>
      <c r="D32" s="489"/>
      <c r="E32" s="489"/>
      <c r="F32" s="489"/>
      <c r="G32" s="489"/>
      <c r="H32" s="489"/>
      <c r="I32" s="489"/>
    </row>
    <row r="33" spans="1:9" s="73" customFormat="1">
      <c r="A33" s="76"/>
      <c r="B33" s="198" t="s">
        <v>789</v>
      </c>
      <c r="C33" s="81">
        <f>IF($C$5=1,$C$6,C32)</f>
        <v>0</v>
      </c>
      <c r="D33" s="489"/>
      <c r="E33" s="489"/>
      <c r="F33" s="489"/>
      <c r="G33" s="489"/>
      <c r="H33" s="489"/>
      <c r="I33" s="489"/>
    </row>
    <row r="34" spans="1:9" s="73" customFormat="1">
      <c r="A34" s="76"/>
      <c r="B34" s="530" t="s">
        <v>729</v>
      </c>
      <c r="C34" s="529">
        <f>'OSNOVNI PODATKI'!E53</f>
        <v>230.59999999999991</v>
      </c>
      <c r="D34" s="489"/>
      <c r="E34" s="489"/>
      <c r="F34" s="489"/>
      <c r="G34" s="489"/>
      <c r="H34" s="489"/>
      <c r="I34" s="489"/>
    </row>
    <row r="35" spans="1:9" s="73" customFormat="1">
      <c r="A35" s="76"/>
      <c r="B35" s="198" t="s">
        <v>100</v>
      </c>
      <c r="C35" s="81" t="str">
        <f>'OSNOVNI PODATKI'!E44</f>
        <v>Cenovni razred III</v>
      </c>
      <c r="D35" s="489"/>
      <c r="E35" s="489"/>
      <c r="F35" s="489"/>
      <c r="G35" s="489"/>
      <c r="H35" s="489"/>
      <c r="I35" s="489"/>
    </row>
    <row r="36" spans="1:9" s="73" customFormat="1">
      <c r="A36" s="76"/>
      <c r="B36" s="522" t="s">
        <v>70</v>
      </c>
      <c r="C36" s="618">
        <f>IFERROR(0.005*POWER(IF((C43+C44+C45)&lt;25%*C42,C33*(1000+C34),(C42-37.5%*C42+50%)*C33*(1000+C34)),0.8868)/C33,0)</f>
        <v>0</v>
      </c>
      <c r="D36" s="524" t="s">
        <v>722</v>
      </c>
      <c r="E36" s="203"/>
      <c r="F36" s="203"/>
    </row>
    <row r="37" spans="1:9" s="73" customFormat="1">
      <c r="A37" s="76"/>
      <c r="B37" s="525" t="s">
        <v>71</v>
      </c>
      <c r="C37" s="620">
        <f>IFERROR(0.0058*POWER(IF((C43+C44+C45)&lt;25%*C42,C33*(1000+C34),(C42-37.5%*C42+50%)*C33*(1000+C34)),0.8868)/C33,0)</f>
        <v>0</v>
      </c>
      <c r="D37" s="488" t="s">
        <v>722</v>
      </c>
      <c r="E37" s="203"/>
      <c r="F37" s="203"/>
    </row>
    <row r="38" spans="1:9" s="73" customFormat="1">
      <c r="A38" s="76"/>
      <c r="B38" s="525" t="s">
        <v>72</v>
      </c>
      <c r="C38" s="620">
        <f>IFERROR(0.0069*POWER(IF((C43+C44+C45)&lt;25%*C42,C33*(1000+C34),(C42-37.5%*C42+50%)*C33*(1000+C34)),0.8868)/C33,0)</f>
        <v>0</v>
      </c>
      <c r="D38" s="488" t="s">
        <v>722</v>
      </c>
      <c r="E38" s="203"/>
      <c r="F38" s="203"/>
    </row>
    <row r="39" spans="1:9" s="73" customFormat="1">
      <c r="A39" s="76"/>
      <c r="B39" s="525" t="s">
        <v>73</v>
      </c>
      <c r="C39" s="620">
        <f>IFERROR(0.0086*POWER(IF((C43+C44+C45)&lt;25%*C42,C33*(1000+C34),(C42-37.5%*C42+50%)*C33*(1000+C34)),0.8868)/C33,0)</f>
        <v>0</v>
      </c>
      <c r="D39" s="488" t="s">
        <v>722</v>
      </c>
      <c r="E39" s="203"/>
      <c r="F39" s="203"/>
    </row>
    <row r="40" spans="1:9" s="73" customFormat="1">
      <c r="A40" s="76"/>
      <c r="B40" s="525" t="s">
        <v>74</v>
      </c>
      <c r="C40" s="620">
        <f>IFERROR(0.0097*POWER(IF((C43+C44+C45)&lt;25%*C42,C33*(1000+C34),(C42-37.5%*C42+50%)*C33*(1000+C34)),0.8868)/C33,0)</f>
        <v>0</v>
      </c>
      <c r="D40" s="488" t="s">
        <v>722</v>
      </c>
      <c r="E40" s="203"/>
      <c r="F40" s="203"/>
    </row>
    <row r="41" spans="1:9" s="73" customFormat="1">
      <c r="A41" s="76"/>
      <c r="B41" s="527" t="s">
        <v>728</v>
      </c>
      <c r="C41" s="622">
        <f>IFERROR(0.0105*POWER(IF((C43+C44+C45)&lt;25%*C42,C33*(1000+C34),(C42-37.5%*C42+50%)*C33*(1000+C34)),0.8868)/C33,0)</f>
        <v>0</v>
      </c>
      <c r="D41" s="486" t="s">
        <v>722</v>
      </c>
      <c r="E41" s="203"/>
      <c r="F41" s="203"/>
    </row>
    <row r="42" spans="1:9" s="73" customFormat="1">
      <c r="A42" s="76"/>
      <c r="B42" s="525" t="str">
        <f>'OSNOVNI PODATKI'!B59</f>
        <v>GRADBENO OBRTNIŠKA DELA (GO)</v>
      </c>
      <c r="C42" s="625">
        <f>'OSNOVNI PODATKI'!D59</f>
        <v>0.80800000000000005</v>
      </c>
      <c r="D42" s="623"/>
      <c r="E42" s="831">
        <f>IFERROR(C42*C$33*(1000+C$34),0)</f>
        <v>0</v>
      </c>
      <c r="F42" s="203"/>
    </row>
    <row r="43" spans="1:9" s="73" customFormat="1">
      <c r="A43" s="76"/>
      <c r="B43" s="525" t="str">
        <f>'OSNOVNI PODATKI'!B60</f>
        <v>ELEKTRIČNE INŠTALACIJE (EI)</v>
      </c>
      <c r="C43" s="625">
        <f>'OSNOVNI PODATKI'!D60</f>
        <v>4.4544000000000007E-2</v>
      </c>
      <c r="D43" s="623"/>
      <c r="E43" s="831">
        <f>IFERROR(C43*C$33*(1000+C$34),0)</f>
        <v>0</v>
      </c>
      <c r="F43" s="203"/>
    </row>
    <row r="44" spans="1:9" s="73" customFormat="1">
      <c r="A44" s="76"/>
      <c r="B44" s="525" t="str">
        <f>'OSNOVNI PODATKI'!B61</f>
        <v>STROJNE INŠTALACIJE (SI)</v>
      </c>
      <c r="C44" s="625">
        <f>'OSNOVNI PODATKI'!D61</f>
        <v>0.14764799999999997</v>
      </c>
      <c r="D44" s="623"/>
      <c r="E44" s="831">
        <f>IFERROR(C44*C$33*(1000+C$34),0)</f>
        <v>0</v>
      </c>
      <c r="F44" s="203"/>
    </row>
    <row r="45" spans="1:9" s="73" customFormat="1">
      <c r="A45" s="76"/>
      <c r="B45" s="525" t="str">
        <f>'OSNOVNI PODATKI'!B62</f>
        <v>TEHNOLOGIJA (TH)</v>
      </c>
      <c r="C45" s="625">
        <f>'OSNOVNI PODATKI'!D62</f>
        <v>0</v>
      </c>
      <c r="D45" s="623"/>
      <c r="E45" s="831">
        <f>IFERROR(C45*C$33*(1000+C$34),0)</f>
        <v>0</v>
      </c>
      <c r="F45" s="203"/>
    </row>
    <row r="46" spans="1:9" s="73" customFormat="1">
      <c r="A46" s="76"/>
      <c r="C46" s="81"/>
      <c r="D46" s="489"/>
      <c r="E46" s="489"/>
      <c r="F46" s="489"/>
      <c r="G46" s="489"/>
      <c r="H46" s="489"/>
      <c r="I46" s="489"/>
    </row>
    <row r="47" spans="1:9" s="73" customFormat="1" ht="14.25">
      <c r="B47" s="81" t="s">
        <v>730</v>
      </c>
      <c r="C47" s="507">
        <f>IFERROR(LOOKUP(C35,B36:C40),0)</f>
        <v>0</v>
      </c>
      <c r="D47" s="378" t="s">
        <v>721</v>
      </c>
      <c r="E47" s="489"/>
      <c r="F47" s="489"/>
      <c r="G47" s="489"/>
      <c r="H47" s="489"/>
      <c r="I47" s="489"/>
    </row>
    <row r="48" spans="1:9" s="73" customFormat="1" ht="14.25">
      <c r="B48" s="81" t="s">
        <v>731</v>
      </c>
      <c r="C48" s="507" cm="1">
        <f t="array" ref="C48">IFERROR(INDEX(C36:C41,MATCH(C35,B36:B40)+1),0)</f>
        <v>0</v>
      </c>
      <c r="D48" s="378" t="s">
        <v>721</v>
      </c>
      <c r="E48" s="489"/>
      <c r="F48" s="489"/>
      <c r="G48" s="489"/>
      <c r="H48" s="489"/>
      <c r="I48" s="489"/>
    </row>
    <row r="49" spans="1:9" s="73" customFormat="1">
      <c r="B49" s="81" t="s">
        <v>618</v>
      </c>
      <c r="C49" s="531">
        <f>IFERROR(C47*C32,0)</f>
        <v>0</v>
      </c>
      <c r="D49" s="378" t="s">
        <v>723</v>
      </c>
      <c r="E49" s="489"/>
      <c r="F49" s="489"/>
      <c r="G49" s="489"/>
      <c r="H49" s="489"/>
      <c r="I49" s="489"/>
    </row>
    <row r="50" spans="1:9" s="73" customFormat="1">
      <c r="B50" s="81" t="s">
        <v>619</v>
      </c>
      <c r="C50" s="531">
        <f>IFERROR(C48*C32,0)</f>
        <v>0</v>
      </c>
      <c r="D50" s="378" t="s">
        <v>723</v>
      </c>
      <c r="E50" s="489"/>
      <c r="F50" s="489"/>
      <c r="G50" s="489"/>
      <c r="H50" s="489"/>
      <c r="I50" s="489"/>
    </row>
    <row r="51" spans="1:9" s="73" customFormat="1">
      <c r="A51" s="76"/>
      <c r="C51" s="203"/>
      <c r="D51" s="203"/>
      <c r="E51" s="203"/>
      <c r="F51" s="203"/>
    </row>
    <row r="52" spans="1:9" s="73" customFormat="1">
      <c r="A52" s="76"/>
      <c r="B52" s="203" t="str">
        <f>'OSNOVNI PODATKI'!A67</f>
        <v>STAVBA 3 / DEL 3</v>
      </c>
      <c r="C52" s="533">
        <f>'OSNOVNI PODATKI'!E67</f>
        <v>0</v>
      </c>
      <c r="D52" s="203"/>
      <c r="E52" s="203"/>
      <c r="F52" s="203"/>
    </row>
    <row r="53" spans="1:9" s="73" customFormat="1">
      <c r="A53" s="76"/>
      <c r="B53" s="198" t="s">
        <v>617</v>
      </c>
      <c r="C53" s="81" t="str">
        <f>'OSNOVNI PODATKI'!E68</f>
        <v>47. Hoteli, moteli</v>
      </c>
      <c r="D53" s="489"/>
      <c r="E53" s="489"/>
      <c r="F53" s="489"/>
      <c r="G53" s="489"/>
      <c r="H53" s="489"/>
      <c r="I53" s="489"/>
    </row>
    <row r="54" spans="1:9" s="73" customFormat="1">
      <c r="A54" s="76"/>
      <c r="B54" s="198" t="s">
        <v>788</v>
      </c>
      <c r="C54" s="81">
        <f>'OSNOVNI PODATKI'!E69</f>
        <v>0</v>
      </c>
      <c r="D54" s="489"/>
      <c r="E54" s="489"/>
      <c r="F54" s="489"/>
      <c r="G54" s="489"/>
      <c r="H54" s="489"/>
      <c r="I54" s="489"/>
    </row>
    <row r="55" spans="1:9" s="73" customFormat="1">
      <c r="A55" s="76"/>
      <c r="B55" s="198" t="s">
        <v>789</v>
      </c>
      <c r="C55" s="81">
        <f>IF($C$5=1,$C$6,C54)</f>
        <v>0</v>
      </c>
      <c r="D55" s="489"/>
      <c r="E55" s="489"/>
      <c r="F55" s="489"/>
      <c r="G55" s="489"/>
      <c r="H55" s="489"/>
      <c r="I55" s="489"/>
    </row>
    <row r="56" spans="1:9" s="73" customFormat="1">
      <c r="A56" s="76"/>
      <c r="B56" s="530" t="s">
        <v>729</v>
      </c>
      <c r="C56" s="529">
        <f>'OSNOVNI PODATKI'!E79</f>
        <v>646.40000000000009</v>
      </c>
      <c r="D56" s="489"/>
      <c r="E56" s="489"/>
      <c r="F56" s="489"/>
      <c r="G56" s="489"/>
      <c r="H56" s="489"/>
      <c r="I56" s="489"/>
    </row>
    <row r="57" spans="1:9" s="73" customFormat="1">
      <c r="A57" s="76"/>
      <c r="B57" s="198" t="s">
        <v>100</v>
      </c>
      <c r="C57" s="81" t="str">
        <f>'OSNOVNI PODATKI'!E70</f>
        <v>Cenovni razred III</v>
      </c>
      <c r="D57" s="489"/>
      <c r="E57" s="489"/>
      <c r="F57" s="489"/>
      <c r="G57" s="489"/>
      <c r="H57" s="489"/>
      <c r="I57" s="489"/>
    </row>
    <row r="58" spans="1:9" s="73" customFormat="1">
      <c r="A58" s="76"/>
      <c r="B58" s="522" t="s">
        <v>70</v>
      </c>
      <c r="C58" s="618">
        <f>IFERROR(0.005*POWER(IF((C65+C66+C67)&lt;25%*C64,C55*(1000+C56),(C64-37.5%*C64+50%)*C55*(1000+C56)),0.8868)/C55,0)</f>
        <v>0</v>
      </c>
      <c r="D58" s="524" t="s">
        <v>722</v>
      </c>
      <c r="E58" s="203"/>
      <c r="F58" s="203"/>
    </row>
    <row r="59" spans="1:9" s="73" customFormat="1">
      <c r="A59" s="76"/>
      <c r="B59" s="525" t="s">
        <v>71</v>
      </c>
      <c r="C59" s="620">
        <f>IFERROR(0.0058*POWER(IF((C65+C66+C67)&lt;25%*C64,C55*(1000+C56),(C64-37.5%*C64+50%)*C55*(1000+C56)),0.8868)/C55,0)</f>
        <v>0</v>
      </c>
      <c r="D59" s="488" t="s">
        <v>722</v>
      </c>
      <c r="E59" s="203"/>
      <c r="F59" s="203"/>
    </row>
    <row r="60" spans="1:9" s="73" customFormat="1">
      <c r="A60" s="76"/>
      <c r="B60" s="525" t="s">
        <v>72</v>
      </c>
      <c r="C60" s="620">
        <f>IFERROR(0.0069*POWER(IF((C65+C66+C67)&lt;25%*C64,C55*(1000+C56),(C64-37.5%*C64+50%)*C55*(1000+C56)),0.8868)/C55,0)</f>
        <v>0</v>
      </c>
      <c r="D60" s="488" t="s">
        <v>722</v>
      </c>
      <c r="E60" s="203"/>
      <c r="F60" s="203"/>
    </row>
    <row r="61" spans="1:9" s="73" customFormat="1">
      <c r="A61" s="76"/>
      <c r="B61" s="525" t="s">
        <v>73</v>
      </c>
      <c r="C61" s="620">
        <f>IFERROR(0.0086*POWER(IF((C65+C66+C67)&lt;25%*C64,C55*(1000+C56),(C64-37.5%*C64+50%)*C55*(1000+C56)),0.8868)/C55,0)</f>
        <v>0</v>
      </c>
      <c r="D61" s="488" t="s">
        <v>722</v>
      </c>
      <c r="E61" s="203"/>
      <c r="F61" s="203"/>
    </row>
    <row r="62" spans="1:9" s="73" customFormat="1">
      <c r="A62" s="76"/>
      <c r="B62" s="525" t="s">
        <v>74</v>
      </c>
      <c r="C62" s="620">
        <f>IFERROR(0.0097*POWER(IF((C65+C66+C67)&lt;25%*C64,C55*(1000+C56),(C64-37.5%*C64+50%)*C55*(1000+C56)),0.8868)/C55,0)</f>
        <v>0</v>
      </c>
      <c r="D62" s="488" t="s">
        <v>722</v>
      </c>
      <c r="E62" s="203"/>
      <c r="F62" s="203"/>
    </row>
    <row r="63" spans="1:9" s="73" customFormat="1">
      <c r="A63" s="76"/>
      <c r="B63" s="527" t="s">
        <v>728</v>
      </c>
      <c r="C63" s="622">
        <f>IFERROR(0.0105*POWER(IF((C65+C66+C67)&lt;25%*C64,C55*(1000+C56),(C64-37.5%*C64+50%)*C55*(1000+C56)),0.8868)/C55,0)</f>
        <v>0</v>
      </c>
      <c r="D63" s="486" t="s">
        <v>722</v>
      </c>
      <c r="E63" s="203"/>
      <c r="F63" s="203"/>
    </row>
    <row r="64" spans="1:9" s="73" customFormat="1">
      <c r="A64" s="76"/>
      <c r="B64" s="525" t="str">
        <f>'OSNOVNI PODATKI'!B85</f>
        <v>GRADBENO OBRTNIŠKA DELA (GO)</v>
      </c>
      <c r="C64" s="625">
        <f>'OSNOVNI PODATKI'!D85</f>
        <v>0.70399999999999996</v>
      </c>
      <c r="D64" s="623"/>
      <c r="E64" s="831">
        <f>IFERROR(C64*C$55*(1000+C$56),0)</f>
        <v>0</v>
      </c>
      <c r="F64" s="203"/>
    </row>
    <row r="65" spans="1:9" s="73" customFormat="1">
      <c r="A65" s="76"/>
      <c r="B65" s="525" t="str">
        <f>'OSNOVNI PODATKI'!B86</f>
        <v>ELEKTRIČNE INŠTALACIJE (EI)</v>
      </c>
      <c r="C65" s="625">
        <f>'OSNOVNI PODATKI'!D86</f>
        <v>0.13506720000000003</v>
      </c>
      <c r="D65" s="623"/>
      <c r="E65" s="831">
        <f>IFERROR(C65*C$55*(1000+C$56),0)</f>
        <v>0</v>
      </c>
      <c r="F65" s="203"/>
    </row>
    <row r="66" spans="1:9" s="73" customFormat="1">
      <c r="A66" s="76"/>
      <c r="B66" s="525" t="str">
        <f>'OSNOVNI PODATKI'!B87</f>
        <v>STROJNE INŠTALACIJE (SI)</v>
      </c>
      <c r="C66" s="625">
        <f>'OSNOVNI PODATKI'!D87</f>
        <v>0.118992</v>
      </c>
      <c r="D66" s="623"/>
      <c r="E66" s="831">
        <f>IFERROR(C66*C$55*(1000+C$56),0)</f>
        <v>0</v>
      </c>
      <c r="F66" s="203"/>
    </row>
    <row r="67" spans="1:9" s="73" customFormat="1">
      <c r="A67" s="76"/>
      <c r="B67" s="525" t="str">
        <f>'OSNOVNI PODATKI'!B88</f>
        <v>TEHNOLOGIJA (TH)</v>
      </c>
      <c r="C67" s="625">
        <f>'OSNOVNI PODATKI'!D88</f>
        <v>4.1736000000000002E-2</v>
      </c>
      <c r="D67" s="623"/>
      <c r="E67" s="831">
        <f>IFERROR(C67*C$55*(1000+C$56),0)</f>
        <v>0</v>
      </c>
      <c r="F67" s="203"/>
    </row>
    <row r="68" spans="1:9" s="73" customFormat="1">
      <c r="A68" s="76"/>
      <c r="C68" s="81"/>
      <c r="D68" s="489"/>
      <c r="E68" s="489"/>
      <c r="F68" s="489"/>
      <c r="G68" s="489"/>
      <c r="H68" s="489"/>
      <c r="I68" s="489"/>
    </row>
    <row r="69" spans="1:9" s="73" customFormat="1" ht="14.25">
      <c r="B69" s="81" t="s">
        <v>730</v>
      </c>
      <c r="C69" s="507">
        <f>IFERROR(LOOKUP(C57,B58:C62),0)</f>
        <v>0</v>
      </c>
      <c r="D69" s="378" t="s">
        <v>721</v>
      </c>
      <c r="E69" s="489"/>
      <c r="F69" s="489"/>
      <c r="G69" s="489"/>
      <c r="H69" s="489"/>
      <c r="I69" s="489"/>
    </row>
    <row r="70" spans="1:9" s="73" customFormat="1" ht="14.25">
      <c r="B70" s="81" t="s">
        <v>731</v>
      </c>
      <c r="C70" s="507" cm="1">
        <f t="array" ref="C70">IFERROR(INDEX(C58:C63,MATCH(C57,B58:B62)+1),0)</f>
        <v>0</v>
      </c>
      <c r="D70" s="378" t="s">
        <v>721</v>
      </c>
      <c r="E70" s="489"/>
      <c r="F70" s="489"/>
      <c r="G70" s="489"/>
      <c r="H70" s="489"/>
      <c r="I70" s="489"/>
    </row>
    <row r="71" spans="1:9" s="73" customFormat="1">
      <c r="B71" s="81" t="s">
        <v>618</v>
      </c>
      <c r="C71" s="531">
        <f>IFERROR(C69*C54,0)</f>
        <v>0</v>
      </c>
      <c r="D71" s="378" t="s">
        <v>723</v>
      </c>
      <c r="E71" s="489"/>
      <c r="F71" s="489"/>
      <c r="G71" s="489"/>
      <c r="H71" s="489"/>
      <c r="I71" s="489"/>
    </row>
    <row r="72" spans="1:9" s="73" customFormat="1">
      <c r="B72" s="81" t="s">
        <v>619</v>
      </c>
      <c r="C72" s="531">
        <f>IFERROR(C70*C54,0)</f>
        <v>0</v>
      </c>
      <c r="D72" s="378" t="s">
        <v>723</v>
      </c>
      <c r="E72" s="489"/>
      <c r="F72" s="489"/>
      <c r="G72" s="489"/>
      <c r="H72" s="489"/>
      <c r="I72" s="489"/>
    </row>
    <row r="73" spans="1:9" s="73" customFormat="1">
      <c r="A73" s="76"/>
      <c r="C73" s="203"/>
      <c r="D73" s="203"/>
      <c r="E73" s="203"/>
      <c r="F73" s="203"/>
    </row>
    <row r="74" spans="1:9" s="73" customFormat="1">
      <c r="A74" s="76"/>
      <c r="B74" s="203" t="str">
        <f>'OSNOVNI PODATKI'!A93</f>
        <v>STAVBA 4 / DEL 4</v>
      </c>
      <c r="C74" s="533">
        <f>'OSNOVNI PODATKI'!E93</f>
        <v>0</v>
      </c>
      <c r="D74" s="203"/>
      <c r="E74" s="203"/>
      <c r="F74" s="203"/>
    </row>
    <row r="75" spans="1:9" s="73" customFormat="1">
      <c r="A75" s="76"/>
      <c r="B75" s="198" t="s">
        <v>617</v>
      </c>
      <c r="C75" s="81" t="str">
        <f>'OSNOVNI PODATKI'!E94</f>
        <v>17. Šole z nadpovprečnimi načrtovalskimi potrebami - izobraževalni centri, visoke šole, univerze, akademije</v>
      </c>
      <c r="D75" s="489"/>
      <c r="E75" s="489"/>
      <c r="F75" s="489"/>
      <c r="G75" s="489"/>
      <c r="H75" s="489"/>
      <c r="I75" s="489"/>
    </row>
    <row r="76" spans="1:9" s="73" customFormat="1">
      <c r="A76" s="76"/>
      <c r="B76" s="198" t="s">
        <v>788</v>
      </c>
      <c r="C76" s="81">
        <f>'OSNOVNI PODATKI'!E95</f>
        <v>0</v>
      </c>
      <c r="D76" s="489"/>
      <c r="E76" s="489"/>
      <c r="F76" s="489"/>
      <c r="G76" s="489"/>
      <c r="H76" s="489"/>
      <c r="I76" s="489"/>
    </row>
    <row r="77" spans="1:9" s="73" customFormat="1">
      <c r="A77" s="76"/>
      <c r="B77" s="198" t="s">
        <v>789</v>
      </c>
      <c r="C77" s="81">
        <f>IF($C$5=1,$C$6,C76)</f>
        <v>0</v>
      </c>
      <c r="D77" s="489"/>
      <c r="E77" s="489"/>
      <c r="F77" s="489"/>
      <c r="G77" s="489"/>
      <c r="H77" s="489"/>
      <c r="I77" s="489"/>
    </row>
    <row r="78" spans="1:9" s="73" customFormat="1">
      <c r="A78" s="76"/>
      <c r="B78" s="530" t="s">
        <v>729</v>
      </c>
      <c r="C78" s="529">
        <f>'OSNOVNI PODATKI'!E105</f>
        <v>785</v>
      </c>
      <c r="D78" s="489"/>
      <c r="E78" s="489"/>
      <c r="F78" s="489"/>
      <c r="G78" s="489"/>
      <c r="H78" s="489"/>
      <c r="I78" s="489"/>
    </row>
    <row r="79" spans="1:9" s="73" customFormat="1">
      <c r="A79" s="76"/>
      <c r="B79" s="198" t="s">
        <v>100</v>
      </c>
      <c r="C79" s="81" t="str">
        <f>'OSNOVNI PODATKI'!E96</f>
        <v>Cenovni razred III</v>
      </c>
      <c r="D79" s="489"/>
      <c r="E79" s="489"/>
      <c r="F79" s="489"/>
      <c r="G79" s="489"/>
      <c r="H79" s="489"/>
      <c r="I79" s="489"/>
    </row>
    <row r="80" spans="1:9" s="73" customFormat="1">
      <c r="A80" s="76"/>
      <c r="B80" s="522" t="s">
        <v>70</v>
      </c>
      <c r="C80" s="618">
        <f>IFERROR(0.005*POWER(IF((C87+C88+C89)&lt;25%*C86,C77*(1000+C78),(C86-37.5%*C86+50%)*C77*(1000+C78)),0.8868)/C77,0)</f>
        <v>0</v>
      </c>
      <c r="D80" s="524" t="s">
        <v>722</v>
      </c>
      <c r="E80" s="203"/>
      <c r="F80" s="203"/>
    </row>
    <row r="81" spans="1:12" s="73" customFormat="1">
      <c r="A81" s="76"/>
      <c r="B81" s="525" t="s">
        <v>71</v>
      </c>
      <c r="C81" s="620">
        <f>IFERROR(0.0058*POWER(IF((C87+C88+C89)&lt;25%*C86,C77*(1000+C78),(C86-37.5%*C86+50%)*C77*(1000+C78)),0.8868)/C77,0)</f>
        <v>0</v>
      </c>
      <c r="D81" s="488" t="s">
        <v>722</v>
      </c>
      <c r="E81" s="203"/>
      <c r="F81" s="203"/>
    </row>
    <row r="82" spans="1:12" s="73" customFormat="1">
      <c r="A82" s="76"/>
      <c r="B82" s="525" t="s">
        <v>72</v>
      </c>
      <c r="C82" s="620">
        <f>IFERROR(0.0069*POWER(IF((C87+C88+C89)&lt;25%*C86,C77*(1000+C78),(C86-37.5%*C86+50%)*C77*(1000+C78)),0.8868)/C77,0)</f>
        <v>0</v>
      </c>
      <c r="D82" s="488" t="s">
        <v>722</v>
      </c>
      <c r="E82" s="203"/>
      <c r="F82" s="203"/>
    </row>
    <row r="83" spans="1:12" s="73" customFormat="1">
      <c r="A83" s="76"/>
      <c r="B83" s="525" t="s">
        <v>73</v>
      </c>
      <c r="C83" s="620">
        <f>IFERROR(0.0086*POWER(IF((C87+C88+C89)&lt;25%*C86,C77*(1000+C78),(C86-37.5%*C86+50%)*C77*(1000+C78)),0.8868)/C77,0)</f>
        <v>0</v>
      </c>
      <c r="D83" s="488" t="s">
        <v>722</v>
      </c>
      <c r="E83" s="203"/>
      <c r="F83" s="203"/>
    </row>
    <row r="84" spans="1:12" s="73" customFormat="1">
      <c r="A84" s="76"/>
      <c r="B84" s="525" t="s">
        <v>74</v>
      </c>
      <c r="C84" s="620">
        <f>IFERROR(0.0097*POWER(IF((C87+C88+C89)&lt;25%*C86,C77*(1000+C78),(C86-37.5%*C86+50%)*C77*(1000+C78)),0.8868)/C77,0)</f>
        <v>0</v>
      </c>
      <c r="D84" s="488" t="s">
        <v>722</v>
      </c>
      <c r="E84" s="203"/>
      <c r="F84" s="203"/>
    </row>
    <row r="85" spans="1:12" s="73" customFormat="1">
      <c r="A85" s="76"/>
      <c r="B85" s="527" t="s">
        <v>728</v>
      </c>
      <c r="C85" s="622">
        <f>IFERROR(0.0105*POWER(IF((C87+C88+C89)&lt;25%*C86,C77*(1000+C78),(C86-37.5%*C86+50%)*C77*(1000+C78)),0.8868)/C77,0)</f>
        <v>0</v>
      </c>
      <c r="D85" s="486" t="s">
        <v>722</v>
      </c>
      <c r="E85" s="203"/>
      <c r="F85" s="203"/>
    </row>
    <row r="86" spans="1:12" s="73" customFormat="1">
      <c r="A86" s="76"/>
      <c r="B86" s="525" t="str">
        <f>'OSNOVNI PODATKI'!B111</f>
        <v>GRADBENO OBRTNIŠKA DELA (GO)</v>
      </c>
      <c r="C86" s="625">
        <f>'OSNOVNI PODATKI'!D111</f>
        <v>0.76200000000000001</v>
      </c>
      <c r="D86" s="623"/>
      <c r="E86" s="831">
        <f>IFERROR(C86*C$77*(1000+C$78),0)</f>
        <v>0</v>
      </c>
      <c r="F86" s="203"/>
      <c r="L86" s="621"/>
    </row>
    <row r="87" spans="1:12" s="73" customFormat="1">
      <c r="A87" s="76"/>
      <c r="B87" s="525" t="str">
        <f>'OSNOVNI PODATKI'!B112</f>
        <v>ELEKTRIČNE INŠTALACIJE (EI)</v>
      </c>
      <c r="C87" s="625">
        <f>'OSNOVNI PODATKI'!D112</f>
        <v>7.9730000000000009E-2</v>
      </c>
      <c r="D87" s="623"/>
      <c r="E87" s="831">
        <f>IFERROR(C87*C$77*(1000+C$78),0)</f>
        <v>0</v>
      </c>
      <c r="F87" s="203"/>
      <c r="L87" s="621"/>
    </row>
    <row r="88" spans="1:12" s="73" customFormat="1">
      <c r="A88" s="76"/>
      <c r="B88" s="525" t="str">
        <f>'OSNOVNI PODATKI'!B113</f>
        <v>STROJNE INŠTALACIJE (SI)</v>
      </c>
      <c r="C88" s="625">
        <f>'OSNOVNI PODATKI'!D113</f>
        <v>0.11876200000000001</v>
      </c>
      <c r="D88" s="623"/>
      <c r="E88" s="831">
        <f>IFERROR(C88*C$77*(1000+C$78),0)</f>
        <v>0</v>
      </c>
      <c r="F88" s="203"/>
      <c r="L88" s="621"/>
    </row>
    <row r="89" spans="1:12" s="73" customFormat="1">
      <c r="A89" s="76"/>
      <c r="B89" s="525" t="str">
        <f>'OSNOVNI PODATKI'!B114</f>
        <v>TEHNOLOGIJA (TH)</v>
      </c>
      <c r="C89" s="625">
        <f>'OSNOVNI PODATKI'!D114</f>
        <v>3.9508000000000008E-2</v>
      </c>
      <c r="D89" s="623"/>
      <c r="E89" s="831">
        <f>IFERROR(C89*C$77*(1000+C$78),0)</f>
        <v>0</v>
      </c>
      <c r="F89" s="203"/>
      <c r="L89" s="621"/>
    </row>
    <row r="90" spans="1:12" s="73" customFormat="1">
      <c r="A90" s="76"/>
      <c r="C90" s="81"/>
      <c r="D90" s="489"/>
      <c r="E90" s="489"/>
      <c r="F90" s="489"/>
      <c r="G90" s="489"/>
      <c r="H90" s="489"/>
      <c r="I90" s="489"/>
    </row>
    <row r="91" spans="1:12" s="73" customFormat="1" ht="14.25">
      <c r="B91" s="81" t="s">
        <v>730</v>
      </c>
      <c r="C91" s="507">
        <f>IFERROR(LOOKUP(C79,B80:C84),0)</f>
        <v>0</v>
      </c>
      <c r="D91" s="378" t="s">
        <v>721</v>
      </c>
      <c r="E91" s="489"/>
      <c r="F91" s="489"/>
      <c r="G91" s="489"/>
      <c r="H91" s="489"/>
      <c r="I91" s="489"/>
    </row>
    <row r="92" spans="1:12" s="73" customFormat="1" ht="14.25">
      <c r="B92" s="81" t="s">
        <v>731</v>
      </c>
      <c r="C92" s="507" cm="1">
        <f t="array" ref="C92">IFERROR(INDEX(C80:C85,MATCH(C79,B80:B84)+1),0)</f>
        <v>0</v>
      </c>
      <c r="D92" s="378" t="s">
        <v>721</v>
      </c>
      <c r="E92" s="489"/>
      <c r="F92" s="489"/>
      <c r="G92" s="489"/>
      <c r="H92" s="489"/>
      <c r="I92" s="489"/>
    </row>
    <row r="93" spans="1:12" s="73" customFormat="1">
      <c r="B93" s="81" t="s">
        <v>618</v>
      </c>
      <c r="C93" s="531">
        <f>IFERROR(C91*C76,0)</f>
        <v>0</v>
      </c>
      <c r="D93" s="378" t="s">
        <v>723</v>
      </c>
      <c r="E93" s="489"/>
      <c r="F93" s="489"/>
      <c r="G93" s="489"/>
      <c r="H93" s="489"/>
      <c r="I93" s="489"/>
    </row>
    <row r="94" spans="1:12" s="73" customFormat="1">
      <c r="B94" s="81" t="s">
        <v>619</v>
      </c>
      <c r="C94" s="531">
        <f>IFERROR(C92*C76,0)</f>
        <v>0</v>
      </c>
      <c r="D94" s="378" t="s">
        <v>723</v>
      </c>
      <c r="E94" s="489"/>
      <c r="F94" s="489"/>
      <c r="G94" s="489"/>
      <c r="H94" s="489"/>
      <c r="I94" s="489"/>
    </row>
    <row r="95" spans="1:12" s="73" customFormat="1">
      <c r="A95" s="76"/>
      <c r="C95" s="203"/>
      <c r="D95" s="203"/>
      <c r="E95" s="203"/>
      <c r="F95" s="203"/>
    </row>
    <row r="96" spans="1:12" s="73" customFormat="1">
      <c r="A96" s="76"/>
      <c r="B96" s="203" t="str">
        <f>'OSNOVNI PODATKI'!A119</f>
        <v>STAVBA 5 / DEL 5</v>
      </c>
      <c r="C96" s="533">
        <f>'OSNOVNI PODATKI'!E119</f>
        <v>0</v>
      </c>
      <c r="D96" s="203"/>
      <c r="E96" s="203"/>
      <c r="F96" s="203"/>
    </row>
    <row r="97" spans="1:12" s="73" customFormat="1">
      <c r="A97" s="76"/>
      <c r="B97" s="198" t="s">
        <v>617</v>
      </c>
      <c r="C97" s="81" t="str">
        <f>'OSNOVNI PODATKI'!E120</f>
        <v>22. Pisarniške in upravne stavbe, višji standard</v>
      </c>
      <c r="D97" s="489"/>
      <c r="E97" s="489"/>
      <c r="F97" s="489"/>
      <c r="G97" s="489"/>
      <c r="H97" s="489"/>
      <c r="I97" s="489"/>
    </row>
    <row r="98" spans="1:12" s="73" customFormat="1">
      <c r="A98" s="76"/>
      <c r="B98" s="198" t="s">
        <v>788</v>
      </c>
      <c r="C98" s="81">
        <f>'OSNOVNI PODATKI'!E121</f>
        <v>0</v>
      </c>
      <c r="D98" s="489"/>
      <c r="E98" s="489"/>
      <c r="F98" s="489"/>
      <c r="G98" s="489"/>
      <c r="H98" s="489"/>
      <c r="I98" s="489"/>
    </row>
    <row r="99" spans="1:12" s="73" customFormat="1">
      <c r="A99" s="76"/>
      <c r="B99" s="198" t="s">
        <v>789</v>
      </c>
      <c r="C99" s="81">
        <f>IF($C$5=1,$C$6,C98)</f>
        <v>0</v>
      </c>
      <c r="D99" s="489"/>
      <c r="E99" s="489"/>
      <c r="F99" s="489"/>
      <c r="G99" s="489"/>
      <c r="H99" s="489"/>
      <c r="I99" s="489"/>
    </row>
    <row r="100" spans="1:12" s="73" customFormat="1">
      <c r="A100" s="76"/>
      <c r="B100" s="530" t="s">
        <v>729</v>
      </c>
      <c r="C100" s="529">
        <f>'OSNOVNI PODATKI'!E131</f>
        <v>990.8</v>
      </c>
      <c r="D100" s="489"/>
      <c r="E100" s="489"/>
      <c r="F100" s="489"/>
      <c r="G100" s="489"/>
      <c r="H100" s="489"/>
      <c r="I100" s="489"/>
    </row>
    <row r="101" spans="1:12" s="73" customFormat="1">
      <c r="A101" s="76"/>
      <c r="B101" s="198" t="s">
        <v>100</v>
      </c>
      <c r="C101" s="81" t="str">
        <f>'OSNOVNI PODATKI'!E122</f>
        <v>Cenovni razred III</v>
      </c>
      <c r="D101" s="489"/>
      <c r="E101" s="489"/>
      <c r="F101" s="489"/>
      <c r="G101" s="489"/>
      <c r="H101" s="489"/>
      <c r="I101" s="489"/>
    </row>
    <row r="102" spans="1:12" s="73" customFormat="1">
      <c r="A102" s="76"/>
      <c r="B102" s="522" t="s">
        <v>70</v>
      </c>
      <c r="C102" s="618">
        <f>IFERROR(0.005*POWER(IF((C109+C110+C111)&lt;25%*C108,C99*(1000+C100),(C108-37.5%*C108+50%)*C99*(1000+C100)),0.8868)/C99,0)</f>
        <v>0</v>
      </c>
      <c r="D102" s="524" t="s">
        <v>722</v>
      </c>
      <c r="E102" s="203"/>
      <c r="F102" s="203"/>
    </row>
    <row r="103" spans="1:12" s="73" customFormat="1">
      <c r="A103" s="76"/>
      <c r="B103" s="525" t="s">
        <v>71</v>
      </c>
      <c r="C103" s="620">
        <f>IFERROR(0.0058*POWER(IF((C109+C110+C111)&lt;25%*C108,C99*(1000+C100),(C108-37.5%*C108+50%)*C99*(1000+C100)),0.8868)/C99,0)</f>
        <v>0</v>
      </c>
      <c r="D103" s="488" t="s">
        <v>722</v>
      </c>
      <c r="E103" s="203"/>
      <c r="F103" s="203"/>
    </row>
    <row r="104" spans="1:12" s="73" customFormat="1">
      <c r="A104" s="76"/>
      <c r="B104" s="525" t="s">
        <v>72</v>
      </c>
      <c r="C104" s="620">
        <f>IFERROR(0.0069*POWER(IF((C109+C110+C111)&lt;25%*C108,C99*(1000+C100),(C108-37.5%*C108+50%)*C99*(1000+C100)),0.8868)/C99,0)</f>
        <v>0</v>
      </c>
      <c r="D104" s="488" t="s">
        <v>722</v>
      </c>
      <c r="E104" s="203"/>
      <c r="F104" s="203"/>
    </row>
    <row r="105" spans="1:12" s="73" customFormat="1">
      <c r="A105" s="76"/>
      <c r="B105" s="525" t="s">
        <v>73</v>
      </c>
      <c r="C105" s="620">
        <f>IFERROR(0.0086*POWER(IF((C109+C110+C111)&lt;25%*C108,C99*(1000+C100),(C108-37.5%*C108+50%)*C99*(1000+C100)),0.8868)/C99,0)</f>
        <v>0</v>
      </c>
      <c r="D105" s="488" t="s">
        <v>722</v>
      </c>
      <c r="E105" s="203"/>
      <c r="F105" s="203"/>
    </row>
    <row r="106" spans="1:12" s="73" customFormat="1">
      <c r="A106" s="76"/>
      <c r="B106" s="525" t="s">
        <v>74</v>
      </c>
      <c r="C106" s="620">
        <f>IFERROR(0.0097*POWER(IF((C109+C110+C111)&lt;25%*C108,C99*(1000+C100),(C108-37.5%*C108+50%)*C99*(1000+C100)),0.8868)/C99,0)</f>
        <v>0</v>
      </c>
      <c r="D106" s="488" t="s">
        <v>722</v>
      </c>
      <c r="E106" s="203"/>
      <c r="F106" s="203"/>
    </row>
    <row r="107" spans="1:12" s="73" customFormat="1">
      <c r="A107" s="76"/>
      <c r="B107" s="527" t="s">
        <v>728</v>
      </c>
      <c r="C107" s="622">
        <f>IFERROR(0.0105*POWER(IF((C109+C110+C111)&lt;25%*C108,C99*(1000+C100),(C108-37.5%*C108+50%)*C99*(1000+C100)),0.8868)/C99,0)</f>
        <v>0</v>
      </c>
      <c r="D107" s="486" t="s">
        <v>722</v>
      </c>
      <c r="E107" s="203"/>
      <c r="F107" s="203"/>
    </row>
    <row r="108" spans="1:12" s="73" customFormat="1">
      <c r="A108" s="76"/>
      <c r="B108" s="525" t="str">
        <f>'OSNOVNI PODATKI'!B137</f>
        <v>GRADBENO OBRTNIŠKA DELA (GO)</v>
      </c>
      <c r="C108" s="625">
        <f>'OSNOVNI PODATKI'!D137</f>
        <v>0.73699999999999999</v>
      </c>
      <c r="D108" s="623"/>
      <c r="E108" s="831">
        <f>IFERROR(C108*C$99*(1000+C$100),0)</f>
        <v>0</v>
      </c>
      <c r="F108" s="203"/>
      <c r="L108" s="621"/>
    </row>
    <row r="109" spans="1:12" s="73" customFormat="1">
      <c r="A109" s="76"/>
      <c r="B109" s="525" t="str">
        <f>'OSNOVNI PODATKI'!B133</f>
        <v>INFORMATIVNA OCENA STROŠKOV GRADNJE</v>
      </c>
      <c r="C109" s="625">
        <f>'OSNOVNI PODATKI'!D138</f>
        <v>0.11230100000000003</v>
      </c>
      <c r="D109" s="623"/>
      <c r="E109" s="831">
        <f>IFERROR(C109*C$99*(1000+C$100),0)</f>
        <v>0</v>
      </c>
      <c r="F109" s="203"/>
      <c r="L109" s="621"/>
    </row>
    <row r="110" spans="1:12" s="73" customFormat="1">
      <c r="A110" s="76"/>
      <c r="B110" s="525" t="str">
        <f>'OSNOVNI PODATKI'!B134</f>
        <v>INFORMATIVNA VREDNOST STROŠKOV GRADNJE EUR/m2 BTP</v>
      </c>
      <c r="C110" s="625">
        <f>'OSNOVNI PODATKI'!D139</f>
        <v>0.124399</v>
      </c>
      <c r="D110" s="623"/>
      <c r="E110" s="831">
        <f>IFERROR(C110*C$99*(1000+C$100),0)</f>
        <v>0</v>
      </c>
      <c r="F110" s="203"/>
      <c r="L110" s="621"/>
    </row>
    <row r="111" spans="1:12" s="73" customFormat="1">
      <c r="A111" s="76"/>
      <c r="B111" s="525" t="str">
        <f>'OSNOVNI PODATKI'!B135</f>
        <v>IZBRANA VREDNOST STROŠKOV GRADNJE EUR/m2 BEP</v>
      </c>
      <c r="C111" s="625">
        <f>'OSNOVNI PODATKI'!D140</f>
        <v>2.6300000000000004E-2</v>
      </c>
      <c r="D111" s="623"/>
      <c r="E111" s="831">
        <f>IFERROR(C111*C$99*(1000+C$100),0)</f>
        <v>0</v>
      </c>
      <c r="F111" s="203"/>
      <c r="L111" s="621"/>
    </row>
    <row r="112" spans="1:12" s="73" customFormat="1">
      <c r="A112" s="76"/>
      <c r="C112" s="81"/>
      <c r="D112" s="489"/>
      <c r="E112" s="489"/>
      <c r="F112" s="489"/>
      <c r="G112" s="489"/>
      <c r="H112" s="489"/>
      <c r="I112" s="489"/>
    </row>
    <row r="113" spans="1:25" s="73" customFormat="1" ht="14.25">
      <c r="B113" s="81" t="s">
        <v>730</v>
      </c>
      <c r="C113" s="507">
        <f>IFERROR(LOOKUP(C101,B102:C106),0)</f>
        <v>0</v>
      </c>
      <c r="D113" s="378" t="s">
        <v>721</v>
      </c>
      <c r="E113" s="489"/>
      <c r="F113" s="489"/>
      <c r="G113" s="489"/>
      <c r="H113" s="489"/>
      <c r="I113" s="489"/>
    </row>
    <row r="114" spans="1:25" s="73" customFormat="1" ht="14.25">
      <c r="B114" s="81" t="s">
        <v>731</v>
      </c>
      <c r="C114" s="507" cm="1">
        <f t="array" ref="C114">IFERROR(INDEX(C102:C107,MATCH(C101,B102:B106)+1),0)</f>
        <v>0</v>
      </c>
      <c r="D114" s="378" t="s">
        <v>721</v>
      </c>
      <c r="E114" s="489"/>
      <c r="F114" s="489"/>
      <c r="G114" s="489"/>
      <c r="H114" s="489"/>
      <c r="I114" s="489"/>
    </row>
    <row r="115" spans="1:25" s="73" customFormat="1">
      <c r="B115" s="81" t="s">
        <v>618</v>
      </c>
      <c r="C115" s="531">
        <f>IFERROR(C113*C98,0)</f>
        <v>0</v>
      </c>
      <c r="D115" s="378" t="s">
        <v>723</v>
      </c>
      <c r="E115" s="489"/>
      <c r="F115" s="489"/>
      <c r="G115" s="489"/>
      <c r="H115" s="489"/>
      <c r="I115" s="489"/>
    </row>
    <row r="116" spans="1:25" s="73" customFormat="1">
      <c r="B116" s="81" t="s">
        <v>619</v>
      </c>
      <c r="C116" s="531">
        <f>IFERROR(C114*C98,0)</f>
        <v>0</v>
      </c>
      <c r="D116" s="378" t="s">
        <v>723</v>
      </c>
      <c r="E116" s="489"/>
      <c r="F116" s="489"/>
      <c r="G116" s="489"/>
      <c r="H116" s="489"/>
      <c r="I116" s="489"/>
    </row>
    <row r="117" spans="1:25" s="73" customFormat="1">
      <c r="A117" s="76"/>
      <c r="C117" s="203"/>
      <c r="D117" s="203"/>
      <c r="E117" s="203"/>
      <c r="F117" s="203"/>
    </row>
    <row r="118" spans="1:25" ht="13.5" thickBot="1"/>
    <row r="119" spans="1:25" s="73" customFormat="1" ht="18.75">
      <c r="A119" s="786" t="s">
        <v>194</v>
      </c>
      <c r="B119" s="784"/>
      <c r="C119" s="785"/>
      <c r="D119" s="785"/>
      <c r="E119" s="785"/>
      <c r="F119" s="785"/>
      <c r="G119" s="785"/>
      <c r="H119" s="784"/>
      <c r="I119" s="784"/>
      <c r="J119" s="784"/>
      <c r="K119" s="784"/>
      <c r="L119" s="784"/>
      <c r="M119" s="784"/>
      <c r="N119" s="784"/>
      <c r="O119" s="784"/>
      <c r="P119" s="784"/>
      <c r="Q119" s="784"/>
      <c r="R119" s="784"/>
      <c r="S119" s="784"/>
      <c r="T119" s="784"/>
      <c r="U119" s="784"/>
      <c r="V119" s="784"/>
      <c r="W119" s="784"/>
      <c r="X119" s="784"/>
      <c r="Y119" s="784"/>
    </row>
    <row r="120" spans="1:25" s="73" customFormat="1">
      <c r="A120" s="203"/>
      <c r="B120" s="203"/>
      <c r="C120" s="203"/>
      <c r="D120" s="203"/>
      <c r="E120" s="203"/>
      <c r="H120" s="203"/>
    </row>
    <row r="121" spans="1:25" s="73" customFormat="1">
      <c r="A121" s="203"/>
      <c r="B121" s="81" t="s">
        <v>719</v>
      </c>
      <c r="C121" s="489"/>
      <c r="D121" s="489"/>
      <c r="E121" s="489"/>
      <c r="F121" s="1283">
        <f>'OSNOVNI PODATKI'!G360</f>
        <v>0</v>
      </c>
      <c r="G121" s="489"/>
      <c r="H121" s="489"/>
    </row>
    <row r="122" spans="1:25" s="73" customFormat="1">
      <c r="A122" s="203"/>
      <c r="B122" s="81" t="s">
        <v>720</v>
      </c>
      <c r="C122" s="202"/>
      <c r="D122" s="80"/>
      <c r="E122" s="80"/>
      <c r="F122" s="473">
        <f>'ARHIGRAM 6'!I16</f>
        <v>62</v>
      </c>
      <c r="G122" s="202"/>
      <c r="H122" s="202"/>
    </row>
    <row r="123" spans="1:25" s="73" customFormat="1">
      <c r="A123" s="203"/>
      <c r="B123" s="203"/>
      <c r="C123" s="203"/>
      <c r="D123" s="203"/>
      <c r="E123" s="203"/>
      <c r="G123" s="203"/>
      <c r="H123" s="203"/>
    </row>
    <row r="124" spans="1:25" s="73" customFormat="1">
      <c r="B124" s="81" t="str">
        <f>'OSNOVNI PODATKI'!$B$376</f>
        <v>PRIBITEK ZA PRENOVO</v>
      </c>
      <c r="C124" s="202"/>
      <c r="D124" s="80"/>
      <c r="E124" s="80"/>
      <c r="F124" s="301">
        <f>'OSNOVNI PODATKI'!$F$376</f>
        <v>0</v>
      </c>
      <c r="G124" s="202" t="str">
        <f>'OSNOVNI PODATKI'!G376</f>
        <v>Upošteva se v fazah od 1 do 4., samo za storitve projektiranja. Če dogovor o povečanju potrebnega števila NU ni bil dosežen, se upošteva 18 % povečanje števila NU glede na vsaj povprečno zahtevnost.
Če gre za prenovo notranje opreme lahko znaša povečanje do 50 %.</v>
      </c>
      <c r="H124" s="202"/>
    </row>
    <row r="125" spans="1:25" s="73" customFormat="1">
      <c r="B125" s="81" t="str">
        <f>'OSNOVNI PODATKI'!$B$377</f>
        <v>PRIBITEK ZA VKLJUČEVANJE DRUGIH IZVAJALCEV V POGODBO</v>
      </c>
      <c r="C125" s="202"/>
      <c r="D125" s="80"/>
      <c r="E125" s="80"/>
      <c r="F125" s="301">
        <f>'OSNOVNI PODATKI'!$F$377</f>
        <v>0</v>
      </c>
      <c r="G125" s="202" t="str">
        <f>'OSNOVNI PODATKI'!G377</f>
        <v>Upošteva se v vseh fazah, samo za storitve vodenja in koordinacije</v>
      </c>
      <c r="H125" s="202"/>
    </row>
    <row r="126" spans="1:25" s="73" customFormat="1">
      <c r="A126" s="203"/>
      <c r="B126" s="81" t="s">
        <v>801</v>
      </c>
      <c r="C126" s="202"/>
      <c r="D126" s="80"/>
      <c r="E126" s="80"/>
      <c r="F126" s="635" t="str">
        <f>IF('OSNOVNI PODATKI'!A358=TRUE,"DA","NE")</f>
        <v>DA</v>
      </c>
      <c r="G126" s="489"/>
      <c r="H126" s="489"/>
    </row>
    <row r="127" spans="1:25" s="73" customFormat="1">
      <c r="A127" s="203"/>
      <c r="B127" s="81"/>
      <c r="C127" s="202"/>
      <c r="D127" s="80"/>
      <c r="E127" s="80"/>
      <c r="F127" s="635"/>
      <c r="G127" s="202"/>
      <c r="H127" s="489"/>
    </row>
    <row r="128" spans="1:25" s="73" customFormat="1">
      <c r="A128" s="203"/>
      <c r="B128" s="81"/>
      <c r="C128" s="202"/>
      <c r="D128" s="80"/>
      <c r="E128" s="80"/>
      <c r="F128" s="635"/>
      <c r="G128" s="202"/>
      <c r="H128" s="489"/>
    </row>
    <row r="130" spans="1:25">
      <c r="B130" s="204" t="s">
        <v>888</v>
      </c>
      <c r="C130" s="204"/>
      <c r="D130" s="204"/>
      <c r="E130" s="204"/>
      <c r="F130" s="204"/>
      <c r="G130" s="204"/>
      <c r="H130" s="204"/>
      <c r="K130" s="204" t="s">
        <v>801</v>
      </c>
      <c r="L130" s="204"/>
      <c r="M130" s="204"/>
      <c r="N130" s="204"/>
      <c r="O130" s="204"/>
      <c r="P130" s="204"/>
      <c r="Q130" s="204"/>
      <c r="R130" s="204"/>
    </row>
    <row r="131" spans="1:25" s="8" customFormat="1" ht="38.25">
      <c r="A131" s="102"/>
      <c r="B131" s="103"/>
      <c r="C131" s="103"/>
      <c r="D131" s="103"/>
      <c r="E131" s="104" t="s">
        <v>25</v>
      </c>
      <c r="F131" s="294" t="s">
        <v>758</v>
      </c>
      <c r="G131" s="600" t="s">
        <v>54</v>
      </c>
      <c r="H131" s="105" t="s">
        <v>67</v>
      </c>
      <c r="I131" s="405" t="s">
        <v>757</v>
      </c>
      <c r="J131" s="296"/>
      <c r="K131" s="102"/>
      <c r="L131" s="103"/>
      <c r="M131" s="103"/>
      <c r="N131" s="103"/>
      <c r="O131" s="104" t="s">
        <v>25</v>
      </c>
      <c r="P131" s="294" t="s">
        <v>758</v>
      </c>
      <c r="Q131" s="600" t="s">
        <v>54</v>
      </c>
      <c r="R131" s="105" t="s">
        <v>67</v>
      </c>
      <c r="S131" s="405" t="s">
        <v>757</v>
      </c>
      <c r="T131" s="405"/>
      <c r="U131" s="294" t="s">
        <v>920</v>
      </c>
      <c r="V131" s="294" t="s">
        <v>921</v>
      </c>
      <c r="W131" s="725" t="s">
        <v>922</v>
      </c>
      <c r="X131" s="105" t="s">
        <v>923</v>
      </c>
    </row>
    <row r="132" spans="1:25" s="9" customFormat="1" ht="14.25">
      <c r="A132" s="98" t="s">
        <v>26</v>
      </c>
      <c r="B132" s="99" t="s">
        <v>27</v>
      </c>
      <c r="C132" s="99"/>
      <c r="D132" s="99"/>
      <c r="E132" s="100"/>
      <c r="F132" s="100"/>
      <c r="G132" s="601"/>
      <c r="H132" s="101"/>
      <c r="K132" s="98" t="s">
        <v>26</v>
      </c>
      <c r="L132" s="99" t="s">
        <v>27</v>
      </c>
      <c r="M132" s="99"/>
      <c r="N132" s="99"/>
      <c r="O132" s="100"/>
      <c r="P132" s="100"/>
      <c r="Q132" s="601"/>
      <c r="R132" s="101"/>
      <c r="U132" s="100"/>
      <c r="V132" s="100"/>
      <c r="W132" s="601"/>
      <c r="X132" s="100"/>
    </row>
    <row r="133" spans="1:25" s="9" customFormat="1" ht="14.25">
      <c r="A133" s="82" t="s">
        <v>28</v>
      </c>
      <c r="B133" s="94" t="s">
        <v>62</v>
      </c>
      <c r="C133" s="94"/>
      <c r="D133" s="94"/>
      <c r="E133" s="83"/>
      <c r="F133" s="83"/>
      <c r="G133" s="602"/>
      <c r="H133" s="84"/>
      <c r="K133" s="82" t="s">
        <v>28</v>
      </c>
      <c r="L133" s="94" t="s">
        <v>62</v>
      </c>
      <c r="M133" s="94"/>
      <c r="N133" s="94"/>
      <c r="O133" s="83"/>
      <c r="P133" s="83"/>
      <c r="Q133" s="602"/>
      <c r="R133" s="84"/>
      <c r="U133" s="83"/>
      <c r="V133" s="83"/>
      <c r="W133" s="602"/>
      <c r="X133" s="83"/>
    </row>
    <row r="134" spans="1:25" s="9" customFormat="1" ht="14.25">
      <c r="A134" s="107" t="s">
        <v>29</v>
      </c>
      <c r="B134" s="108" t="s">
        <v>63</v>
      </c>
      <c r="C134" s="108"/>
      <c r="D134" s="108"/>
      <c r="E134" s="109"/>
      <c r="F134" s="109"/>
      <c r="G134" s="603"/>
      <c r="H134" s="88"/>
      <c r="K134" s="107" t="s">
        <v>29</v>
      </c>
      <c r="L134" s="108" t="s">
        <v>63</v>
      </c>
      <c r="M134" s="108"/>
      <c r="N134" s="108"/>
      <c r="O134" s="109"/>
      <c r="P134" s="109"/>
      <c r="Q134" s="603"/>
      <c r="R134" s="88"/>
      <c r="U134" s="109"/>
      <c r="V134" s="109"/>
      <c r="W134" s="603"/>
      <c r="X134" s="109"/>
    </row>
    <row r="135" spans="1:25" s="9" customFormat="1" ht="14.25">
      <c r="A135" s="106" t="s">
        <v>30</v>
      </c>
      <c r="B135" s="99" t="s">
        <v>31</v>
      </c>
      <c r="C135" s="99"/>
      <c r="D135" s="99"/>
      <c r="E135" s="297">
        <f>SUM(E136:E138)</f>
        <v>5.0000000000000001E-3</v>
      </c>
      <c r="F135" s="297">
        <f>SUM(F136:F138)</f>
        <v>5.0000000000000001E-3</v>
      </c>
      <c r="G135" s="607">
        <f>SUM(G136:G138)</f>
        <v>0</v>
      </c>
      <c r="H135" s="101">
        <f>SUM(H136:H138)</f>
        <v>0</v>
      </c>
      <c r="I135" s="122">
        <f>IFERROR(H135/'OSNOVNI PODATKI'!$E$311,0)</f>
        <v>0</v>
      </c>
      <c r="K135" s="106" t="s">
        <v>30</v>
      </c>
      <c r="L135" s="99" t="s">
        <v>31</v>
      </c>
      <c r="M135" s="99"/>
      <c r="N135" s="99"/>
      <c r="O135" s="297">
        <f>SUM(O136:O138)</f>
        <v>1.4999999999999999E-2</v>
      </c>
      <c r="P135" s="297">
        <f>SUM(P136:P138)</f>
        <v>1.4999999999999999E-2</v>
      </c>
      <c r="Q135" s="607">
        <f>SUM(Q136:Q138)</f>
        <v>0</v>
      </c>
      <c r="R135" s="101">
        <f>SUM(R136:R138)</f>
        <v>0</v>
      </c>
      <c r="S135" s="122">
        <f>IFERROR(R135/'OSNOVNI PODATKI'!$E$311,0)</f>
        <v>0</v>
      </c>
      <c r="T135" s="122"/>
      <c r="U135" s="297">
        <f>SUM(U136:U138)</f>
        <v>0.02</v>
      </c>
      <c r="V135" s="297">
        <f>SUM(V136:V138)</f>
        <v>0.02</v>
      </c>
      <c r="W135" s="607">
        <f t="shared" ref="W135:X135" si="0">SUM(W136:W138)</f>
        <v>0</v>
      </c>
      <c r="X135" s="101">
        <f t="shared" si="0"/>
        <v>0</v>
      </c>
      <c r="Y135" s="122">
        <f>IFERROR(X135/'OSNOVNI PODATKI'!$E$311,0)</f>
        <v>0</v>
      </c>
    </row>
    <row r="136" spans="1:25" s="9" customFormat="1" ht="14.25">
      <c r="A136" s="85" t="s">
        <v>32</v>
      </c>
      <c r="B136" s="93" t="s">
        <v>64</v>
      </c>
      <c r="C136" s="93"/>
      <c r="D136" s="93"/>
      <c r="E136" s="295">
        <v>2.5000000000000001E-3</v>
      </c>
      <c r="F136" s="295">
        <f>E136*(100%+$F$124)</f>
        <v>2.5000000000000001E-3</v>
      </c>
      <c r="G136" s="608">
        <f>ROUND(F136*$F$121,1)</f>
        <v>0</v>
      </c>
      <c r="H136" s="84">
        <f>+G136*$F$122</f>
        <v>0</v>
      </c>
      <c r="I136" s="1269"/>
      <c r="K136" s="85" t="s">
        <v>32</v>
      </c>
      <c r="L136" s="93" t="s">
        <v>64</v>
      </c>
      <c r="M136" s="93"/>
      <c r="N136" s="93"/>
      <c r="O136" s="295">
        <v>2.5000000000000001E-3</v>
      </c>
      <c r="P136" s="295">
        <f>O136*(100%+$F$125)</f>
        <v>2.5000000000000001E-3</v>
      </c>
      <c r="Q136" s="608">
        <f>IF($F$126="DA",ROUND(P136*$F$121,1),0)</f>
        <v>0</v>
      </c>
      <c r="R136" s="84">
        <f>+Q136*$F$122</f>
        <v>0</v>
      </c>
      <c r="U136" s="471">
        <f t="shared" ref="U136:V138" si="1">+E136+O136</f>
        <v>5.0000000000000001E-3</v>
      </c>
      <c r="V136" s="471">
        <f t="shared" si="1"/>
        <v>5.0000000000000001E-3</v>
      </c>
      <c r="W136" s="608">
        <f t="shared" ref="W136:W138" si="2">+G136+Q136</f>
        <v>0</v>
      </c>
      <c r="X136" s="84">
        <f t="shared" ref="X136:X138" si="3">+H136+R136</f>
        <v>0</v>
      </c>
    </row>
    <row r="137" spans="1:25" s="9" customFormat="1" ht="14.25">
      <c r="A137" s="85" t="s">
        <v>33</v>
      </c>
      <c r="B137" s="93" t="s">
        <v>65</v>
      </c>
      <c r="C137" s="93"/>
      <c r="D137" s="93"/>
      <c r="E137" s="295">
        <v>2.5000000000000001E-3</v>
      </c>
      <c r="F137" s="295">
        <f>E137*(100%+$F$124)</f>
        <v>2.5000000000000001E-3</v>
      </c>
      <c r="G137" s="608">
        <f>ROUND(F137*$F$121,1)</f>
        <v>0</v>
      </c>
      <c r="H137" s="84">
        <f t="shared" ref="H137" si="4">+G137*$F$122</f>
        <v>0</v>
      </c>
      <c r="I137" s="1269"/>
      <c r="K137" s="85" t="s">
        <v>33</v>
      </c>
      <c r="L137" s="93" t="s">
        <v>65</v>
      </c>
      <c r="M137" s="93"/>
      <c r="N137" s="93"/>
      <c r="O137" s="295">
        <v>2.5000000000000001E-3</v>
      </c>
      <c r="P137" s="295">
        <f>O137*(100%+$F$125)</f>
        <v>2.5000000000000001E-3</v>
      </c>
      <c r="Q137" s="608">
        <f t="shared" ref="Q137:Q138" si="5">IF($F$126="DA",ROUND(P137*$F$121,1),0)</f>
        <v>0</v>
      </c>
      <c r="R137" s="84">
        <f t="shared" ref="R137:R138" si="6">+Q137*$F$122</f>
        <v>0</v>
      </c>
      <c r="U137" s="471">
        <f t="shared" si="1"/>
        <v>5.0000000000000001E-3</v>
      </c>
      <c r="V137" s="471">
        <f t="shared" si="1"/>
        <v>5.0000000000000001E-3</v>
      </c>
      <c r="W137" s="608">
        <f t="shared" si="2"/>
        <v>0</v>
      </c>
      <c r="X137" s="84">
        <f t="shared" si="3"/>
        <v>0</v>
      </c>
    </row>
    <row r="138" spans="1:25" s="9" customFormat="1" ht="14.25">
      <c r="A138" s="111" t="s">
        <v>34</v>
      </c>
      <c r="B138" s="112" t="s">
        <v>695</v>
      </c>
      <c r="C138" s="112"/>
      <c r="D138" s="112"/>
      <c r="E138" s="470"/>
      <c r="F138" s="470"/>
      <c r="G138" s="609"/>
      <c r="H138" s="88"/>
      <c r="K138" s="111" t="s">
        <v>34</v>
      </c>
      <c r="L138" s="112" t="s">
        <v>695</v>
      </c>
      <c r="M138" s="112"/>
      <c r="N138" s="112"/>
      <c r="O138" s="470">
        <v>0.01</v>
      </c>
      <c r="P138" s="470">
        <f>O138*(100%+$F$125)</f>
        <v>0.01</v>
      </c>
      <c r="Q138" s="609">
        <f t="shared" si="5"/>
        <v>0</v>
      </c>
      <c r="R138" s="88">
        <f t="shared" si="6"/>
        <v>0</v>
      </c>
      <c r="U138" s="472">
        <f t="shared" si="1"/>
        <v>0.01</v>
      </c>
      <c r="V138" s="472">
        <f t="shared" si="1"/>
        <v>0.01</v>
      </c>
      <c r="W138" s="609">
        <f t="shared" si="2"/>
        <v>0</v>
      </c>
      <c r="X138" s="88">
        <f t="shared" si="3"/>
        <v>0</v>
      </c>
    </row>
    <row r="139" spans="1:25" s="9" customFormat="1" ht="14.25">
      <c r="A139" s="110">
        <v>2</v>
      </c>
      <c r="B139" s="99" t="s">
        <v>35</v>
      </c>
      <c r="C139" s="99"/>
      <c r="D139" s="99"/>
      <c r="E139" s="297">
        <f>SUM(E140:E149)</f>
        <v>0.5</v>
      </c>
      <c r="F139" s="297">
        <f>SUM(F140:F149)</f>
        <v>0.5</v>
      </c>
      <c r="G139" s="610">
        <f>SUM(G140:G149)</f>
        <v>0</v>
      </c>
      <c r="H139" s="101">
        <f>SUM(H140:H149)</f>
        <v>0</v>
      </c>
      <c r="I139" s="122">
        <f>IFERROR(H139/'OSNOVNI PODATKI'!$E$311,0)</f>
        <v>0</v>
      </c>
      <c r="K139" s="110">
        <v>2</v>
      </c>
      <c r="L139" s="99" t="s">
        <v>35</v>
      </c>
      <c r="M139" s="99"/>
      <c r="N139" s="99"/>
      <c r="O139" s="297">
        <f>SUM(O140:O149)</f>
        <v>0.1</v>
      </c>
      <c r="P139" s="297">
        <f>SUM(P140:P149)</f>
        <v>0.1</v>
      </c>
      <c r="Q139" s="610">
        <f>SUM(Q140:Q149)</f>
        <v>0</v>
      </c>
      <c r="R139" s="101">
        <f>SUM(R140:R149)</f>
        <v>0</v>
      </c>
      <c r="S139" s="122">
        <f>IFERROR(R139/'OSNOVNI PODATKI'!$E$311,0)</f>
        <v>0</v>
      </c>
      <c r="U139" s="297">
        <f>SUM(U140:U149)</f>
        <v>0.6</v>
      </c>
      <c r="V139" s="297">
        <f>SUM(V140:V149)</f>
        <v>0.6</v>
      </c>
      <c r="W139" s="610">
        <f t="shared" ref="W139:X139" si="7">SUM(W140:W149)</f>
        <v>0</v>
      </c>
      <c r="X139" s="101">
        <f t="shared" si="7"/>
        <v>0</v>
      </c>
      <c r="Y139" s="122">
        <f>IFERROR(X139/'OSNOVNI PODATKI'!$E$311,0)</f>
        <v>0</v>
      </c>
    </row>
    <row r="140" spans="1:25" s="9" customFormat="1" ht="14.25">
      <c r="A140" s="85" t="s">
        <v>48</v>
      </c>
      <c r="B140" s="93" t="s">
        <v>78</v>
      </c>
      <c r="C140" s="93"/>
      <c r="D140" s="93"/>
      <c r="E140" s="471">
        <v>7.4999999999999997E-2</v>
      </c>
      <c r="F140" s="295">
        <f>E140*(100%+$F$124)</f>
        <v>7.4999999999999997E-2</v>
      </c>
      <c r="G140" s="608">
        <f t="shared" ref="G140:G141" si="8">ROUND(F140*$F$121,1)</f>
        <v>0</v>
      </c>
      <c r="H140" s="84">
        <f t="shared" ref="H140:H146" si="9">+G140*$F$122</f>
        <v>0</v>
      </c>
      <c r="I140" s="1269"/>
      <c r="K140" s="85" t="s">
        <v>48</v>
      </c>
      <c r="L140" s="93" t="s">
        <v>78</v>
      </c>
      <c r="M140" s="93"/>
      <c r="N140" s="93"/>
      <c r="O140" s="471">
        <v>2.5000000000000001E-3</v>
      </c>
      <c r="P140" s="295">
        <f t="shared" ref="P140:P147" si="10">O140*(100%+$F$125)</f>
        <v>2.5000000000000001E-3</v>
      </c>
      <c r="Q140" s="608">
        <f t="shared" ref="Q140:Q141" si="11">IF($F$126="DA",ROUND(P140*$F$121,1),0)</f>
        <v>0</v>
      </c>
      <c r="R140" s="84">
        <f t="shared" ref="R140:R149" si="12">+Q140*$F$122</f>
        <v>0</v>
      </c>
      <c r="U140" s="471">
        <f>+E140+O140</f>
        <v>7.7499999999999999E-2</v>
      </c>
      <c r="V140" s="471">
        <f>+F140+P140</f>
        <v>7.7499999999999999E-2</v>
      </c>
      <c r="W140" s="608">
        <f t="shared" ref="W140:X149" si="13">+G140+Q140</f>
        <v>0</v>
      </c>
      <c r="X140" s="84">
        <f t="shared" si="13"/>
        <v>0</v>
      </c>
    </row>
    <row r="141" spans="1:25" s="9" customFormat="1" ht="14.25">
      <c r="A141" s="86" t="s">
        <v>49</v>
      </c>
      <c r="B141" s="97" t="s">
        <v>624</v>
      </c>
      <c r="C141" s="97"/>
      <c r="D141" s="97"/>
      <c r="E141" s="471">
        <v>0.15</v>
      </c>
      <c r="F141" s="295">
        <f>E141*(100%+$F$124)</f>
        <v>0.15</v>
      </c>
      <c r="G141" s="608">
        <f t="shared" si="8"/>
        <v>0</v>
      </c>
      <c r="H141" s="84">
        <f t="shared" si="9"/>
        <v>0</v>
      </c>
      <c r="I141" s="1269"/>
      <c r="K141" s="86" t="s">
        <v>49</v>
      </c>
      <c r="L141" s="97" t="s">
        <v>624</v>
      </c>
      <c r="M141" s="97"/>
      <c r="N141" s="97"/>
      <c r="O141" s="471">
        <v>7.4999999999999997E-3</v>
      </c>
      <c r="P141" s="295">
        <f t="shared" si="10"/>
        <v>7.4999999999999997E-3</v>
      </c>
      <c r="Q141" s="608">
        <f t="shared" si="11"/>
        <v>0</v>
      </c>
      <c r="R141" s="84">
        <f t="shared" si="12"/>
        <v>0</v>
      </c>
      <c r="U141" s="471">
        <f t="shared" ref="U141:U149" si="14">+E141+O141</f>
        <v>0.1575</v>
      </c>
      <c r="V141" s="471">
        <f t="shared" ref="V141:V149" si="15">+F141+P141</f>
        <v>0.1575</v>
      </c>
      <c r="W141" s="608">
        <f t="shared" si="13"/>
        <v>0</v>
      </c>
      <c r="X141" s="84">
        <f t="shared" si="13"/>
        <v>0</v>
      </c>
    </row>
    <row r="142" spans="1:25" s="9" customFormat="1" ht="14.25">
      <c r="A142" s="86" t="s">
        <v>50</v>
      </c>
      <c r="B142" s="97" t="s">
        <v>699</v>
      </c>
      <c r="C142" s="97"/>
      <c r="D142" s="97"/>
      <c r="E142" s="471"/>
      <c r="F142" s="295"/>
      <c r="G142" s="608"/>
      <c r="H142" s="84"/>
      <c r="K142" s="86" t="s">
        <v>50</v>
      </c>
      <c r="L142" s="97" t="s">
        <v>699</v>
      </c>
      <c r="M142" s="97"/>
      <c r="N142" s="97"/>
      <c r="O142" s="471"/>
      <c r="P142" s="295"/>
      <c r="Q142" s="608"/>
      <c r="R142" s="84"/>
      <c r="U142" s="471"/>
      <c r="V142" s="471"/>
      <c r="W142" s="608"/>
      <c r="X142" s="84"/>
    </row>
    <row r="143" spans="1:25" s="9" customFormat="1" ht="14.25">
      <c r="A143" s="86"/>
      <c r="B143" s="97" t="s">
        <v>702</v>
      </c>
      <c r="C143" s="97"/>
      <c r="D143" s="97"/>
      <c r="E143" s="471"/>
      <c r="F143" s="295"/>
      <c r="G143" s="608"/>
      <c r="H143" s="84"/>
      <c r="K143" s="86"/>
      <c r="L143" s="97" t="s">
        <v>702</v>
      </c>
      <c r="M143" s="97"/>
      <c r="N143" s="97"/>
      <c r="O143" s="471">
        <v>0.01</v>
      </c>
      <c r="P143" s="295">
        <f t="shared" si="10"/>
        <v>0.01</v>
      </c>
      <c r="Q143" s="608">
        <f t="shared" ref="Q143:Q147" si="16">IF($F$126="DA",ROUND(P143*$F$121,1),0)</f>
        <v>0</v>
      </c>
      <c r="R143" s="84">
        <f t="shared" si="12"/>
        <v>0</v>
      </c>
      <c r="U143" s="471">
        <f t="shared" si="14"/>
        <v>0.01</v>
      </c>
      <c r="V143" s="471">
        <f t="shared" si="15"/>
        <v>0.01</v>
      </c>
      <c r="W143" s="608">
        <f t="shared" si="13"/>
        <v>0</v>
      </c>
      <c r="X143" s="84">
        <f t="shared" si="13"/>
        <v>0</v>
      </c>
    </row>
    <row r="144" spans="1:25" s="9" customFormat="1" ht="14.25">
      <c r="A144" s="86"/>
      <c r="B144" s="97" t="s">
        <v>703</v>
      </c>
      <c r="C144" s="97"/>
      <c r="D144" s="97"/>
      <c r="E144" s="471"/>
      <c r="F144" s="295"/>
      <c r="G144" s="608"/>
      <c r="H144" s="84"/>
      <c r="K144" s="86"/>
      <c r="L144" s="97" t="s">
        <v>703</v>
      </c>
      <c r="M144" s="97"/>
      <c r="N144" s="97"/>
      <c r="O144" s="471">
        <v>0.02</v>
      </c>
      <c r="P144" s="295">
        <f t="shared" si="10"/>
        <v>0.02</v>
      </c>
      <c r="Q144" s="608">
        <f t="shared" si="16"/>
        <v>0</v>
      </c>
      <c r="R144" s="84">
        <f t="shared" si="12"/>
        <v>0</v>
      </c>
      <c r="U144" s="471">
        <f t="shared" si="14"/>
        <v>0.02</v>
      </c>
      <c r="V144" s="471">
        <f t="shared" si="15"/>
        <v>0.02</v>
      </c>
      <c r="W144" s="608">
        <f t="shared" si="13"/>
        <v>0</v>
      </c>
      <c r="X144" s="84">
        <f t="shared" si="13"/>
        <v>0</v>
      </c>
    </row>
    <row r="145" spans="1:26" s="755" customFormat="1" ht="14.25">
      <c r="A145" s="750"/>
      <c r="B145" s="751" t="s">
        <v>879</v>
      </c>
      <c r="C145" s="751"/>
      <c r="D145" s="751"/>
      <c r="E145" s="749"/>
      <c r="F145" s="752"/>
      <c r="G145" s="608"/>
      <c r="H145" s="754"/>
      <c r="J145" s="9"/>
      <c r="K145" s="750"/>
      <c r="L145" s="751" t="s">
        <v>879</v>
      </c>
      <c r="M145" s="751"/>
      <c r="N145" s="751"/>
      <c r="O145" s="749">
        <v>0.02</v>
      </c>
      <c r="P145" s="756">
        <f t="shared" si="10"/>
        <v>0.02</v>
      </c>
      <c r="Q145" s="801">
        <f t="shared" si="16"/>
        <v>0</v>
      </c>
      <c r="R145" s="758">
        <f t="shared" si="12"/>
        <v>0</v>
      </c>
      <c r="T145" s="9"/>
      <c r="U145" s="749">
        <f t="shared" si="14"/>
        <v>0.02</v>
      </c>
      <c r="V145" s="749">
        <f t="shared" si="15"/>
        <v>0.02</v>
      </c>
      <c r="W145" s="803">
        <f t="shared" si="13"/>
        <v>0</v>
      </c>
      <c r="X145" s="758">
        <f t="shared" si="13"/>
        <v>0</v>
      </c>
      <c r="Z145" s="9"/>
    </row>
    <row r="146" spans="1:26" s="9" customFormat="1" ht="14.25">
      <c r="A146" s="86" t="s">
        <v>79</v>
      </c>
      <c r="B146" s="97" t="s">
        <v>625</v>
      </c>
      <c r="C146" s="97"/>
      <c r="D146" s="97"/>
      <c r="E146" s="471">
        <v>0.25</v>
      </c>
      <c r="F146" s="295">
        <f>E146*(100%+$F$124)</f>
        <v>0.25</v>
      </c>
      <c r="G146" s="608">
        <f t="shared" ref="G146:G148" si="17">ROUND(F146*$F$121,1)</f>
        <v>0</v>
      </c>
      <c r="H146" s="84">
        <f t="shared" si="9"/>
        <v>0</v>
      </c>
      <c r="I146" s="1269"/>
      <c r="K146" s="86" t="s">
        <v>79</v>
      </c>
      <c r="L146" s="97" t="s">
        <v>625</v>
      </c>
      <c r="M146" s="97"/>
      <c r="N146" s="97"/>
      <c r="O146" s="471">
        <v>1.7500000000000002E-2</v>
      </c>
      <c r="P146" s="295">
        <f>O146*(100%+$F$125)</f>
        <v>1.7500000000000002E-2</v>
      </c>
      <c r="Q146" s="608">
        <f t="shared" si="16"/>
        <v>0</v>
      </c>
      <c r="R146" s="84">
        <f t="shared" si="12"/>
        <v>0</v>
      </c>
      <c r="U146" s="471">
        <f t="shared" si="14"/>
        <v>0.26750000000000002</v>
      </c>
      <c r="V146" s="471">
        <f t="shared" si="15"/>
        <v>0.26750000000000002</v>
      </c>
      <c r="W146" s="608">
        <f t="shared" si="13"/>
        <v>0</v>
      </c>
      <c r="X146" s="84">
        <f t="shared" si="13"/>
        <v>0</v>
      </c>
    </row>
    <row r="147" spans="1:26" s="9" customFormat="1" ht="14.25">
      <c r="A147" s="86" t="s">
        <v>80</v>
      </c>
      <c r="B147" s="97" t="s">
        <v>696</v>
      </c>
      <c r="C147" s="97"/>
      <c r="D147" s="97"/>
      <c r="E147" s="471">
        <v>2.2499999999999999E-2</v>
      </c>
      <c r="F147" s="295">
        <f>E147*(100%+$F$124)</f>
        <v>2.2499999999999999E-2</v>
      </c>
      <c r="G147" s="800">
        <f t="shared" si="17"/>
        <v>0</v>
      </c>
      <c r="H147" s="710">
        <f t="shared" ref="H147:H148" si="18">+G147*$F$122</f>
        <v>0</v>
      </c>
      <c r="I147" s="1269"/>
      <c r="K147" s="86" t="s">
        <v>80</v>
      </c>
      <c r="L147" s="97" t="s">
        <v>696</v>
      </c>
      <c r="M147" s="97"/>
      <c r="N147" s="97"/>
      <c r="O147" s="471">
        <v>2.5000000000000001E-3</v>
      </c>
      <c r="P147" s="295">
        <f t="shared" si="10"/>
        <v>2.5000000000000001E-3</v>
      </c>
      <c r="Q147" s="608">
        <f t="shared" si="16"/>
        <v>0</v>
      </c>
      <c r="R147" s="84">
        <f t="shared" si="12"/>
        <v>0</v>
      </c>
      <c r="U147" s="471">
        <f t="shared" si="14"/>
        <v>2.4999999999999998E-2</v>
      </c>
      <c r="V147" s="471">
        <f t="shared" si="15"/>
        <v>2.4999999999999998E-2</v>
      </c>
      <c r="W147" s="608">
        <f t="shared" si="13"/>
        <v>0</v>
      </c>
      <c r="X147" s="84">
        <f t="shared" si="13"/>
        <v>0</v>
      </c>
    </row>
    <row r="148" spans="1:26" s="755" customFormat="1" ht="14.25">
      <c r="A148" s="759"/>
      <c r="B148" s="760" t="s">
        <v>797</v>
      </c>
      <c r="C148" s="760"/>
      <c r="D148" s="760"/>
      <c r="E148" s="761">
        <v>2.5000000000000001E-3</v>
      </c>
      <c r="F148" s="762">
        <f>E148*(100%+$F$124)</f>
        <v>2.5000000000000001E-3</v>
      </c>
      <c r="G148" s="801">
        <f t="shared" si="17"/>
        <v>0</v>
      </c>
      <c r="H148" s="758">
        <f t="shared" si="18"/>
        <v>0</v>
      </c>
      <c r="I148" s="1269"/>
      <c r="J148" s="9"/>
      <c r="K148" s="759"/>
      <c r="L148" s="760" t="s">
        <v>797</v>
      </c>
      <c r="M148" s="760"/>
      <c r="N148" s="760"/>
      <c r="O148" s="761"/>
      <c r="P148" s="763"/>
      <c r="Q148" s="764"/>
      <c r="R148" s="765"/>
      <c r="T148" s="9"/>
      <c r="U148" s="749">
        <f t="shared" si="14"/>
        <v>2.5000000000000001E-3</v>
      </c>
      <c r="V148" s="749">
        <f t="shared" si="15"/>
        <v>2.5000000000000001E-3</v>
      </c>
      <c r="W148" s="804">
        <f t="shared" si="13"/>
        <v>0</v>
      </c>
      <c r="X148" s="765">
        <f t="shared" si="13"/>
        <v>0</v>
      </c>
      <c r="Z148" s="9"/>
    </row>
    <row r="149" spans="1:26" s="755" customFormat="1" ht="14.25">
      <c r="A149" s="766"/>
      <c r="B149" s="767" t="s">
        <v>868</v>
      </c>
      <c r="C149" s="767"/>
      <c r="D149" s="767"/>
      <c r="E149" s="768"/>
      <c r="F149" s="769"/>
      <c r="G149" s="609"/>
      <c r="H149" s="771"/>
      <c r="J149" s="9"/>
      <c r="K149" s="766"/>
      <c r="L149" s="767" t="s">
        <v>868</v>
      </c>
      <c r="M149" s="767"/>
      <c r="N149" s="767"/>
      <c r="O149" s="768">
        <v>0.02</v>
      </c>
      <c r="P149" s="772">
        <f>O149*(100%+$F$125)</f>
        <v>0.02</v>
      </c>
      <c r="Q149" s="802">
        <f>IF($F$126="DA",ROUND(P149*$F$121,1),0)</f>
        <v>0</v>
      </c>
      <c r="R149" s="799">
        <f t="shared" si="12"/>
        <v>0</v>
      </c>
      <c r="T149" s="9"/>
      <c r="U149" s="768">
        <f t="shared" si="14"/>
        <v>0.02</v>
      </c>
      <c r="V149" s="768">
        <f t="shared" si="15"/>
        <v>0.02</v>
      </c>
      <c r="W149" s="805">
        <f t="shared" si="13"/>
        <v>0</v>
      </c>
      <c r="X149" s="799">
        <f t="shared" si="13"/>
        <v>0</v>
      </c>
      <c r="Z149" s="9"/>
    </row>
    <row r="150" spans="1:26" s="9" customFormat="1" ht="14.25">
      <c r="A150" s="113" t="s">
        <v>36</v>
      </c>
      <c r="B150" s="99" t="s">
        <v>101</v>
      </c>
      <c r="C150" s="99"/>
      <c r="D150" s="99"/>
      <c r="E150" s="297">
        <f>SUM(E151:E153)</f>
        <v>0.01</v>
      </c>
      <c r="F150" s="297">
        <f>SUM(F151:F153)</f>
        <v>0.01</v>
      </c>
      <c r="G150" s="607">
        <f>SUM(G151:G154)</f>
        <v>0</v>
      </c>
      <c r="H150" s="101">
        <f>SUM(H151:H154)</f>
        <v>0</v>
      </c>
      <c r="I150" s="122">
        <f>IFERROR(H150/'OSNOVNI PODATKI'!$E$311,0)</f>
        <v>0</v>
      </c>
      <c r="K150" s="113" t="s">
        <v>36</v>
      </c>
      <c r="L150" s="99" t="s">
        <v>101</v>
      </c>
      <c r="M150" s="99"/>
      <c r="N150" s="99"/>
      <c r="O150" s="297">
        <f>SUM(O151:O154)</f>
        <v>3.0000000000000002E-2</v>
      </c>
      <c r="P150" s="297">
        <f>SUM(P151:P154)</f>
        <v>3.0000000000000002E-2</v>
      </c>
      <c r="Q150" s="607">
        <f>SUM(Q151:Q154)</f>
        <v>0</v>
      </c>
      <c r="R150" s="101">
        <f>SUM(R151:R154)</f>
        <v>0</v>
      </c>
      <c r="S150" s="122">
        <f>IFERROR(R150/'OSNOVNI PODATKI'!$E$311,0)</f>
        <v>0</v>
      </c>
      <c r="U150" s="297">
        <f>SUM(U151:U154)</f>
        <v>0.04</v>
      </c>
      <c r="V150" s="297">
        <f>SUM(V151:V154)</f>
        <v>0.04</v>
      </c>
      <c r="W150" s="607">
        <f t="shared" ref="W150:X150" si="19">SUM(W151:W154)</f>
        <v>0</v>
      </c>
      <c r="X150" s="101">
        <f t="shared" si="19"/>
        <v>0</v>
      </c>
      <c r="Y150" s="122">
        <f>IFERROR(X150/'OSNOVNI PODATKI'!$E$311,0)</f>
        <v>0</v>
      </c>
    </row>
    <row r="151" spans="1:26" s="9" customFormat="1" ht="14.25">
      <c r="A151" s="86" t="s">
        <v>37</v>
      </c>
      <c r="B151" s="92" t="s">
        <v>697</v>
      </c>
      <c r="C151" s="92"/>
      <c r="D151" s="92"/>
      <c r="E151" s="295">
        <v>5.0000000000000001E-3</v>
      </c>
      <c r="F151" s="295">
        <f>E151*(100%+$F$124)</f>
        <v>5.0000000000000001E-3</v>
      </c>
      <c r="G151" s="608">
        <f>ROUND(F151*$F$121,1)</f>
        <v>0</v>
      </c>
      <c r="H151" s="84">
        <f t="shared" ref="H151:H153" si="20">+G151*$F$122</f>
        <v>0</v>
      </c>
      <c r="K151" s="86" t="s">
        <v>37</v>
      </c>
      <c r="L151" s="92" t="s">
        <v>697</v>
      </c>
      <c r="M151" s="92"/>
      <c r="N151" s="92"/>
      <c r="O151" s="295">
        <v>2.5000000000000001E-3</v>
      </c>
      <c r="P151" s="295">
        <f>O151*(100%+$F$125)</f>
        <v>2.5000000000000001E-3</v>
      </c>
      <c r="Q151" s="608">
        <f t="shared" ref="Q151:Q154" si="21">IF($F$126="DA",ROUND(P151*$F$121,1),0)</f>
        <v>0</v>
      </c>
      <c r="R151" s="84">
        <f t="shared" ref="R151:R154" si="22">+Q151*$F$122</f>
        <v>0</v>
      </c>
      <c r="U151" s="471">
        <f t="shared" ref="U151:V154" si="23">+E151+O151</f>
        <v>7.4999999999999997E-3</v>
      </c>
      <c r="V151" s="471">
        <f t="shared" si="23"/>
        <v>7.4999999999999997E-3</v>
      </c>
      <c r="W151" s="608">
        <f t="shared" ref="W151:W154" si="24">+G151+Q151</f>
        <v>0</v>
      </c>
      <c r="X151" s="84">
        <f t="shared" ref="X151:X154" si="25">+H151+R151</f>
        <v>0</v>
      </c>
    </row>
    <row r="152" spans="1:26" s="755" customFormat="1" ht="14.25">
      <c r="A152" s="759"/>
      <c r="B152" s="760" t="s">
        <v>869</v>
      </c>
      <c r="C152" s="760"/>
      <c r="D152" s="760"/>
      <c r="E152" s="761"/>
      <c r="F152" s="762"/>
      <c r="G152" s="783"/>
      <c r="H152" s="765"/>
      <c r="K152" s="750"/>
      <c r="L152" s="760" t="s">
        <v>869</v>
      </c>
      <c r="M152" s="751"/>
      <c r="N152" s="751"/>
      <c r="O152" s="749">
        <v>7.4999999999999997E-3</v>
      </c>
      <c r="P152" s="756">
        <f>O152*(100%+$F$125)</f>
        <v>7.4999999999999997E-3</v>
      </c>
      <c r="Q152" s="801">
        <f t="shared" si="21"/>
        <v>0</v>
      </c>
      <c r="R152" s="758">
        <f t="shared" si="22"/>
        <v>0</v>
      </c>
      <c r="U152" s="749">
        <f t="shared" si="23"/>
        <v>7.4999999999999997E-3</v>
      </c>
      <c r="V152" s="749">
        <f t="shared" si="23"/>
        <v>7.4999999999999997E-3</v>
      </c>
      <c r="W152" s="803">
        <f t="shared" si="24"/>
        <v>0</v>
      </c>
      <c r="X152" s="758">
        <f t="shared" si="25"/>
        <v>0</v>
      </c>
    </row>
    <row r="153" spans="1:26" s="9" customFormat="1" ht="14.25">
      <c r="A153" s="86" t="s">
        <v>38</v>
      </c>
      <c r="B153" s="92" t="s">
        <v>180</v>
      </c>
      <c r="C153" s="92"/>
      <c r="D153" s="92"/>
      <c r="E153" s="295">
        <v>5.0000000000000001E-3</v>
      </c>
      <c r="F153" s="295">
        <f>E153*(100%+$F$124)</f>
        <v>5.0000000000000001E-3</v>
      </c>
      <c r="G153" s="608">
        <f>ROUND(F153*$F$121,1)</f>
        <v>0</v>
      </c>
      <c r="H153" s="84">
        <f t="shared" si="20"/>
        <v>0</v>
      </c>
      <c r="K153" s="86" t="s">
        <v>38</v>
      </c>
      <c r="L153" s="92" t="s">
        <v>180</v>
      </c>
      <c r="M153" s="92"/>
      <c r="N153" s="92"/>
      <c r="O153" s="295">
        <v>2.5000000000000001E-3</v>
      </c>
      <c r="P153" s="295">
        <f>O153*(100%+$F$125)</f>
        <v>2.5000000000000001E-3</v>
      </c>
      <c r="Q153" s="608">
        <f t="shared" si="21"/>
        <v>0</v>
      </c>
      <c r="R153" s="84">
        <f t="shared" si="22"/>
        <v>0</v>
      </c>
      <c r="U153" s="471">
        <f t="shared" si="23"/>
        <v>7.4999999999999997E-3</v>
      </c>
      <c r="V153" s="471">
        <f t="shared" si="23"/>
        <v>7.4999999999999997E-3</v>
      </c>
      <c r="W153" s="608">
        <f t="shared" si="24"/>
        <v>0</v>
      </c>
      <c r="X153" s="84">
        <f t="shared" si="25"/>
        <v>0</v>
      </c>
    </row>
    <row r="154" spans="1:26" s="755" customFormat="1" ht="14.25">
      <c r="A154" s="766"/>
      <c r="B154" s="767" t="s">
        <v>869</v>
      </c>
      <c r="C154" s="767"/>
      <c r="D154" s="767"/>
      <c r="E154" s="768"/>
      <c r="F154" s="772"/>
      <c r="G154" s="609"/>
      <c r="H154" s="771"/>
      <c r="K154" s="766"/>
      <c r="L154" s="767" t="s">
        <v>869</v>
      </c>
      <c r="M154" s="767"/>
      <c r="N154" s="767"/>
      <c r="O154" s="768">
        <v>1.7500000000000002E-2</v>
      </c>
      <c r="P154" s="772">
        <f>O154*(100%+$F$125)</f>
        <v>1.7500000000000002E-2</v>
      </c>
      <c r="Q154" s="802">
        <f t="shared" si="21"/>
        <v>0</v>
      </c>
      <c r="R154" s="799">
        <f t="shared" si="22"/>
        <v>0</v>
      </c>
      <c r="U154" s="768">
        <f t="shared" si="23"/>
        <v>1.7500000000000002E-2</v>
      </c>
      <c r="V154" s="768">
        <f t="shared" si="23"/>
        <v>1.7500000000000002E-2</v>
      </c>
      <c r="W154" s="805">
        <f t="shared" si="24"/>
        <v>0</v>
      </c>
      <c r="X154" s="799">
        <f t="shared" si="25"/>
        <v>0</v>
      </c>
    </row>
    <row r="155" spans="1:26" s="9" customFormat="1" ht="14.25">
      <c r="A155" s="117">
        <v>4</v>
      </c>
      <c r="B155" s="99" t="s">
        <v>57</v>
      </c>
      <c r="C155" s="99"/>
      <c r="D155" s="99"/>
      <c r="E155" s="297">
        <f>SUM(E156:E163)</f>
        <v>0.28000000000000003</v>
      </c>
      <c r="F155" s="297">
        <f>SUM(F156:F163)</f>
        <v>0.28000000000000003</v>
      </c>
      <c r="G155" s="607">
        <f>SUM(G156:G163)</f>
        <v>0</v>
      </c>
      <c r="H155" s="101">
        <f>SUM(H156:H163)</f>
        <v>0</v>
      </c>
      <c r="I155" s="122">
        <f>IFERROR(H155/'OSNOVNI PODATKI'!$E$311,0)</f>
        <v>0</v>
      </c>
      <c r="K155" s="117">
        <v>4</v>
      </c>
      <c r="L155" s="99" t="s">
        <v>57</v>
      </c>
      <c r="M155" s="99"/>
      <c r="N155" s="99"/>
      <c r="O155" s="297">
        <f>SUM(O156:O163)</f>
        <v>0.04</v>
      </c>
      <c r="P155" s="297">
        <f>SUM(P156:P163)</f>
        <v>0.04</v>
      </c>
      <c r="Q155" s="607">
        <f>SUM(Q156:Q163)</f>
        <v>0</v>
      </c>
      <c r="R155" s="101">
        <f>SUM(R156:R163)</f>
        <v>0</v>
      </c>
      <c r="S155" s="122">
        <f>IFERROR(R155/'OSNOVNI PODATKI'!$E$311,0)</f>
        <v>0</v>
      </c>
      <c r="T155" s="122"/>
      <c r="U155" s="297">
        <f>SUM(U156:U163)</f>
        <v>0.32000000000000006</v>
      </c>
      <c r="V155" s="297">
        <f>SUM(V156:V163)</f>
        <v>0.32000000000000006</v>
      </c>
      <c r="W155" s="607">
        <f t="shared" ref="W155:X155" si="26">SUM(W156:W163)</f>
        <v>0</v>
      </c>
      <c r="X155" s="101">
        <f t="shared" si="26"/>
        <v>0</v>
      </c>
      <c r="Y155" s="122">
        <f>IFERROR(X155/'OSNOVNI PODATKI'!$E$311,0)</f>
        <v>0</v>
      </c>
    </row>
    <row r="156" spans="1:26" s="9" customFormat="1" ht="14.25">
      <c r="A156" s="86" t="s">
        <v>39</v>
      </c>
      <c r="B156" s="92" t="s">
        <v>181</v>
      </c>
      <c r="C156" s="92"/>
      <c r="D156" s="92"/>
      <c r="E156" s="295"/>
      <c r="F156" s="295"/>
      <c r="G156" s="608"/>
      <c r="H156" s="84">
        <f t="shared" ref="H156:H163" si="27">+G156*$F$122</f>
        <v>0</v>
      </c>
      <c r="K156" s="86" t="s">
        <v>39</v>
      </c>
      <c r="L156" s="92" t="s">
        <v>181</v>
      </c>
      <c r="M156" s="92"/>
      <c r="N156" s="92"/>
      <c r="O156" s="295">
        <v>0.01</v>
      </c>
      <c r="P156" s="295">
        <f t="shared" ref="P156:P163" si="28">O156*(100%+$F$125)</f>
        <v>0.01</v>
      </c>
      <c r="Q156" s="608">
        <f t="shared" ref="Q156:Q163" si="29">IF($F$126="DA",ROUND(P156*$F$121,1),0)</f>
        <v>0</v>
      </c>
      <c r="R156" s="84">
        <f t="shared" ref="R156:R163" si="30">+Q156*$F$122</f>
        <v>0</v>
      </c>
      <c r="U156" s="471">
        <f t="shared" ref="U156:V163" si="31">+E156+O156</f>
        <v>0.01</v>
      </c>
      <c r="V156" s="471">
        <f t="shared" si="31"/>
        <v>0.01</v>
      </c>
      <c r="W156" s="608">
        <f t="shared" ref="W156:W163" si="32">+G156+Q156</f>
        <v>0</v>
      </c>
      <c r="X156" s="84">
        <f t="shared" ref="X156:X163" si="33">+H156+R156</f>
        <v>0</v>
      </c>
    </row>
    <row r="157" spans="1:26" s="9" customFormat="1" ht="14.25">
      <c r="A157" s="86" t="s">
        <v>40</v>
      </c>
      <c r="B157" s="92" t="s">
        <v>712</v>
      </c>
      <c r="C157" s="92"/>
      <c r="D157" s="92"/>
      <c r="E157" s="295">
        <v>5.5E-2</v>
      </c>
      <c r="F157" s="295">
        <f t="shared" ref="F157:F163" si="34">E157*(100%+$F$124)</f>
        <v>5.5E-2</v>
      </c>
      <c r="G157" s="608">
        <f t="shared" ref="G157:G163" si="35">ROUND(F157*$F$121,1)</f>
        <v>0</v>
      </c>
      <c r="H157" s="84">
        <f t="shared" si="27"/>
        <v>0</v>
      </c>
      <c r="K157" s="86" t="s">
        <v>40</v>
      </c>
      <c r="L157" s="92" t="s">
        <v>712</v>
      </c>
      <c r="M157" s="92"/>
      <c r="N157" s="92"/>
      <c r="O157" s="295">
        <v>5.0000000000000001E-3</v>
      </c>
      <c r="P157" s="295">
        <f t="shared" si="28"/>
        <v>5.0000000000000001E-3</v>
      </c>
      <c r="Q157" s="608">
        <f t="shared" si="29"/>
        <v>0</v>
      </c>
      <c r="R157" s="84">
        <f t="shared" si="30"/>
        <v>0</v>
      </c>
      <c r="U157" s="471">
        <f t="shared" si="31"/>
        <v>0.06</v>
      </c>
      <c r="V157" s="471">
        <f t="shared" si="31"/>
        <v>0.06</v>
      </c>
      <c r="W157" s="608">
        <f t="shared" si="32"/>
        <v>0</v>
      </c>
      <c r="X157" s="84">
        <f t="shared" si="33"/>
        <v>0</v>
      </c>
    </row>
    <row r="158" spans="1:26" s="755" customFormat="1" ht="14.25">
      <c r="A158" s="750"/>
      <c r="B158" s="751" t="s">
        <v>400</v>
      </c>
      <c r="C158" s="751"/>
      <c r="D158" s="751"/>
      <c r="E158" s="749">
        <v>0.185</v>
      </c>
      <c r="F158" s="756">
        <f t="shared" si="34"/>
        <v>0.185</v>
      </c>
      <c r="G158" s="801">
        <f t="shared" si="35"/>
        <v>0</v>
      </c>
      <c r="H158" s="758">
        <f t="shared" si="27"/>
        <v>0</v>
      </c>
      <c r="K158" s="750"/>
      <c r="L158" s="751" t="s">
        <v>400</v>
      </c>
      <c r="M158" s="751"/>
      <c r="N158" s="751"/>
      <c r="O158" s="749">
        <v>1.4999999999999999E-2</v>
      </c>
      <c r="P158" s="756">
        <f t="shared" si="28"/>
        <v>1.4999999999999999E-2</v>
      </c>
      <c r="Q158" s="801">
        <f t="shared" si="29"/>
        <v>0</v>
      </c>
      <c r="R158" s="758">
        <f t="shared" si="30"/>
        <v>0</v>
      </c>
      <c r="U158" s="749">
        <f t="shared" si="31"/>
        <v>0.2</v>
      </c>
      <c r="V158" s="749">
        <f t="shared" si="31"/>
        <v>0.2</v>
      </c>
      <c r="W158" s="803">
        <f t="shared" si="32"/>
        <v>0</v>
      </c>
      <c r="X158" s="758">
        <f t="shared" si="33"/>
        <v>0</v>
      </c>
    </row>
    <row r="159" spans="1:26" s="9" customFormat="1" ht="14.25">
      <c r="A159" s="86" t="s">
        <v>41</v>
      </c>
      <c r="B159" s="92" t="s">
        <v>796</v>
      </c>
      <c r="C159" s="92"/>
      <c r="D159" s="92"/>
      <c r="E159" s="295">
        <v>4.0000000000000001E-3</v>
      </c>
      <c r="F159" s="295">
        <f t="shared" si="34"/>
        <v>4.0000000000000001E-3</v>
      </c>
      <c r="G159" s="608">
        <f t="shared" si="35"/>
        <v>0</v>
      </c>
      <c r="H159" s="84">
        <f t="shared" si="27"/>
        <v>0</v>
      </c>
      <c r="K159" s="86" t="s">
        <v>41</v>
      </c>
      <c r="L159" s="92" t="s">
        <v>796</v>
      </c>
      <c r="M159" s="92"/>
      <c r="N159" s="92"/>
      <c r="O159" s="295">
        <v>1E-3</v>
      </c>
      <c r="P159" s="295">
        <f t="shared" si="28"/>
        <v>1E-3</v>
      </c>
      <c r="Q159" s="608">
        <f t="shared" si="29"/>
        <v>0</v>
      </c>
      <c r="R159" s="84">
        <f t="shared" si="30"/>
        <v>0</v>
      </c>
      <c r="U159" s="471">
        <f t="shared" si="31"/>
        <v>5.0000000000000001E-3</v>
      </c>
      <c r="V159" s="471">
        <f t="shared" si="31"/>
        <v>5.0000000000000001E-3</v>
      </c>
      <c r="W159" s="608">
        <f t="shared" si="32"/>
        <v>0</v>
      </c>
      <c r="X159" s="84">
        <f t="shared" si="33"/>
        <v>0</v>
      </c>
    </row>
    <row r="160" spans="1:26" s="755" customFormat="1" ht="14.25">
      <c r="A160" s="750"/>
      <c r="B160" s="751" t="s">
        <v>400</v>
      </c>
      <c r="C160" s="751"/>
      <c r="D160" s="751"/>
      <c r="E160" s="749">
        <v>3.5000000000000001E-3</v>
      </c>
      <c r="F160" s="756">
        <f t="shared" si="34"/>
        <v>3.5000000000000001E-3</v>
      </c>
      <c r="G160" s="801">
        <f t="shared" si="35"/>
        <v>0</v>
      </c>
      <c r="H160" s="758">
        <f t="shared" si="27"/>
        <v>0</v>
      </c>
      <c r="K160" s="750"/>
      <c r="L160" s="751" t="s">
        <v>400</v>
      </c>
      <c r="M160" s="751"/>
      <c r="N160" s="751"/>
      <c r="O160" s="749">
        <v>1.5E-3</v>
      </c>
      <c r="P160" s="756">
        <f t="shared" si="28"/>
        <v>1.5E-3</v>
      </c>
      <c r="Q160" s="801">
        <f t="shared" si="29"/>
        <v>0</v>
      </c>
      <c r="R160" s="758">
        <f t="shared" si="30"/>
        <v>0</v>
      </c>
      <c r="U160" s="749">
        <f t="shared" si="31"/>
        <v>5.0000000000000001E-3</v>
      </c>
      <c r="V160" s="749">
        <f t="shared" si="31"/>
        <v>5.0000000000000001E-3</v>
      </c>
      <c r="W160" s="803">
        <f t="shared" si="32"/>
        <v>0</v>
      </c>
      <c r="X160" s="758">
        <f t="shared" si="33"/>
        <v>0</v>
      </c>
    </row>
    <row r="161" spans="1:25" s="9" customFormat="1" ht="14.25">
      <c r="A161" s="86" t="s">
        <v>42</v>
      </c>
      <c r="B161" s="92" t="s">
        <v>713</v>
      </c>
      <c r="C161" s="92"/>
      <c r="D161" s="92"/>
      <c r="E161" s="295">
        <v>4.0000000000000001E-3</v>
      </c>
      <c r="F161" s="295">
        <f t="shared" si="34"/>
        <v>4.0000000000000001E-3</v>
      </c>
      <c r="G161" s="608">
        <f t="shared" si="35"/>
        <v>0</v>
      </c>
      <c r="H161" s="84">
        <f t="shared" si="27"/>
        <v>0</v>
      </c>
      <c r="K161" s="86" t="s">
        <v>42</v>
      </c>
      <c r="L161" s="92" t="s">
        <v>713</v>
      </c>
      <c r="M161" s="92"/>
      <c r="N161" s="92"/>
      <c r="O161" s="295">
        <v>1E-3</v>
      </c>
      <c r="P161" s="295">
        <f t="shared" si="28"/>
        <v>1E-3</v>
      </c>
      <c r="Q161" s="608">
        <f t="shared" si="29"/>
        <v>0</v>
      </c>
      <c r="R161" s="84">
        <f t="shared" si="30"/>
        <v>0</v>
      </c>
      <c r="U161" s="471">
        <f t="shared" si="31"/>
        <v>5.0000000000000001E-3</v>
      </c>
      <c r="V161" s="471">
        <f t="shared" si="31"/>
        <v>5.0000000000000001E-3</v>
      </c>
      <c r="W161" s="608">
        <f t="shared" si="32"/>
        <v>0</v>
      </c>
      <c r="X161" s="84">
        <f t="shared" si="33"/>
        <v>0</v>
      </c>
    </row>
    <row r="162" spans="1:25" s="755" customFormat="1" ht="14.25">
      <c r="A162" s="750"/>
      <c r="B162" s="751" t="s">
        <v>400</v>
      </c>
      <c r="C162" s="751"/>
      <c r="D162" s="751"/>
      <c r="E162" s="749">
        <v>3.5000000000000001E-3</v>
      </c>
      <c r="F162" s="756">
        <f t="shared" si="34"/>
        <v>3.5000000000000001E-3</v>
      </c>
      <c r="G162" s="801">
        <f t="shared" si="35"/>
        <v>0</v>
      </c>
      <c r="H162" s="758">
        <f t="shared" si="27"/>
        <v>0</v>
      </c>
      <c r="K162" s="750"/>
      <c r="L162" s="751" t="s">
        <v>400</v>
      </c>
      <c r="M162" s="751"/>
      <c r="N162" s="751"/>
      <c r="O162" s="749">
        <v>1.5E-3</v>
      </c>
      <c r="P162" s="756">
        <f t="shared" si="28"/>
        <v>1.5E-3</v>
      </c>
      <c r="Q162" s="801">
        <f t="shared" si="29"/>
        <v>0</v>
      </c>
      <c r="R162" s="758">
        <f t="shared" si="30"/>
        <v>0</v>
      </c>
      <c r="U162" s="749">
        <f t="shared" si="31"/>
        <v>5.0000000000000001E-3</v>
      </c>
      <c r="V162" s="749">
        <f t="shared" si="31"/>
        <v>5.0000000000000001E-3</v>
      </c>
      <c r="W162" s="803">
        <f t="shared" si="32"/>
        <v>0</v>
      </c>
      <c r="X162" s="758">
        <f t="shared" si="33"/>
        <v>0</v>
      </c>
    </row>
    <row r="163" spans="1:25" s="9" customFormat="1" ht="14.25">
      <c r="A163" s="114" t="s">
        <v>43</v>
      </c>
      <c r="B163" s="87" t="s">
        <v>698</v>
      </c>
      <c r="C163" s="87"/>
      <c r="D163" s="87"/>
      <c r="E163" s="470">
        <v>2.5000000000000001E-2</v>
      </c>
      <c r="F163" s="295">
        <f t="shared" si="34"/>
        <v>2.5000000000000001E-2</v>
      </c>
      <c r="G163" s="609">
        <f t="shared" si="35"/>
        <v>0</v>
      </c>
      <c r="H163" s="88">
        <f t="shared" si="27"/>
        <v>0</v>
      </c>
      <c r="K163" s="114" t="s">
        <v>43</v>
      </c>
      <c r="L163" s="87" t="s">
        <v>698</v>
      </c>
      <c r="M163" s="87"/>
      <c r="N163" s="87"/>
      <c r="O163" s="470">
        <v>5.0000000000000001E-3</v>
      </c>
      <c r="P163" s="295">
        <f t="shared" si="28"/>
        <v>5.0000000000000001E-3</v>
      </c>
      <c r="Q163" s="609">
        <f t="shared" si="29"/>
        <v>0</v>
      </c>
      <c r="R163" s="88">
        <f t="shared" si="30"/>
        <v>0</v>
      </c>
      <c r="U163" s="472">
        <f t="shared" si="31"/>
        <v>3.0000000000000002E-2</v>
      </c>
      <c r="V163" s="472">
        <f t="shared" si="31"/>
        <v>3.0000000000000002E-2</v>
      </c>
      <c r="W163" s="609">
        <f t="shared" si="32"/>
        <v>0</v>
      </c>
      <c r="X163" s="88">
        <f t="shared" si="33"/>
        <v>0</v>
      </c>
    </row>
    <row r="164" spans="1:25" s="9" customFormat="1" ht="14.25">
      <c r="A164" s="118">
        <v>5</v>
      </c>
      <c r="B164" s="99" t="s">
        <v>44</v>
      </c>
      <c r="C164" s="99"/>
      <c r="D164" s="99"/>
      <c r="E164" s="297">
        <f>SUM(E165:E166)</f>
        <v>1.4999999999999999E-2</v>
      </c>
      <c r="F164" s="299">
        <f>SUM(F165:F166)</f>
        <v>1.4999999999999999E-2</v>
      </c>
      <c r="G164" s="607">
        <f>SUM(G165:G166)</f>
        <v>0</v>
      </c>
      <c r="H164" s="101">
        <f>SUM(H165:H166)</f>
        <v>0</v>
      </c>
      <c r="I164" s="122">
        <f>IFERROR(H164/'OSNOVNI PODATKI'!$E$311,0)</f>
        <v>0</v>
      </c>
      <c r="K164" s="118">
        <v>5</v>
      </c>
      <c r="L164" s="99" t="s">
        <v>44</v>
      </c>
      <c r="M164" s="99"/>
      <c r="N164" s="99"/>
      <c r="O164" s="297">
        <f>SUM(O165:O166)</f>
        <v>5.0000000000000001E-3</v>
      </c>
      <c r="P164" s="299">
        <f>SUM(P165:P166)</f>
        <v>5.0000000000000001E-3</v>
      </c>
      <c r="Q164" s="607">
        <f>SUM(Q165:Q166)</f>
        <v>0</v>
      </c>
      <c r="R164" s="101">
        <f>SUM(R165:R166)</f>
        <v>0</v>
      </c>
      <c r="S164" s="122">
        <f>IFERROR(R164/'OSNOVNI PODATKI'!$E$311,0)</f>
        <v>0</v>
      </c>
      <c r="T164" s="122"/>
      <c r="U164" s="297">
        <f>SUM(U165:U166)</f>
        <v>0.02</v>
      </c>
      <c r="V164" s="297">
        <f>SUM(V165:V166)</f>
        <v>0.02</v>
      </c>
      <c r="W164" s="607">
        <f t="shared" ref="W164:X164" si="36">SUM(W165:W166)</f>
        <v>0</v>
      </c>
      <c r="X164" s="101">
        <f t="shared" si="36"/>
        <v>0</v>
      </c>
      <c r="Y164" s="122">
        <f>IFERROR(X164/'OSNOVNI PODATKI'!$E$311,0)</f>
        <v>0</v>
      </c>
    </row>
    <row r="165" spans="1:25" s="9" customFormat="1" ht="14.25">
      <c r="A165" s="86" t="s">
        <v>45</v>
      </c>
      <c r="B165" s="95" t="s">
        <v>183</v>
      </c>
      <c r="C165" s="95"/>
      <c r="D165" s="95"/>
      <c r="E165" s="295">
        <v>7.4999999999999997E-3</v>
      </c>
      <c r="F165" s="295">
        <f>E165</f>
        <v>7.4999999999999997E-3</v>
      </c>
      <c r="G165" s="608">
        <f t="shared" ref="G165:G166" si="37">ROUND(F165*$F$121,1)</f>
        <v>0</v>
      </c>
      <c r="H165" s="84">
        <f t="shared" ref="H165:H166" si="38">+G165*$F$122</f>
        <v>0</v>
      </c>
      <c r="K165" s="86" t="s">
        <v>45</v>
      </c>
      <c r="L165" s="95" t="s">
        <v>183</v>
      </c>
      <c r="M165" s="95"/>
      <c r="N165" s="95"/>
      <c r="O165" s="295">
        <v>2.5000000000000001E-3</v>
      </c>
      <c r="P165" s="295">
        <f>O165*(100%+$F$125)</f>
        <v>2.5000000000000001E-3</v>
      </c>
      <c r="Q165" s="608">
        <f t="shared" ref="Q165:Q166" si="39">IF($F$126="DA",ROUND(P165*$F$121,1),0)</f>
        <v>0</v>
      </c>
      <c r="R165" s="84">
        <f t="shared" ref="R165:R166" si="40">+Q165*$F$122</f>
        <v>0</v>
      </c>
      <c r="U165" s="471">
        <f t="shared" ref="U165:V166" si="41">+E165+O165</f>
        <v>0.01</v>
      </c>
      <c r="V165" s="471">
        <f t="shared" si="41"/>
        <v>0.01</v>
      </c>
      <c r="W165" s="608">
        <f t="shared" ref="W165:W166" si="42">+G165+Q165</f>
        <v>0</v>
      </c>
      <c r="X165" s="84">
        <f t="shared" ref="X165:X166" si="43">+H165+R165</f>
        <v>0</v>
      </c>
    </row>
    <row r="166" spans="1:25" s="9" customFormat="1" ht="14.25">
      <c r="A166" s="114" t="s">
        <v>46</v>
      </c>
      <c r="B166" s="120" t="s">
        <v>184</v>
      </c>
      <c r="C166" s="120"/>
      <c r="D166" s="120"/>
      <c r="E166" s="470">
        <v>7.4999999999999997E-3</v>
      </c>
      <c r="F166" s="298">
        <f>E166</f>
        <v>7.4999999999999997E-3</v>
      </c>
      <c r="G166" s="609">
        <f t="shared" si="37"/>
        <v>0</v>
      </c>
      <c r="H166" s="88">
        <f t="shared" si="38"/>
        <v>0</v>
      </c>
      <c r="K166" s="114" t="s">
        <v>46</v>
      </c>
      <c r="L166" s="120" t="s">
        <v>184</v>
      </c>
      <c r="M166" s="120"/>
      <c r="N166" s="120"/>
      <c r="O166" s="470">
        <v>2.5000000000000001E-3</v>
      </c>
      <c r="P166" s="298">
        <f>O166*(100%+$F$125)</f>
        <v>2.5000000000000001E-3</v>
      </c>
      <c r="Q166" s="609">
        <f t="shared" si="39"/>
        <v>0</v>
      </c>
      <c r="R166" s="88">
        <f t="shared" si="40"/>
        <v>0</v>
      </c>
      <c r="U166" s="472">
        <f t="shared" si="41"/>
        <v>0.01</v>
      </c>
      <c r="V166" s="472">
        <f t="shared" si="41"/>
        <v>0.01</v>
      </c>
      <c r="W166" s="609">
        <f t="shared" si="42"/>
        <v>0</v>
      </c>
      <c r="X166" s="88">
        <f t="shared" si="43"/>
        <v>0</v>
      </c>
    </row>
    <row r="167" spans="1:25" s="9" customFormat="1" ht="14.25">
      <c r="A167" s="119">
        <v>6</v>
      </c>
      <c r="B167" s="99" t="s">
        <v>47</v>
      </c>
      <c r="C167" s="99"/>
      <c r="D167" s="99"/>
      <c r="E167" s="100"/>
      <c r="F167" s="300"/>
      <c r="G167" s="601"/>
      <c r="H167" s="101"/>
      <c r="K167" s="119">
        <v>6</v>
      </c>
      <c r="L167" s="99" t="s">
        <v>47</v>
      </c>
      <c r="M167" s="99"/>
      <c r="N167" s="99"/>
      <c r="O167" s="100"/>
      <c r="P167" s="300"/>
      <c r="Q167" s="601"/>
      <c r="R167" s="101"/>
      <c r="U167" s="100"/>
      <c r="V167" s="100"/>
      <c r="W167" s="601"/>
      <c r="X167" s="101"/>
    </row>
    <row r="168" spans="1:25" s="9" customFormat="1" ht="14.25">
      <c r="A168" s="86" t="s">
        <v>51</v>
      </c>
      <c r="B168" s="95" t="s">
        <v>185</v>
      </c>
      <c r="C168" s="95"/>
      <c r="D168" s="95"/>
      <c r="E168" s="83"/>
      <c r="F168" s="83"/>
      <c r="G168" s="602"/>
      <c r="H168" s="84"/>
      <c r="K168" s="86" t="s">
        <v>51</v>
      </c>
      <c r="L168" s="95" t="s">
        <v>185</v>
      </c>
      <c r="M168" s="95"/>
      <c r="N168" s="95"/>
      <c r="O168" s="83"/>
      <c r="P168" s="83"/>
      <c r="Q168" s="602"/>
      <c r="R168" s="84"/>
      <c r="U168" s="83"/>
      <c r="V168" s="83"/>
      <c r="W168" s="602"/>
      <c r="X168" s="84"/>
    </row>
    <row r="169" spans="1:25" s="9" customFormat="1" ht="14.25">
      <c r="A169" s="86" t="s">
        <v>52</v>
      </c>
      <c r="B169" s="95" t="s">
        <v>186</v>
      </c>
      <c r="C169" s="95"/>
      <c r="D169" s="95"/>
      <c r="E169" s="83"/>
      <c r="F169" s="83"/>
      <c r="G169" s="602"/>
      <c r="H169" s="84"/>
      <c r="K169" s="86" t="s">
        <v>52</v>
      </c>
      <c r="L169" s="95" t="s">
        <v>186</v>
      </c>
      <c r="M169" s="95"/>
      <c r="N169" s="95"/>
      <c r="O169" s="83"/>
      <c r="P169" s="83"/>
      <c r="Q169" s="602"/>
      <c r="R169" s="84"/>
      <c r="U169" s="83"/>
      <c r="V169" s="83"/>
      <c r="W169" s="602"/>
      <c r="X169" s="84"/>
    </row>
    <row r="170" spans="1:25" s="9" customFormat="1" ht="14.25">
      <c r="A170" s="114" t="s">
        <v>53</v>
      </c>
      <c r="B170" s="120" t="s">
        <v>187</v>
      </c>
      <c r="C170" s="120"/>
      <c r="D170" s="120"/>
      <c r="E170" s="109"/>
      <c r="F170" s="109"/>
      <c r="G170" s="603"/>
      <c r="H170" s="88"/>
      <c r="K170" s="114" t="s">
        <v>53</v>
      </c>
      <c r="L170" s="120" t="s">
        <v>187</v>
      </c>
      <c r="M170" s="120"/>
      <c r="N170" s="120"/>
      <c r="O170" s="109"/>
      <c r="P170" s="109"/>
      <c r="Q170" s="603"/>
      <c r="R170" s="88"/>
      <c r="U170" s="109"/>
      <c r="V170" s="109"/>
      <c r="W170" s="603"/>
      <c r="X170" s="88"/>
    </row>
    <row r="171" spans="1:25" s="9" customFormat="1" ht="14.25">
      <c r="A171" s="89"/>
      <c r="B171" s="90"/>
      <c r="C171" s="90"/>
      <c r="D171" s="90"/>
      <c r="E171" s="91"/>
      <c r="F171" s="91"/>
      <c r="G171" s="604"/>
      <c r="H171" s="90"/>
      <c r="K171" s="89"/>
      <c r="L171" s="90"/>
      <c r="M171" s="90"/>
      <c r="N171" s="90"/>
      <c r="O171" s="91"/>
      <c r="P171" s="91"/>
      <c r="Q171" s="604"/>
      <c r="R171" s="90"/>
      <c r="U171" s="91"/>
      <c r="V171" s="91"/>
      <c r="W171" s="604"/>
      <c r="X171" s="90"/>
    </row>
    <row r="172" spans="1:25" s="9" customFormat="1" ht="14.25">
      <c r="A172" s="123"/>
      <c r="B172" s="124" t="s">
        <v>0</v>
      </c>
      <c r="C172" s="124"/>
      <c r="D172" s="124"/>
      <c r="E172" s="125">
        <f>E132+E135+E139+E150+E155+E164+E167</f>
        <v>0.81</v>
      </c>
      <c r="F172" s="125">
        <f>F132+F135+F139+F150+F155+F164+F167</f>
        <v>0.81</v>
      </c>
      <c r="G172" s="605">
        <f>G132+G135+G139+G150+G155+G164+G167</f>
        <v>0</v>
      </c>
      <c r="H172" s="126">
        <f>H132+H135+H139+H150+H155+H164+H167</f>
        <v>0</v>
      </c>
      <c r="I172" s="122">
        <f>IFERROR(H172/'OSNOVNI PODATKI'!$E$311,0)</f>
        <v>0</v>
      </c>
      <c r="K172" s="123"/>
      <c r="L172" s="124" t="s">
        <v>0</v>
      </c>
      <c r="M172" s="124"/>
      <c r="N172" s="124"/>
      <c r="O172" s="125">
        <f>O132+O135+O139+O150+O155+O164+O167</f>
        <v>0.19000000000000003</v>
      </c>
      <c r="P172" s="125">
        <f>P132+P135+P139+P150+P155+P164+P167</f>
        <v>0.19000000000000003</v>
      </c>
      <c r="Q172" s="605">
        <f>Q132+Q135+Q139+Q150+Q155+Q164+Q167</f>
        <v>0</v>
      </c>
      <c r="R172" s="126">
        <f>R132+R135+R139+R150+R155+R164+R167</f>
        <v>0</v>
      </c>
      <c r="S172" s="122">
        <f>IFERROR(R172/'OSNOVNI PODATKI'!$E$311,0)</f>
        <v>0</v>
      </c>
      <c r="T172" s="122"/>
      <c r="U172" s="125">
        <f>U132+U135+U139+U150+U155+U164+U167</f>
        <v>1</v>
      </c>
      <c r="V172" s="125">
        <f>V132+V135+V139+V150+V155+V164+V167</f>
        <v>1</v>
      </c>
      <c r="W172" s="605">
        <f t="shared" ref="W172:X172" si="44">W132+W135+W139+W150+W155+W164+W167</f>
        <v>0</v>
      </c>
      <c r="X172" s="126">
        <f t="shared" si="44"/>
        <v>0</v>
      </c>
      <c r="Y172" s="122">
        <f>IFERROR(X172/'OSNOVNI PODATKI'!$E$311,0)</f>
        <v>0</v>
      </c>
    </row>
    <row r="173" spans="1:25" s="9" customFormat="1" ht="14.25">
      <c r="A173" s="25"/>
      <c r="B173" s="121"/>
      <c r="E173" s="26"/>
      <c r="G173" s="26"/>
    </row>
    <row r="174" spans="1:25" s="9" customFormat="1" ht="14.25">
      <c r="A174" s="25"/>
      <c r="B174" s="121"/>
      <c r="E174" s="26"/>
      <c r="G174" s="26"/>
      <c r="H174" s="122"/>
      <c r="N174" s="773"/>
    </row>
    <row r="175" spans="1:25">
      <c r="H175" s="636"/>
    </row>
    <row r="176" spans="1:25">
      <c r="H176" s="636"/>
    </row>
    <row r="177" spans="8:14">
      <c r="H177" s="636"/>
      <c r="J177" s="636"/>
    </row>
    <row r="180" spans="8:14">
      <c r="J180" s="636"/>
    </row>
    <row r="181" spans="8:14">
      <c r="N181" s="638"/>
    </row>
  </sheetData>
  <sheetProtection algorithmName="SHA-512" hashValue="GFpxypYhAxQ1HvkoZAuNeDnRFCIPgQrozxbY6P22+Sj/Uk1bVTY9QmGJNPqZUzHd7pGi+Nm5F1eM+DQDt8j54g==" saltValue="VlKjjzcpSRiRechdoLBIWg==" spinCount="100000" sheet="1" objects="1" scenarios="1"/>
  <pageMargins left="0.7" right="0.7" top="0.75" bottom="0.75" header="0.3" footer="0.3"/>
  <ignoredErrors>
    <ignoredError sqref="P155"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61B51-2710-474D-B87B-F56FC0A6714C}">
  <sheetPr codeName="Sheet9"/>
  <dimension ref="A1:Z160"/>
  <sheetViews>
    <sheetView showGridLines="0" topLeftCell="O132" workbookViewId="0">
      <selection activeCell="H37" sqref="H37"/>
    </sheetView>
    <sheetView topLeftCell="A38" workbookViewId="1">
      <selection activeCell="G55" sqref="G55"/>
    </sheetView>
  </sheetViews>
  <sheetFormatPr defaultRowHeight="12.75"/>
  <cols>
    <col min="2" max="2" width="43" customWidth="1"/>
    <col min="3" max="4" width="11.7109375" customWidth="1"/>
    <col min="5" max="5" width="17.42578125" customWidth="1"/>
    <col min="6" max="6" width="12.85546875" customWidth="1"/>
    <col min="7" max="7" width="11.7109375" customWidth="1"/>
    <col min="8" max="8" width="15.140625" customWidth="1"/>
    <col min="9" max="9" width="11.7109375" customWidth="1"/>
    <col min="10" max="10" width="18.5703125" customWidth="1"/>
    <col min="11" max="11" width="17.140625" customWidth="1"/>
    <col min="12" max="12" width="14.28515625" customWidth="1"/>
    <col min="13" max="13" width="14.5703125" bestFit="1" customWidth="1"/>
    <col min="14" max="14" width="28.85546875" customWidth="1"/>
    <col min="15" max="17" width="12" customWidth="1"/>
    <col min="18" max="18" width="14" customWidth="1"/>
    <col min="19" max="19" width="12" customWidth="1"/>
    <col min="20" max="20" width="10.85546875" style="469" bestFit="1" customWidth="1"/>
    <col min="21" max="21" width="13.7109375" style="469" customWidth="1"/>
    <col min="22" max="22" width="13" style="469" customWidth="1"/>
    <col min="23" max="23" width="11.28515625" style="469" customWidth="1"/>
    <col min="24" max="24" width="15" style="469" customWidth="1"/>
    <col min="25" max="26" width="8.85546875" style="469"/>
  </cols>
  <sheetData>
    <row r="1" spans="1:26" ht="23.25">
      <c r="B1" s="711" t="s">
        <v>927</v>
      </c>
      <c r="C1" s="712"/>
      <c r="D1" s="712"/>
      <c r="E1" s="712"/>
      <c r="F1" s="712"/>
      <c r="G1" s="712"/>
      <c r="H1" s="712"/>
      <c r="I1" s="713"/>
      <c r="J1" s="713"/>
      <c r="K1" s="713"/>
      <c r="L1" s="713"/>
      <c r="T1"/>
      <c r="U1"/>
      <c r="V1"/>
      <c r="W1"/>
      <c r="X1"/>
      <c r="Y1"/>
      <c r="Z1"/>
    </row>
    <row r="2" spans="1:26" s="76" customFormat="1" ht="13.5" thickBot="1">
      <c r="B2" s="714"/>
      <c r="C2" s="75"/>
      <c r="D2" s="75"/>
      <c r="E2" s="715"/>
      <c r="F2" s="75"/>
      <c r="G2" s="75"/>
      <c r="H2" s="75"/>
      <c r="I2" s="75"/>
      <c r="J2" s="75"/>
      <c r="K2" s="75"/>
      <c r="L2" s="75"/>
    </row>
    <row r="3" spans="1:26" s="73" customFormat="1" ht="18.75">
      <c r="A3" s="786" t="s">
        <v>929</v>
      </c>
      <c r="B3" s="786"/>
      <c r="C3" s="786"/>
      <c r="D3" s="786"/>
      <c r="E3" s="786"/>
      <c r="F3" s="786"/>
      <c r="G3" s="786"/>
      <c r="H3" s="786"/>
      <c r="I3" s="786"/>
      <c r="J3" s="786"/>
    </row>
    <row r="4" spans="1:26" s="73" customFormat="1">
      <c r="B4" s="203"/>
      <c r="C4" s="203"/>
      <c r="D4" s="203"/>
      <c r="E4" s="203"/>
      <c r="F4" s="203"/>
      <c r="J4" s="615"/>
    </row>
    <row r="5" spans="1:26" s="73" customFormat="1">
      <c r="A5" s="76"/>
      <c r="B5" s="530" t="s">
        <v>786</v>
      </c>
      <c r="C5" s="612">
        <f>'OSNOVNI PODATKI'!H147</f>
        <v>1</v>
      </c>
      <c r="D5" s="530" t="str">
        <f>IF(C5=1,'OSNOVNI PODATKI'!B147,'OSNOVNI PODATKI'!B148)</f>
        <v>ENA STAVBA Z RAZLIČNIMI DELI (PRI IZRAČUNU POTREBNIH NU SE UPOŠTEVA SEŠTEVEK POVRŠIN VSEH DELOV)</v>
      </c>
      <c r="E5" s="489"/>
      <c r="F5" s="489"/>
      <c r="G5" s="202"/>
      <c r="H5" s="202"/>
      <c r="I5" s="202"/>
      <c r="J5" s="615"/>
    </row>
    <row r="6" spans="1:26" s="73" customFormat="1">
      <c r="A6" s="76"/>
      <c r="B6" s="832" t="s">
        <v>885</v>
      </c>
      <c r="C6" s="833">
        <f>'OSNOVNI PODATKI'!E319</f>
        <v>0</v>
      </c>
      <c r="D6" s="717"/>
      <c r="E6" s="717"/>
      <c r="F6" s="717"/>
      <c r="G6" s="615"/>
      <c r="H6" s="615"/>
      <c r="I6" s="615"/>
      <c r="J6" s="615"/>
    </row>
    <row r="7" spans="1:26" s="73" customFormat="1">
      <c r="A7" s="76"/>
      <c r="B7" s="718"/>
      <c r="C7" s="716"/>
      <c r="D7" s="718"/>
      <c r="E7" s="203"/>
      <c r="F7" s="203"/>
    </row>
    <row r="8" spans="1:26" s="73" customFormat="1">
      <c r="A8" s="76"/>
      <c r="B8" s="204" t="str">
        <f>'OSNOVNI PODATKI'!A151</f>
        <v>NOTRANJA OPREMA / DEL 1</v>
      </c>
      <c r="C8" s="719">
        <f>'OSNOVNI PODATKI'!E151</f>
        <v>0</v>
      </c>
      <c r="D8" s="204"/>
      <c r="E8" s="204"/>
      <c r="F8" s="204"/>
    </row>
    <row r="9" spans="1:26" s="73" customFormat="1">
      <c r="A9" s="76"/>
      <c r="B9" s="614" t="s">
        <v>617</v>
      </c>
      <c r="C9" s="1279" t="str">
        <f>'OSNOVNI PODATKI'!E152</f>
        <v>11. Stanovanjski prostori z visokimi zahtevami, kuhinje in kopalnice po meri</v>
      </c>
      <c r="D9" s="1280"/>
      <c r="E9" s="1280"/>
      <c r="F9" s="1280"/>
      <c r="J9" s="624"/>
      <c r="K9" s="624"/>
      <c r="L9" s="624"/>
      <c r="M9" s="624"/>
      <c r="N9" s="624"/>
    </row>
    <row r="10" spans="1:26" s="73" customFormat="1">
      <c r="A10" s="76"/>
      <c r="B10" s="198" t="s">
        <v>883</v>
      </c>
      <c r="C10" s="81">
        <f>'OSNOVNI PODATKI'!E153</f>
        <v>0</v>
      </c>
      <c r="D10" s="489"/>
      <c r="E10" s="489"/>
      <c r="F10" s="202"/>
      <c r="J10" s="624"/>
      <c r="K10" s="624"/>
      <c r="L10" s="624"/>
      <c r="M10" s="624"/>
      <c r="N10" s="624"/>
    </row>
    <row r="11" spans="1:26" s="73" customFormat="1">
      <c r="A11" s="76"/>
      <c r="B11" s="198" t="s">
        <v>1003</v>
      </c>
      <c r="C11" s="1281">
        <f>IF($C$5=1,$C$6,C10)</f>
        <v>0</v>
      </c>
      <c r="D11" s="489"/>
      <c r="E11" s="489"/>
      <c r="F11" s="202"/>
      <c r="J11" s="624"/>
      <c r="K11" s="624"/>
      <c r="L11" s="624"/>
      <c r="M11" s="624"/>
      <c r="N11" s="624"/>
    </row>
    <row r="12" spans="1:26" s="73" customFormat="1">
      <c r="A12" s="76"/>
      <c r="B12" s="530" t="s">
        <v>729</v>
      </c>
      <c r="C12" s="1297">
        <f>+'OSNOVNI PODATKI'!E157</f>
        <v>120</v>
      </c>
      <c r="D12" s="489"/>
      <c r="E12" s="489"/>
      <c r="F12" s="202"/>
      <c r="N12" s="624"/>
    </row>
    <row r="13" spans="1:26" s="73" customFormat="1">
      <c r="B13" s="199" t="s">
        <v>100</v>
      </c>
      <c r="C13" s="1282" t="str">
        <f>'OSNOVNI PODATKI'!E154</f>
        <v>Cenovni razred I</v>
      </c>
      <c r="D13" s="280"/>
      <c r="E13" s="720"/>
      <c r="F13" s="280"/>
      <c r="N13" s="624"/>
    </row>
    <row r="14" spans="1:26" s="73" customFormat="1">
      <c r="A14" s="76"/>
      <c r="B14" s="522" t="s">
        <v>70</v>
      </c>
      <c r="C14" s="618">
        <f>IFERROR(0.005*POWER(C11*(1000+C12),0.8868)/C11,0)</f>
        <v>0</v>
      </c>
      <c r="D14" s="621" t="s">
        <v>790</v>
      </c>
    </row>
    <row r="15" spans="1:26" s="73" customFormat="1">
      <c r="A15" s="76"/>
      <c r="B15" s="525" t="s">
        <v>71</v>
      </c>
      <c r="C15" s="618">
        <f>IFERROR(0.0058*POWER(C11*(1000+C12),0.8868)/C11,0)</f>
        <v>0</v>
      </c>
      <c r="D15" s="621" t="s">
        <v>790</v>
      </c>
    </row>
    <row r="16" spans="1:26" s="73" customFormat="1">
      <c r="A16" s="76"/>
      <c r="B16" s="525" t="s">
        <v>72</v>
      </c>
      <c r="C16" s="618">
        <f>IFERROR(0.0069*POWER(C11*(1000+C12),0.8868)/C11,0)</f>
        <v>0</v>
      </c>
      <c r="D16" s="621" t="s">
        <v>790</v>
      </c>
    </row>
    <row r="17" spans="1:26" s="73" customFormat="1">
      <c r="A17" s="76"/>
      <c r="B17" s="525" t="s">
        <v>73</v>
      </c>
      <c r="C17" s="618">
        <f>IFERROR(0.0086*POWER(C11*(1000+C12),0.8868)/C11,0)</f>
        <v>0</v>
      </c>
      <c r="D17" s="621" t="s">
        <v>790</v>
      </c>
    </row>
    <row r="18" spans="1:26" s="73" customFormat="1">
      <c r="A18" s="76"/>
      <c r="B18" s="525" t="s">
        <v>74</v>
      </c>
      <c r="C18" s="618">
        <f>IFERROR(0.0097*POWER(C11*(1000+C12),0.8868)/C11,0)</f>
        <v>0</v>
      </c>
      <c r="D18" s="621" t="s">
        <v>790</v>
      </c>
    </row>
    <row r="19" spans="1:26" s="73" customFormat="1">
      <c r="A19" s="76"/>
      <c r="B19" s="1278" t="s">
        <v>728</v>
      </c>
      <c r="C19" s="1303">
        <f>IFERROR(0.0105*POWER(C11*(1000+C12),0.8868)/C11,0)</f>
        <v>0</v>
      </c>
      <c r="D19" s="1277" t="s">
        <v>790</v>
      </c>
      <c r="E19" s="1276"/>
      <c r="F19" s="1276"/>
    </row>
    <row r="20" spans="1:26" s="73" customFormat="1">
      <c r="B20" s="832"/>
      <c r="C20" s="615"/>
      <c r="D20" s="196"/>
      <c r="E20" s="196"/>
      <c r="F20" s="196"/>
    </row>
    <row r="21" spans="1:26" s="73" customFormat="1" ht="14.25">
      <c r="B21" s="81" t="s">
        <v>730</v>
      </c>
      <c r="C21" s="507">
        <f>IFERROR(LOOKUP(C13,B14:C18),0)</f>
        <v>0</v>
      </c>
      <c r="D21" s="378" t="s">
        <v>721</v>
      </c>
      <c r="E21" s="489"/>
      <c r="F21" s="489"/>
    </row>
    <row r="22" spans="1:26" s="73" customFormat="1" ht="14.25">
      <c r="B22" s="81" t="s">
        <v>731</v>
      </c>
      <c r="C22" s="507" cm="1">
        <f t="array" ref="C22">IFERROR(INDEX(C14:C18,MATCH(C13,B14:B18)+1),0)</f>
        <v>0</v>
      </c>
      <c r="D22" s="378" t="s">
        <v>721</v>
      </c>
      <c r="E22" s="489"/>
      <c r="F22" s="489"/>
    </row>
    <row r="23" spans="1:26" s="73" customFormat="1">
      <c r="B23" s="81" t="s">
        <v>618</v>
      </c>
      <c r="C23" s="531">
        <f>IFERROR(C21*C10,0)</f>
        <v>0</v>
      </c>
      <c r="D23" s="378" t="s">
        <v>723</v>
      </c>
      <c r="E23" s="489"/>
      <c r="F23" s="489"/>
    </row>
    <row r="24" spans="1:26" s="73" customFormat="1">
      <c r="B24" s="81" t="s">
        <v>619</v>
      </c>
      <c r="C24" s="531">
        <f>IFERROR(C22*C10,0)</f>
        <v>0</v>
      </c>
      <c r="D24" s="378" t="s">
        <v>723</v>
      </c>
      <c r="E24" s="489"/>
      <c r="F24" s="489"/>
    </row>
    <row r="25" spans="1:26">
      <c r="B25" s="434"/>
      <c r="C25" s="505"/>
      <c r="D25" s="505"/>
      <c r="E25" s="505"/>
      <c r="F25" s="505"/>
      <c r="G25" s="73"/>
      <c r="H25" s="73"/>
      <c r="I25" s="73"/>
      <c r="J25" s="73"/>
      <c r="K25" s="73"/>
      <c r="L25" s="73"/>
      <c r="M25" s="73"/>
      <c r="T25"/>
      <c r="U25"/>
      <c r="V25"/>
      <c r="W25"/>
      <c r="X25"/>
      <c r="Y25"/>
      <c r="Z25"/>
    </row>
    <row r="26" spans="1:26" s="73" customFormat="1">
      <c r="A26" s="76"/>
      <c r="B26" s="204" t="str">
        <f>'OSNOVNI PODATKI'!A163</f>
        <v>NOTRANJA OPREMA / DEL 2</v>
      </c>
      <c r="C26" s="719">
        <f>'OSNOVNI PODATKI'!E163</f>
        <v>0</v>
      </c>
      <c r="D26" s="204"/>
      <c r="E26" s="204"/>
      <c r="F26" s="204"/>
    </row>
    <row r="27" spans="1:26" s="73" customFormat="1">
      <c r="A27" s="76"/>
      <c r="B27" s="614" t="s">
        <v>617</v>
      </c>
      <c r="C27" s="1279" t="str">
        <f>'OSNOVNI PODATKI'!E164</f>
        <v>16. učilnice, predavalnice, seminarske sobe, manjše knjižnice, menze</v>
      </c>
      <c r="D27" s="1280"/>
      <c r="E27" s="1280"/>
      <c r="F27" s="1280"/>
    </row>
    <row r="28" spans="1:26" s="73" customFormat="1">
      <c r="A28" s="76"/>
      <c r="B28" s="198" t="s">
        <v>883</v>
      </c>
      <c r="C28" s="81">
        <f>'OSNOVNI PODATKI'!E165</f>
        <v>0</v>
      </c>
      <c r="D28" s="489"/>
      <c r="E28" s="489"/>
    </row>
    <row r="29" spans="1:26" s="73" customFormat="1">
      <c r="A29" s="76"/>
      <c r="B29" s="198" t="s">
        <v>1003</v>
      </c>
      <c r="C29" s="1281">
        <f>IF($C$5=1,$C$6,C28)</f>
        <v>0</v>
      </c>
      <c r="D29" s="489"/>
      <c r="E29" s="489"/>
      <c r="F29" s="202"/>
      <c r="J29" s="624"/>
      <c r="K29" s="624"/>
      <c r="L29" s="624"/>
      <c r="M29" s="624"/>
      <c r="N29" s="624"/>
    </row>
    <row r="30" spans="1:26" s="73" customFormat="1">
      <c r="A30" s="76"/>
      <c r="B30" s="530" t="s">
        <v>729</v>
      </c>
      <c r="C30" s="1297">
        <f>+'OSNOVNI PODATKI'!E169</f>
        <v>-400</v>
      </c>
      <c r="D30" s="489"/>
      <c r="E30" s="489"/>
      <c r="F30" s="202"/>
      <c r="J30" s="624"/>
      <c r="K30" s="624"/>
      <c r="L30" s="624"/>
      <c r="M30" s="624"/>
      <c r="N30" s="624"/>
    </row>
    <row r="31" spans="1:26" s="73" customFormat="1">
      <c r="B31" s="199" t="s">
        <v>100</v>
      </c>
      <c r="C31" s="1282" t="str">
        <f>'OSNOVNI PODATKI'!E166</f>
        <v>Cenovni razred I</v>
      </c>
      <c r="D31" s="280"/>
      <c r="E31" s="720"/>
      <c r="F31" s="720"/>
    </row>
    <row r="32" spans="1:26" s="73" customFormat="1">
      <c r="A32" s="76"/>
      <c r="B32" s="522" t="s">
        <v>70</v>
      </c>
      <c r="C32" s="618">
        <f>IFERROR(0.005*POWER(C29*(1000+C30),0.8868)/C29,0)</f>
        <v>0</v>
      </c>
      <c r="D32" s="621" t="s">
        <v>790</v>
      </c>
    </row>
    <row r="33" spans="1:26" s="73" customFormat="1">
      <c r="A33" s="76"/>
      <c r="B33" s="525" t="s">
        <v>71</v>
      </c>
      <c r="C33" s="618">
        <f>IFERROR(0.0058*POWER(C29*(1000+C30),0.8868)/C29,0)</f>
        <v>0</v>
      </c>
      <c r="D33" s="621" t="s">
        <v>790</v>
      </c>
    </row>
    <row r="34" spans="1:26" s="73" customFormat="1">
      <c r="A34" s="76"/>
      <c r="B34" s="525" t="s">
        <v>72</v>
      </c>
      <c r="C34" s="618">
        <f>IFERROR(0.0069*POWER(C29*(1000+C30),0.8868)/C29,0)</f>
        <v>0</v>
      </c>
      <c r="D34" s="621" t="s">
        <v>790</v>
      </c>
    </row>
    <row r="35" spans="1:26" s="73" customFormat="1">
      <c r="A35" s="76"/>
      <c r="B35" s="525" t="s">
        <v>73</v>
      </c>
      <c r="C35" s="618">
        <f>IFERROR(0.0086*POWER(C29*(1000+C30),0.8868)/C29,0)</f>
        <v>0</v>
      </c>
      <c r="D35" s="621" t="s">
        <v>790</v>
      </c>
    </row>
    <row r="36" spans="1:26" s="73" customFormat="1">
      <c r="A36" s="76"/>
      <c r="B36" s="525" t="s">
        <v>74</v>
      </c>
      <c r="C36" s="618">
        <f>IFERROR(0.0097*POWER(C29*(1000+C30),0.8868)/C29,0)</f>
        <v>0</v>
      </c>
      <c r="D36" s="621" t="s">
        <v>790</v>
      </c>
    </row>
    <row r="37" spans="1:26" s="73" customFormat="1">
      <c r="A37" s="76"/>
      <c r="B37" s="1278" t="s">
        <v>728</v>
      </c>
      <c r="C37" s="1303">
        <f>IFERROR(0.0105*POWER(C29*(1000+C30),0.8868)/C29,0)</f>
        <v>0</v>
      </c>
      <c r="D37" s="1277" t="s">
        <v>790</v>
      </c>
      <c r="E37" s="1276"/>
      <c r="F37" s="1276"/>
    </row>
    <row r="38" spans="1:26" s="73" customFormat="1">
      <c r="B38" s="832"/>
      <c r="C38" s="615"/>
      <c r="D38" s="196"/>
      <c r="E38" s="196"/>
      <c r="F38" s="196"/>
    </row>
    <row r="39" spans="1:26" s="73" customFormat="1" ht="14.25">
      <c r="B39" s="81" t="s">
        <v>730</v>
      </c>
      <c r="C39" s="507">
        <f>IFERROR(LOOKUP(C31,B32:C36),0)</f>
        <v>0</v>
      </c>
      <c r="D39" s="378" t="s">
        <v>721</v>
      </c>
      <c r="E39" s="489"/>
      <c r="F39" s="489"/>
    </row>
    <row r="40" spans="1:26" s="73" customFormat="1" ht="14.25">
      <c r="B40" s="81" t="s">
        <v>731</v>
      </c>
      <c r="C40" s="507" cm="1">
        <f t="array" ref="C40">IFERROR(INDEX(C32:C36,MATCH(C31,B32:B36)+1),0)</f>
        <v>0</v>
      </c>
      <c r="D40" s="378" t="s">
        <v>721</v>
      </c>
      <c r="E40" s="489"/>
      <c r="F40" s="489"/>
    </row>
    <row r="41" spans="1:26" s="73" customFormat="1">
      <c r="B41" s="81" t="s">
        <v>618</v>
      </c>
      <c r="C41" s="531">
        <f>IFERROR(C39*C28,0)</f>
        <v>0</v>
      </c>
      <c r="D41" s="378" t="s">
        <v>723</v>
      </c>
      <c r="E41" s="489"/>
      <c r="F41" s="489"/>
    </row>
    <row r="42" spans="1:26" s="73" customFormat="1">
      <c r="B42" s="81" t="s">
        <v>619</v>
      </c>
      <c r="C42" s="531">
        <f>IFERROR(C40*C28,0)</f>
        <v>0</v>
      </c>
      <c r="D42" s="378" t="s">
        <v>723</v>
      </c>
      <c r="E42" s="489"/>
      <c r="F42" s="489"/>
    </row>
    <row r="43" spans="1:26">
      <c r="B43" s="434"/>
      <c r="C43" s="505"/>
      <c r="D43" s="505"/>
      <c r="E43" s="505"/>
      <c r="F43" s="505"/>
      <c r="G43" s="73"/>
      <c r="H43" s="73"/>
      <c r="I43" s="73"/>
      <c r="J43" s="73"/>
      <c r="T43"/>
      <c r="U43"/>
      <c r="V43"/>
      <c r="W43"/>
      <c r="X43"/>
      <c r="Y43"/>
      <c r="Z43"/>
    </row>
    <row r="44" spans="1:26" s="73" customFormat="1">
      <c r="A44" s="76"/>
      <c r="B44" s="204" t="str">
        <f>'OSNOVNI PODATKI'!A175</f>
        <v>NOTRANJA OPREMA / DEL 3</v>
      </c>
      <c r="C44" s="719">
        <f>'OSNOVNI PODATKI'!E175</f>
        <v>0</v>
      </c>
      <c r="D44" s="204"/>
      <c r="E44" s="204"/>
      <c r="F44" s="204"/>
    </row>
    <row r="45" spans="1:26" s="73" customFormat="1">
      <c r="A45" s="76"/>
      <c r="B45" s="614" t="s">
        <v>617</v>
      </c>
      <c r="C45" s="1279" t="str">
        <f>'OSNOVNI PODATKI'!E176</f>
        <v>3. Notranja oprema s povprečnimi zahtevami glede načrtovanja, pretežno z uporabo serijsko izdelanega pohištva in opreme ali s povprečno tehnično opremo</v>
      </c>
      <c r="D45" s="1280"/>
      <c r="E45" s="1280"/>
      <c r="F45" s="1280"/>
    </row>
    <row r="46" spans="1:26" s="73" customFormat="1">
      <c r="A46" s="76"/>
      <c r="B46" s="198" t="s">
        <v>883</v>
      </c>
      <c r="C46" s="81">
        <f>'OSNOVNI PODATKI'!E177</f>
        <v>0</v>
      </c>
      <c r="D46" s="489"/>
      <c r="E46" s="489"/>
      <c r="F46" s="202"/>
    </row>
    <row r="47" spans="1:26" s="73" customFormat="1">
      <c r="A47" s="76"/>
      <c r="B47" s="198" t="s">
        <v>1003</v>
      </c>
      <c r="C47" s="1281">
        <f>IF($C$5=1,$C$6,C46)</f>
        <v>0</v>
      </c>
      <c r="D47" s="489"/>
      <c r="E47" s="489"/>
      <c r="F47" s="202"/>
      <c r="J47" s="624"/>
      <c r="K47" s="624"/>
      <c r="L47" s="624"/>
      <c r="M47" s="624"/>
      <c r="N47" s="624"/>
    </row>
    <row r="48" spans="1:26" s="73" customFormat="1">
      <c r="A48" s="76"/>
      <c r="B48" s="530" t="s">
        <v>729</v>
      </c>
      <c r="C48" s="1297">
        <f>+'OSNOVNI PODATKI'!E181</f>
        <v>-400</v>
      </c>
      <c r="D48" s="489"/>
      <c r="E48" s="489"/>
      <c r="F48" s="202"/>
      <c r="J48" s="624"/>
      <c r="K48" s="624"/>
      <c r="L48" s="624"/>
      <c r="M48" s="624"/>
      <c r="N48" s="624"/>
    </row>
    <row r="49" spans="1:26" s="73" customFormat="1">
      <c r="B49" s="199" t="s">
        <v>100</v>
      </c>
      <c r="C49" s="1282" t="str">
        <f>'OSNOVNI PODATKI'!E178</f>
        <v>Cenovni razred I</v>
      </c>
      <c r="D49" s="280"/>
      <c r="E49" s="720"/>
      <c r="F49" s="280"/>
    </row>
    <row r="50" spans="1:26" s="73" customFormat="1">
      <c r="A50" s="76"/>
      <c r="B50" s="522" t="s">
        <v>70</v>
      </c>
      <c r="C50" s="618">
        <f>IFERROR(0.005*POWER(C47*(1000+C48),0.8868)/C47,0)</f>
        <v>0</v>
      </c>
      <c r="D50" s="621" t="s">
        <v>790</v>
      </c>
    </row>
    <row r="51" spans="1:26" s="73" customFormat="1">
      <c r="A51" s="76"/>
      <c r="B51" s="525" t="s">
        <v>71</v>
      </c>
      <c r="C51" s="618">
        <f>IFERROR(0.0058*POWER(C47*(1000+C48),0.8868)/C47,0)</f>
        <v>0</v>
      </c>
      <c r="D51" s="621" t="s">
        <v>790</v>
      </c>
    </row>
    <row r="52" spans="1:26" s="73" customFormat="1">
      <c r="A52" s="76"/>
      <c r="B52" s="525" t="s">
        <v>72</v>
      </c>
      <c r="C52" s="618">
        <f>IFERROR(0.0069*POWER(C47*(1000+C48),0.8868)/C47,0)</f>
        <v>0</v>
      </c>
      <c r="D52" s="621" t="s">
        <v>790</v>
      </c>
    </row>
    <row r="53" spans="1:26" s="73" customFormat="1">
      <c r="A53" s="76"/>
      <c r="B53" s="525" t="s">
        <v>73</v>
      </c>
      <c r="C53" s="618">
        <f>IFERROR(0.0086*POWER(C47*(1000+C48),0.8868)/C47,0)</f>
        <v>0</v>
      </c>
      <c r="D53" s="621" t="s">
        <v>790</v>
      </c>
    </row>
    <row r="54" spans="1:26" s="73" customFormat="1">
      <c r="A54" s="76"/>
      <c r="B54" s="525" t="s">
        <v>74</v>
      </c>
      <c r="C54" s="618">
        <f>IFERROR(0.0097*POWER(C47*(1000+C48),0.8868)/C47,0)</f>
        <v>0</v>
      </c>
      <c r="D54" s="621" t="s">
        <v>790</v>
      </c>
    </row>
    <row r="55" spans="1:26" s="73" customFormat="1">
      <c r="A55" s="76"/>
      <c r="B55" s="1278" t="s">
        <v>728</v>
      </c>
      <c r="C55" s="1303">
        <f>IFERROR(0.0105*POWER(C47*(1000+C48),0.8868)/C47,0)</f>
        <v>0</v>
      </c>
      <c r="D55" s="1277" t="s">
        <v>790</v>
      </c>
      <c r="E55" s="1276"/>
      <c r="F55" s="1276"/>
    </row>
    <row r="56" spans="1:26" s="73" customFormat="1">
      <c r="B56" s="832"/>
      <c r="C56" s="615"/>
      <c r="D56" s="196"/>
      <c r="E56" s="196"/>
      <c r="F56" s="196"/>
    </row>
    <row r="57" spans="1:26" s="73" customFormat="1" ht="14.25">
      <c r="B57" s="81" t="s">
        <v>730</v>
      </c>
      <c r="C57" s="507">
        <f>IFERROR(LOOKUP(C49,B50:C53),0)</f>
        <v>0</v>
      </c>
      <c r="D57" s="378" t="s">
        <v>721</v>
      </c>
      <c r="E57" s="489"/>
      <c r="F57" s="489"/>
    </row>
    <row r="58" spans="1:26" s="73" customFormat="1" ht="14.25">
      <c r="B58" s="81" t="s">
        <v>731</v>
      </c>
      <c r="C58" s="507" cm="1">
        <f t="array" ref="C58">IFERROR(INDEX(C50:C54,MATCH(C49,B50:B54)+1),0)</f>
        <v>0</v>
      </c>
      <c r="D58" s="378" t="s">
        <v>721</v>
      </c>
      <c r="E58" s="489"/>
      <c r="F58" s="489"/>
    </row>
    <row r="59" spans="1:26" s="73" customFormat="1">
      <c r="B59" s="81" t="s">
        <v>618</v>
      </c>
      <c r="C59" s="531">
        <f>IFERROR(C57*C46,0)</f>
        <v>0</v>
      </c>
      <c r="D59" s="378" t="s">
        <v>723</v>
      </c>
      <c r="E59" s="489"/>
      <c r="F59" s="489"/>
    </row>
    <row r="60" spans="1:26" s="73" customFormat="1">
      <c r="B60" s="81" t="s">
        <v>619</v>
      </c>
      <c r="C60" s="531">
        <f>IFERROR(C58*C46,0)</f>
        <v>0</v>
      </c>
      <c r="D60" s="378" t="s">
        <v>723</v>
      </c>
      <c r="E60" s="489"/>
      <c r="F60" s="489"/>
    </row>
    <row r="61" spans="1:26">
      <c r="G61" s="73"/>
      <c r="H61" s="73"/>
      <c r="I61" s="73"/>
      <c r="J61" s="73"/>
      <c r="T61"/>
      <c r="U61"/>
      <c r="V61"/>
      <c r="W61"/>
      <c r="X61"/>
      <c r="Y61"/>
      <c r="Z61"/>
    </row>
    <row r="62" spans="1:26" s="73" customFormat="1">
      <c r="A62" s="76"/>
      <c r="B62" s="204" t="str">
        <f>'OSNOVNI PODATKI'!A187</f>
        <v>NOTRANJA OPREMA / DEL 4</v>
      </c>
      <c r="C62" s="719">
        <f>'OSNOVNI PODATKI'!E187</f>
        <v>0</v>
      </c>
      <c r="D62" s="204"/>
      <c r="E62" s="204"/>
      <c r="F62" s="204"/>
    </row>
    <row r="63" spans="1:26" s="73" customFormat="1">
      <c r="A63" s="76"/>
      <c r="B63" s="614" t="s">
        <v>617</v>
      </c>
      <c r="C63" s="1279" t="str">
        <f>'OSNOVNI PODATKI'!E188</f>
        <v>4. Notranja oprema z visokimi zahtevami glede načrtovanja, z uporabo serijsko izdelanega pohištva in pohištva visoke kakovosti ali visokokakovostne tehnične opreme</v>
      </c>
      <c r="D63" s="1280"/>
      <c r="E63" s="1280"/>
      <c r="F63" s="1280"/>
    </row>
    <row r="64" spans="1:26" s="73" customFormat="1">
      <c r="A64" s="76"/>
      <c r="B64" s="198" t="s">
        <v>883</v>
      </c>
      <c r="C64" s="81">
        <f>'OSNOVNI PODATKI'!E189</f>
        <v>0</v>
      </c>
      <c r="D64" s="489"/>
      <c r="E64" s="489"/>
      <c r="F64" s="202"/>
    </row>
    <row r="65" spans="1:26" s="73" customFormat="1">
      <c r="A65" s="76"/>
      <c r="B65" s="198" t="s">
        <v>1003</v>
      </c>
      <c r="C65" s="1281">
        <f>IF($C$5=1,$C$6,C64)</f>
        <v>0</v>
      </c>
      <c r="D65" s="489"/>
      <c r="E65" s="489"/>
      <c r="F65" s="202"/>
      <c r="J65" s="624"/>
      <c r="K65" s="624"/>
      <c r="L65" s="624"/>
      <c r="M65" s="624"/>
      <c r="N65" s="624"/>
    </row>
    <row r="66" spans="1:26" s="73" customFormat="1">
      <c r="A66" s="76"/>
      <c r="B66" s="530" t="s">
        <v>729</v>
      </c>
      <c r="C66" s="1297">
        <f>+'OSNOVNI PODATKI'!E193</f>
        <v>120</v>
      </c>
      <c r="D66" s="489"/>
      <c r="E66" s="489"/>
      <c r="F66" s="202"/>
      <c r="J66" s="624"/>
      <c r="K66" s="624"/>
      <c r="L66" s="624"/>
      <c r="M66" s="624"/>
      <c r="N66" s="624"/>
    </row>
    <row r="67" spans="1:26" s="73" customFormat="1">
      <c r="B67" s="199" t="s">
        <v>100</v>
      </c>
      <c r="C67" s="1282" t="str">
        <f>'OSNOVNI PODATKI'!E190</f>
        <v>Cenovni razred I</v>
      </c>
      <c r="D67" s="280"/>
      <c r="E67" s="720"/>
      <c r="F67" s="280"/>
    </row>
    <row r="68" spans="1:26" s="73" customFormat="1">
      <c r="A68" s="76"/>
      <c r="B68" s="522" t="s">
        <v>70</v>
      </c>
      <c r="C68" s="618">
        <f>IFERROR(0.005*POWER(C65*(1000+C66),0.8868)/C65,0)</f>
        <v>0</v>
      </c>
      <c r="D68" s="621" t="s">
        <v>790</v>
      </c>
    </row>
    <row r="69" spans="1:26" s="73" customFormat="1">
      <c r="A69" s="76"/>
      <c r="B69" s="525" t="s">
        <v>71</v>
      </c>
      <c r="C69" s="618">
        <f>IFERROR(0.0058*POWER(C65*(1000+C66),0.8868)/C65,0)</f>
        <v>0</v>
      </c>
      <c r="D69" s="621" t="s">
        <v>790</v>
      </c>
    </row>
    <row r="70" spans="1:26" s="73" customFormat="1">
      <c r="A70" s="76"/>
      <c r="B70" s="525" t="s">
        <v>72</v>
      </c>
      <c r="C70" s="618">
        <f>IFERROR(0.0069*POWER(C65*(1000+C66),0.8868)/C65,0)</f>
        <v>0</v>
      </c>
      <c r="D70" s="621" t="s">
        <v>790</v>
      </c>
    </row>
    <row r="71" spans="1:26" s="73" customFormat="1">
      <c r="A71" s="76"/>
      <c r="B71" s="525" t="s">
        <v>73</v>
      </c>
      <c r="C71" s="618">
        <f>IFERROR(0.0086*POWER(C65*(1000+C66),0.8868)/C65,0)</f>
        <v>0</v>
      </c>
      <c r="D71" s="621" t="s">
        <v>790</v>
      </c>
    </row>
    <row r="72" spans="1:26" s="73" customFormat="1">
      <c r="A72" s="76"/>
      <c r="B72" s="525" t="s">
        <v>74</v>
      </c>
      <c r="C72" s="618">
        <f>IFERROR(0.0097*POWER(C65*(1000+C66),0.8868)/C65,0)</f>
        <v>0</v>
      </c>
      <c r="D72" s="621" t="s">
        <v>790</v>
      </c>
    </row>
    <row r="73" spans="1:26" s="73" customFormat="1">
      <c r="A73" s="76"/>
      <c r="B73" s="1278" t="s">
        <v>728</v>
      </c>
      <c r="C73" s="1303">
        <f>IFERROR(0.0105*POWER(C65*(1000+C66),0.8868)/C65,0)</f>
        <v>0</v>
      </c>
      <c r="D73" s="1277" t="s">
        <v>790</v>
      </c>
      <c r="E73" s="1276"/>
      <c r="F73" s="1276"/>
    </row>
    <row r="74" spans="1:26" s="73" customFormat="1">
      <c r="B74" s="832"/>
      <c r="C74" s="615"/>
      <c r="D74" s="196"/>
      <c r="E74" s="196"/>
      <c r="F74" s="196"/>
    </row>
    <row r="75" spans="1:26" s="73" customFormat="1" ht="14.25">
      <c r="B75" s="81" t="s">
        <v>730</v>
      </c>
      <c r="C75" s="507">
        <f>IFERROR(LOOKUP(C67,B68:C71),0)</f>
        <v>0</v>
      </c>
      <c r="D75" s="378" t="s">
        <v>721</v>
      </c>
      <c r="E75" s="489"/>
      <c r="F75" s="489"/>
    </row>
    <row r="76" spans="1:26" s="73" customFormat="1" ht="14.25">
      <c r="B76" s="81" t="s">
        <v>731</v>
      </c>
      <c r="C76" s="507" cm="1">
        <f t="array" ref="C76">IFERROR(INDEX(C68:C72,MATCH(C67,B68:B72)+1),0)</f>
        <v>0</v>
      </c>
      <c r="D76" s="378" t="s">
        <v>721</v>
      </c>
      <c r="E76" s="489"/>
      <c r="F76" s="489"/>
    </row>
    <row r="77" spans="1:26" s="73" customFormat="1">
      <c r="B77" s="81" t="s">
        <v>618</v>
      </c>
      <c r="C77" s="531">
        <f>IFERROR(C75*C64,0)</f>
        <v>0</v>
      </c>
      <c r="D77" s="378" t="s">
        <v>723</v>
      </c>
      <c r="E77" s="489"/>
      <c r="F77" s="489"/>
    </row>
    <row r="78" spans="1:26" s="73" customFormat="1">
      <c r="B78" s="81" t="s">
        <v>619</v>
      </c>
      <c r="C78" s="531">
        <f>IFERROR(C76*C64,0)</f>
        <v>0</v>
      </c>
      <c r="D78" s="378" t="s">
        <v>723</v>
      </c>
      <c r="E78" s="489"/>
      <c r="F78" s="489"/>
    </row>
    <row r="79" spans="1:26">
      <c r="B79" s="434"/>
      <c r="C79" s="505"/>
      <c r="D79" s="505"/>
      <c r="E79" s="505"/>
      <c r="F79" s="505"/>
      <c r="G79" s="73"/>
      <c r="H79" s="73"/>
      <c r="I79" s="73"/>
      <c r="J79" s="73"/>
      <c r="T79"/>
      <c r="U79"/>
      <c r="V79"/>
      <c r="W79"/>
      <c r="X79"/>
      <c r="Y79"/>
      <c r="Z79"/>
    </row>
    <row r="80" spans="1:26" s="73" customFormat="1">
      <c r="A80" s="76"/>
      <c r="B80" s="204" t="str">
        <f>'OSNOVNI PODATKI'!A199</f>
        <v>NOTRANJA OPREMA / DEL 5</v>
      </c>
      <c r="C80" s="719">
        <f>'OSNOVNI PODATKI'!E199</f>
        <v>0</v>
      </c>
      <c r="D80" s="204"/>
      <c r="E80" s="204"/>
      <c r="F80" s="204"/>
    </row>
    <row r="81" spans="1:14" s="73" customFormat="1">
      <c r="A81" s="76"/>
      <c r="B81" s="614" t="s">
        <v>617</v>
      </c>
      <c r="C81" s="1279" t="str">
        <f>'OSNOVNI PODATKI'!E200</f>
        <v>5. Notranjost z zelo visokimi zahtevami glede načrtovanja, z uporabo kompleksnega pohištva in opreme ali obsežne tehnične opreme</v>
      </c>
      <c r="D81" s="1280"/>
      <c r="E81" s="1280"/>
      <c r="F81" s="1280"/>
    </row>
    <row r="82" spans="1:14" s="73" customFormat="1">
      <c r="A82" s="76"/>
      <c r="B82" s="198" t="s">
        <v>883</v>
      </c>
      <c r="C82" s="81">
        <f>'OSNOVNI PODATKI'!E201</f>
        <v>0</v>
      </c>
      <c r="D82" s="489"/>
      <c r="E82" s="489"/>
      <c r="F82" s="202"/>
    </row>
    <row r="83" spans="1:14" s="73" customFormat="1">
      <c r="A83" s="76"/>
      <c r="B83" s="198" t="s">
        <v>1003</v>
      </c>
      <c r="C83" s="1281">
        <f>IF($C$5=1,$C$6,C82)</f>
        <v>0</v>
      </c>
      <c r="D83" s="489"/>
      <c r="E83" s="489"/>
      <c r="F83" s="202"/>
      <c r="J83" s="624"/>
      <c r="K83" s="624"/>
      <c r="L83" s="624"/>
      <c r="M83" s="624"/>
      <c r="N83" s="624"/>
    </row>
    <row r="84" spans="1:14" s="73" customFormat="1">
      <c r="A84" s="76"/>
      <c r="B84" s="530" t="s">
        <v>729</v>
      </c>
      <c r="C84" s="1297">
        <f>+'OSNOVNI PODATKI'!E205</f>
        <v>920</v>
      </c>
      <c r="D84" s="489"/>
      <c r="E84" s="489"/>
      <c r="F84" s="202"/>
      <c r="J84" s="624"/>
      <c r="K84" s="624"/>
      <c r="L84" s="624"/>
      <c r="M84" s="624"/>
      <c r="N84" s="624"/>
    </row>
    <row r="85" spans="1:14" s="73" customFormat="1">
      <c r="B85" s="199" t="s">
        <v>100</v>
      </c>
      <c r="C85" s="1282" t="str">
        <f>'OSNOVNI PODATKI'!E202</f>
        <v>Cenovni razred I</v>
      </c>
      <c r="D85" s="280"/>
      <c r="E85" s="720"/>
      <c r="F85" s="280"/>
    </row>
    <row r="86" spans="1:14" s="73" customFormat="1">
      <c r="A86" s="76"/>
      <c r="B86" s="522" t="s">
        <v>70</v>
      </c>
      <c r="C86" s="618">
        <f>IFERROR(0.005*POWER(C83*(1000+C84),0.8868)/C83,0)</f>
        <v>0</v>
      </c>
      <c r="D86" s="621" t="s">
        <v>790</v>
      </c>
    </row>
    <row r="87" spans="1:14" s="73" customFormat="1">
      <c r="A87" s="76"/>
      <c r="B87" s="525" t="s">
        <v>71</v>
      </c>
      <c r="C87" s="618">
        <f>IFERROR(0.0058*POWER(C83*(1000+C84),0.8868)/C83,0)</f>
        <v>0</v>
      </c>
      <c r="D87" s="621" t="s">
        <v>790</v>
      </c>
    </row>
    <row r="88" spans="1:14" s="73" customFormat="1">
      <c r="A88" s="76"/>
      <c r="B88" s="525" t="s">
        <v>72</v>
      </c>
      <c r="C88" s="618">
        <f>IFERROR(0.0069*POWER(C83*(1000+C84),0.8868)/C83,0)</f>
        <v>0</v>
      </c>
      <c r="D88" s="621" t="s">
        <v>790</v>
      </c>
    </row>
    <row r="89" spans="1:14" s="73" customFormat="1">
      <c r="A89" s="76"/>
      <c r="B89" s="525" t="s">
        <v>73</v>
      </c>
      <c r="C89" s="618">
        <f>IFERROR(0.0086*POWER(C83*(1000+C84),0.8868)/C83,0)</f>
        <v>0</v>
      </c>
      <c r="D89" s="621" t="s">
        <v>790</v>
      </c>
    </row>
    <row r="90" spans="1:14" s="73" customFormat="1">
      <c r="A90" s="76"/>
      <c r="B90" s="525" t="s">
        <v>74</v>
      </c>
      <c r="C90" s="618">
        <f>IFERROR(0.0097*POWER(C83*(1000+C84),0.8868)/C83,0)</f>
        <v>0</v>
      </c>
      <c r="D90" s="621" t="s">
        <v>790</v>
      </c>
    </row>
    <row r="91" spans="1:14" s="73" customFormat="1">
      <c r="A91" s="76"/>
      <c r="B91" s="1278" t="s">
        <v>728</v>
      </c>
      <c r="C91" s="1303">
        <f>IFERROR(0.0105*POWER(C83*(1000+C84),0.8868)/C83,0)</f>
        <v>0</v>
      </c>
      <c r="D91" s="1277" t="s">
        <v>790</v>
      </c>
      <c r="E91" s="1276"/>
      <c r="F91" s="1276"/>
    </row>
    <row r="92" spans="1:14" s="73" customFormat="1">
      <c r="B92" s="832"/>
      <c r="C92" s="615"/>
      <c r="D92" s="196"/>
      <c r="E92" s="196"/>
      <c r="F92" s="196"/>
    </row>
    <row r="93" spans="1:14" s="73" customFormat="1" ht="14.25">
      <c r="B93" s="81" t="s">
        <v>730</v>
      </c>
      <c r="C93" s="507">
        <f>IFERROR(LOOKUP(C85,B86:C89),0)</f>
        <v>0</v>
      </c>
      <c r="D93" s="378" t="s">
        <v>721</v>
      </c>
      <c r="E93" s="489"/>
      <c r="F93" s="489"/>
    </row>
    <row r="94" spans="1:14" s="73" customFormat="1" ht="14.25">
      <c r="B94" s="81" t="s">
        <v>731</v>
      </c>
      <c r="C94" s="507" cm="1">
        <f t="array" ref="C94">IFERROR(INDEX(C86:C90,MATCH(C85,B86:B90)+1),0)</f>
        <v>0</v>
      </c>
      <c r="D94" s="378" t="s">
        <v>721</v>
      </c>
      <c r="E94" s="489"/>
      <c r="F94" s="489"/>
    </row>
    <row r="95" spans="1:14" s="73" customFormat="1">
      <c r="B95" s="81" t="s">
        <v>618</v>
      </c>
      <c r="C95" s="531">
        <f>IFERROR(C93*C82,0)</f>
        <v>0</v>
      </c>
      <c r="D95" s="378" t="s">
        <v>723</v>
      </c>
      <c r="E95" s="489"/>
      <c r="F95" s="489"/>
    </row>
    <row r="96" spans="1:14" s="73" customFormat="1">
      <c r="B96" s="81" t="s">
        <v>619</v>
      </c>
      <c r="C96" s="531">
        <f>IFERROR(C94*C82,0)</f>
        <v>0</v>
      </c>
      <c r="D96" s="378" t="s">
        <v>723</v>
      </c>
      <c r="E96" s="489"/>
      <c r="F96" s="489"/>
    </row>
    <row r="97" spans="1:26">
      <c r="B97" s="434"/>
      <c r="C97" s="505"/>
      <c r="D97" s="505"/>
      <c r="E97" s="505"/>
      <c r="F97" s="505"/>
      <c r="G97" s="73"/>
      <c r="H97" s="73"/>
      <c r="I97" s="73"/>
      <c r="J97" s="73"/>
      <c r="T97"/>
      <c r="U97"/>
      <c r="V97"/>
      <c r="W97"/>
      <c r="X97"/>
      <c r="Y97"/>
      <c r="Z97"/>
    </row>
    <row r="98" spans="1:26">
      <c r="J98" s="73"/>
      <c r="K98" s="73"/>
      <c r="L98" s="73"/>
      <c r="M98" s="73"/>
    </row>
    <row r="99" spans="1:26" s="73" customFormat="1">
      <c r="A99" s="76"/>
      <c r="C99" s="203"/>
      <c r="D99" s="203"/>
      <c r="E99" s="203"/>
      <c r="F99" s="203"/>
    </row>
    <row r="100" spans="1:26" ht="13.5" thickBot="1">
      <c r="J100" s="73"/>
      <c r="K100" s="73"/>
      <c r="L100" s="73"/>
      <c r="M100" s="73"/>
    </row>
    <row r="101" spans="1:26" s="73" customFormat="1" ht="18.75">
      <c r="A101" s="786" t="s">
        <v>930</v>
      </c>
      <c r="B101" s="786"/>
      <c r="C101" s="786"/>
      <c r="D101" s="786"/>
      <c r="E101" s="786"/>
      <c r="F101" s="786"/>
      <c r="G101" s="786"/>
      <c r="H101" s="786"/>
    </row>
    <row r="102" spans="1:26" s="73" customFormat="1">
      <c r="A102" s="203"/>
      <c r="B102" s="203"/>
      <c r="C102" s="717"/>
      <c r="D102" s="717"/>
      <c r="E102" s="717"/>
      <c r="F102" s="615"/>
      <c r="G102" s="615"/>
      <c r="H102" s="717"/>
    </row>
    <row r="103" spans="1:26" s="73" customFormat="1">
      <c r="A103" s="203"/>
      <c r="B103" s="81" t="s">
        <v>719</v>
      </c>
      <c r="C103" s="203"/>
      <c r="D103" s="203"/>
      <c r="E103" s="203"/>
      <c r="F103" s="487">
        <f>'OSNOVNI PODATKI'!G361</f>
        <v>0</v>
      </c>
      <c r="G103" s="203"/>
      <c r="H103" s="203"/>
    </row>
    <row r="104" spans="1:26" s="73" customFormat="1">
      <c r="A104" s="203"/>
      <c r="B104" s="81" t="s">
        <v>720</v>
      </c>
      <c r="C104" s="202"/>
      <c r="D104" s="80"/>
      <c r="E104" s="80"/>
      <c r="F104" s="473">
        <f>'ARHIGRAM 6'!I16</f>
        <v>62</v>
      </c>
      <c r="G104" s="202"/>
      <c r="H104" s="202"/>
    </row>
    <row r="105" spans="1:26" s="73" customFormat="1">
      <c r="A105" s="203"/>
      <c r="B105" s="203"/>
      <c r="C105" s="203"/>
      <c r="D105" s="203"/>
      <c r="E105" s="203"/>
      <c r="G105" s="203"/>
      <c r="H105" s="203"/>
    </row>
    <row r="106" spans="1:26" s="73" customFormat="1">
      <c r="B106" s="81" t="str">
        <f>'OSNOVNI PODATKI'!$B$376</f>
        <v>PRIBITEK ZA PRENOVO</v>
      </c>
      <c r="C106" s="202"/>
      <c r="D106" s="80"/>
      <c r="E106" s="80"/>
      <c r="F106" s="301">
        <f>'OSNOVNI PODATKI'!$F$376</f>
        <v>0</v>
      </c>
      <c r="G106" s="202" t="str">
        <f>'OSNOVNI PODATKI'!G376</f>
        <v>Upošteva se v fazah od 1 do 4., samo za storitve projektiranja. Če dogovor o povečanju potrebnega števila NU ni bil dosežen, se upošteva 18 % povečanje števila NU glede na vsaj povprečno zahtevnost.
Če gre za prenovo notranje opreme lahko znaša povečanje do 50 %.</v>
      </c>
      <c r="H106" s="202"/>
    </row>
    <row r="107" spans="1:26" s="73" customFormat="1">
      <c r="B107" s="81" t="str">
        <f>'OSNOVNI PODATKI'!$B$377</f>
        <v>PRIBITEK ZA VKLJUČEVANJE DRUGIH IZVAJALCEV V POGODBO</v>
      </c>
      <c r="C107" s="202"/>
      <c r="D107" s="80"/>
      <c r="E107" s="80"/>
      <c r="F107" s="301">
        <f>'OSNOVNI PODATKI'!$F$377</f>
        <v>0</v>
      </c>
      <c r="G107" s="202" t="str">
        <f>'OSNOVNI PODATKI'!G377</f>
        <v>Upošteva se v vseh fazah, samo za storitve vodenja in koordinacije</v>
      </c>
      <c r="H107" s="202"/>
    </row>
    <row r="108" spans="1:26" s="73" customFormat="1">
      <c r="A108" s="203"/>
      <c r="B108" s="81" t="s">
        <v>801</v>
      </c>
      <c r="C108" s="202"/>
      <c r="D108" s="80"/>
      <c r="E108" s="80"/>
      <c r="F108" s="635" t="str">
        <f>IF('OSNOVNI PODATKI'!A358=TRUE,"DA","NE")</f>
        <v>DA</v>
      </c>
      <c r="G108" s="489"/>
      <c r="H108" s="489"/>
    </row>
    <row r="109" spans="1:26" s="73" customFormat="1">
      <c r="A109" s="203"/>
      <c r="B109" s="81"/>
      <c r="C109" s="202"/>
      <c r="D109" s="80"/>
      <c r="E109" s="80"/>
      <c r="F109" s="635"/>
      <c r="G109" s="202"/>
      <c r="H109" s="489"/>
    </row>
    <row r="110" spans="1:26" s="73" customFormat="1">
      <c r="A110" s="203"/>
      <c r="B110" s="81"/>
      <c r="C110" s="202"/>
      <c r="D110" s="80"/>
      <c r="E110" s="80"/>
      <c r="F110" s="635"/>
      <c r="G110" s="202"/>
      <c r="H110" s="489"/>
    </row>
    <row r="112" spans="1:26" s="469" customFormat="1">
      <c r="A112"/>
      <c r="B112" s="204" t="s">
        <v>887</v>
      </c>
      <c r="C112" s="204"/>
      <c r="D112" s="204"/>
      <c r="E112" s="204"/>
      <c r="F112" s="204"/>
      <c r="G112" s="204"/>
      <c r="H112" s="204"/>
      <c r="I112"/>
      <c r="J112"/>
      <c r="K112" s="204" t="s">
        <v>795</v>
      </c>
      <c r="L112" s="204"/>
      <c r="M112" s="204"/>
      <c r="N112" s="204"/>
      <c r="O112" s="204"/>
      <c r="P112" s="204"/>
      <c r="Q112" s="204"/>
      <c r="R112" s="204"/>
      <c r="S112"/>
    </row>
    <row r="113" spans="1:24" s="8" customFormat="1" ht="51">
      <c r="A113" s="102"/>
      <c r="B113" s="103"/>
      <c r="C113" s="103"/>
      <c r="D113" s="103"/>
      <c r="E113" s="104" t="s">
        <v>25</v>
      </c>
      <c r="F113" s="294" t="s">
        <v>758</v>
      </c>
      <c r="G113" s="600" t="s">
        <v>54</v>
      </c>
      <c r="H113" s="105" t="s">
        <v>67</v>
      </c>
      <c r="I113" s="405" t="s">
        <v>891</v>
      </c>
      <c r="J113" s="816"/>
      <c r="K113" s="102"/>
      <c r="L113" s="103"/>
      <c r="M113" s="103"/>
      <c r="N113" s="103"/>
      <c r="O113" s="104" t="s">
        <v>25</v>
      </c>
      <c r="P113" s="294" t="s">
        <v>758</v>
      </c>
      <c r="Q113" s="600" t="s">
        <v>54</v>
      </c>
      <c r="R113" s="105" t="s">
        <v>67</v>
      </c>
      <c r="S113" s="405" t="s">
        <v>891</v>
      </c>
      <c r="T113" s="817"/>
      <c r="U113" s="294" t="s">
        <v>798</v>
      </c>
      <c r="V113" s="294" t="s">
        <v>799</v>
      </c>
      <c r="W113" s="725" t="s">
        <v>889</v>
      </c>
      <c r="X113" s="105" t="s">
        <v>890</v>
      </c>
    </row>
    <row r="114" spans="1:24" s="9" customFormat="1" ht="14.25">
      <c r="A114" s="98" t="s">
        <v>26</v>
      </c>
      <c r="B114" s="99" t="s">
        <v>27</v>
      </c>
      <c r="C114" s="99"/>
      <c r="D114" s="99"/>
      <c r="E114" s="100"/>
      <c r="F114" s="100"/>
      <c r="G114" s="601"/>
      <c r="H114" s="101"/>
      <c r="I114" s="818"/>
      <c r="J114" s="818"/>
      <c r="K114" s="98" t="s">
        <v>26</v>
      </c>
      <c r="L114" s="99" t="s">
        <v>27</v>
      </c>
      <c r="M114" s="99"/>
      <c r="N114" s="99"/>
      <c r="O114" s="100"/>
      <c r="P114" s="100"/>
      <c r="Q114" s="601"/>
      <c r="R114" s="101"/>
      <c r="S114" s="818"/>
      <c r="T114" s="818"/>
      <c r="U114" s="100"/>
      <c r="V114" s="100"/>
      <c r="W114" s="819"/>
      <c r="X114" s="819"/>
    </row>
    <row r="115" spans="1:24" s="9" customFormat="1" ht="14.25">
      <c r="A115" s="82" t="s">
        <v>28</v>
      </c>
      <c r="B115" s="94" t="s">
        <v>62</v>
      </c>
      <c r="C115" s="94"/>
      <c r="D115" s="94"/>
      <c r="E115" s="83"/>
      <c r="F115" s="83"/>
      <c r="G115" s="602"/>
      <c r="H115" s="84"/>
      <c r="I115" s="818"/>
      <c r="J115" s="818"/>
      <c r="K115" s="82" t="s">
        <v>28</v>
      </c>
      <c r="L115" s="94" t="s">
        <v>62</v>
      </c>
      <c r="M115" s="94"/>
      <c r="N115" s="94"/>
      <c r="O115" s="83"/>
      <c r="P115" s="83"/>
      <c r="Q115" s="602"/>
      <c r="R115" s="84"/>
      <c r="S115" s="818"/>
      <c r="T115" s="818"/>
      <c r="U115" s="83"/>
      <c r="V115" s="83"/>
      <c r="W115" s="820"/>
      <c r="X115" s="820"/>
    </row>
    <row r="116" spans="1:24" s="9" customFormat="1" ht="14.25">
      <c r="A116" s="107" t="s">
        <v>29</v>
      </c>
      <c r="B116" s="108" t="s">
        <v>63</v>
      </c>
      <c r="C116" s="108"/>
      <c r="D116" s="108"/>
      <c r="E116" s="109"/>
      <c r="F116" s="109"/>
      <c r="G116" s="603"/>
      <c r="H116" s="88"/>
      <c r="I116" s="818"/>
      <c r="J116" s="818"/>
      <c r="K116" s="107" t="s">
        <v>29</v>
      </c>
      <c r="L116" s="108" t="s">
        <v>63</v>
      </c>
      <c r="M116" s="108"/>
      <c r="N116" s="108"/>
      <c r="O116" s="109"/>
      <c r="P116" s="109"/>
      <c r="Q116" s="603"/>
      <c r="R116" s="88"/>
      <c r="S116" s="818"/>
      <c r="T116" s="818"/>
      <c r="U116" s="109"/>
      <c r="V116" s="109"/>
      <c r="W116" s="821"/>
      <c r="X116" s="821"/>
    </row>
    <row r="117" spans="1:24" s="9" customFormat="1" ht="14.25">
      <c r="A117" s="106" t="s">
        <v>30</v>
      </c>
      <c r="B117" s="99" t="s">
        <v>31</v>
      </c>
      <c r="C117" s="99"/>
      <c r="D117" s="99"/>
      <c r="E117" s="297">
        <f>SUM(E118:E120)</f>
        <v>5.0000000000000001E-3</v>
      </c>
      <c r="F117" s="297">
        <f>SUM(F118:F120)</f>
        <v>5.0000000000000001E-3</v>
      </c>
      <c r="G117" s="607">
        <f>SUM(G118:G120)</f>
        <v>0</v>
      </c>
      <c r="H117" s="101">
        <f>SUM(H118:H120)</f>
        <v>0</v>
      </c>
      <c r="I117" s="122">
        <f>IFERROR(H117/#REF!,0)</f>
        <v>0</v>
      </c>
      <c r="J117" s="818"/>
      <c r="K117" s="106" t="s">
        <v>30</v>
      </c>
      <c r="L117" s="99" t="s">
        <v>31</v>
      </c>
      <c r="M117" s="99"/>
      <c r="N117" s="99"/>
      <c r="O117" s="297">
        <f>SUM(O118:O120)</f>
        <v>1.4999999999999999E-2</v>
      </c>
      <c r="P117" s="297">
        <f>SUM(P118:P120)</f>
        <v>1.4999999999999999E-2</v>
      </c>
      <c r="Q117" s="607">
        <f>SUM(Q118:Q120)</f>
        <v>0</v>
      </c>
      <c r="R117" s="101">
        <f>SUM(R118:R120)</f>
        <v>0</v>
      </c>
      <c r="S117" s="122">
        <f>IFERROR(R117/#REF!,0)</f>
        <v>0</v>
      </c>
      <c r="T117" s="818"/>
      <c r="U117" s="297">
        <f>SUM(U118:U120)</f>
        <v>0.02</v>
      </c>
      <c r="V117" s="297">
        <f>SUM(V118:V120)</f>
        <v>0.02</v>
      </c>
      <c r="W117" s="607">
        <f>SUM(W118:W120)</f>
        <v>0</v>
      </c>
      <c r="X117" s="101">
        <f>SUM(X118:X120)</f>
        <v>0</v>
      </c>
    </row>
    <row r="118" spans="1:24" s="9" customFormat="1" ht="14.25">
      <c r="A118" s="85" t="s">
        <v>32</v>
      </c>
      <c r="B118" s="93" t="s">
        <v>64</v>
      </c>
      <c r="C118" s="93"/>
      <c r="D118" s="93"/>
      <c r="E118" s="295">
        <v>2.5000000000000001E-3</v>
      </c>
      <c r="F118" s="295">
        <f>E118*(100%+$F$106)</f>
        <v>2.5000000000000001E-3</v>
      </c>
      <c r="G118" s="608">
        <f>ROUND(F118*$F$103,1)</f>
        <v>0</v>
      </c>
      <c r="H118" s="84">
        <f>+G118*$F$104</f>
        <v>0</v>
      </c>
      <c r="I118" s="818"/>
      <c r="J118" s="818"/>
      <c r="K118" s="85" t="s">
        <v>32</v>
      </c>
      <c r="L118" s="93" t="s">
        <v>64</v>
      </c>
      <c r="M118" s="93"/>
      <c r="N118" s="93"/>
      <c r="O118" s="295">
        <v>2.5000000000000001E-3</v>
      </c>
      <c r="P118" s="295">
        <f>O118</f>
        <v>2.5000000000000001E-3</v>
      </c>
      <c r="Q118" s="608">
        <f>IF($F$108="DA",ROUND(P118*$F$103,1),0)</f>
        <v>0</v>
      </c>
      <c r="R118" s="84">
        <f>+Q118*$F$104</f>
        <v>0</v>
      </c>
      <c r="S118" s="818"/>
      <c r="T118" s="818"/>
      <c r="U118" s="471">
        <f t="shared" ref="U118:X120" si="0">+E118+O118</f>
        <v>5.0000000000000001E-3</v>
      </c>
      <c r="V118" s="471">
        <f t="shared" si="0"/>
        <v>5.0000000000000001E-3</v>
      </c>
      <c r="W118" s="608">
        <f t="shared" si="0"/>
        <v>0</v>
      </c>
      <c r="X118" s="84">
        <f t="shared" si="0"/>
        <v>0</v>
      </c>
    </row>
    <row r="119" spans="1:24" s="9" customFormat="1" ht="14.25">
      <c r="A119" s="85" t="s">
        <v>33</v>
      </c>
      <c r="B119" s="93" t="s">
        <v>65</v>
      </c>
      <c r="C119" s="93"/>
      <c r="D119" s="93"/>
      <c r="E119" s="295">
        <v>2.5000000000000001E-3</v>
      </c>
      <c r="F119" s="295">
        <f>E119*(100%+$F$106)</f>
        <v>2.5000000000000001E-3</v>
      </c>
      <c r="G119" s="608">
        <f>ROUND(F119*$F$103,1)</f>
        <v>0</v>
      </c>
      <c r="H119" s="84">
        <f t="shared" ref="H119" si="1">+G119*$F$104</f>
        <v>0</v>
      </c>
      <c r="I119" s="818"/>
      <c r="J119" s="818"/>
      <c r="K119" s="85" t="s">
        <v>33</v>
      </c>
      <c r="L119" s="93" t="s">
        <v>65</v>
      </c>
      <c r="M119" s="93"/>
      <c r="N119" s="93"/>
      <c r="O119" s="295">
        <v>2.5000000000000001E-3</v>
      </c>
      <c r="P119" s="295">
        <f t="shared" ref="P119:P120" si="2">O119</f>
        <v>2.5000000000000001E-3</v>
      </c>
      <c r="Q119" s="608">
        <f t="shared" ref="Q119:Q120" si="3">IF($F$108="DA",ROUND(P119*$F$103,1),0)</f>
        <v>0</v>
      </c>
      <c r="R119" s="84">
        <f t="shared" ref="R119:R120" si="4">+Q119*$F$104</f>
        <v>0</v>
      </c>
      <c r="S119" s="818"/>
      <c r="T119" s="818"/>
      <c r="U119" s="471">
        <f t="shared" si="0"/>
        <v>5.0000000000000001E-3</v>
      </c>
      <c r="V119" s="471">
        <f t="shared" si="0"/>
        <v>5.0000000000000001E-3</v>
      </c>
      <c r="W119" s="608">
        <f t="shared" si="0"/>
        <v>0</v>
      </c>
      <c r="X119" s="84">
        <f t="shared" si="0"/>
        <v>0</v>
      </c>
    </row>
    <row r="120" spans="1:24" s="9" customFormat="1" ht="14.25">
      <c r="A120" s="111" t="s">
        <v>34</v>
      </c>
      <c r="B120" s="112" t="s">
        <v>695</v>
      </c>
      <c r="C120" s="112"/>
      <c r="D120" s="112"/>
      <c r="E120" s="470"/>
      <c r="F120" s="470"/>
      <c r="G120" s="609"/>
      <c r="H120" s="88"/>
      <c r="I120" s="818"/>
      <c r="J120" s="818"/>
      <c r="K120" s="111" t="s">
        <v>34</v>
      </c>
      <c r="L120" s="112" t="s">
        <v>695</v>
      </c>
      <c r="M120" s="112"/>
      <c r="N120" s="112"/>
      <c r="O120" s="470">
        <v>0.01</v>
      </c>
      <c r="P120" s="470">
        <f t="shared" si="2"/>
        <v>0.01</v>
      </c>
      <c r="Q120" s="609">
        <f t="shared" si="3"/>
        <v>0</v>
      </c>
      <c r="R120" s="88">
        <f t="shared" si="4"/>
        <v>0</v>
      </c>
      <c r="S120" s="818"/>
      <c r="T120" s="818"/>
      <c r="U120" s="472">
        <f t="shared" si="0"/>
        <v>0.01</v>
      </c>
      <c r="V120" s="472">
        <f t="shared" si="0"/>
        <v>0.01</v>
      </c>
      <c r="W120" s="609">
        <f t="shared" si="0"/>
        <v>0</v>
      </c>
      <c r="X120" s="88">
        <f t="shared" si="0"/>
        <v>0</v>
      </c>
    </row>
    <row r="121" spans="1:24" s="9" customFormat="1" ht="14.25">
      <c r="A121" s="110">
        <v>2</v>
      </c>
      <c r="B121" s="99" t="s">
        <v>35</v>
      </c>
      <c r="C121" s="99"/>
      <c r="D121" s="99"/>
      <c r="E121" s="297">
        <f>SUM(E122:E128)</f>
        <v>0.55999999999999994</v>
      </c>
      <c r="F121" s="297">
        <f>SUM(F122:F128)</f>
        <v>0.55999999999999994</v>
      </c>
      <c r="G121" s="610">
        <f>SUM(G122:G128)</f>
        <v>0</v>
      </c>
      <c r="H121" s="101">
        <f>SUM(H122:H128)</f>
        <v>0</v>
      </c>
      <c r="I121" s="122">
        <f>IFERROR(H121/#REF!,0)</f>
        <v>0</v>
      </c>
      <c r="J121" s="818"/>
      <c r="K121" s="110">
        <v>2</v>
      </c>
      <c r="L121" s="99" t="s">
        <v>35</v>
      </c>
      <c r="M121" s="99"/>
      <c r="N121" s="99"/>
      <c r="O121" s="297">
        <f>SUM(O122:O128)</f>
        <v>0.05</v>
      </c>
      <c r="P121" s="297">
        <f>SUM(P122:P128)</f>
        <v>0.05</v>
      </c>
      <c r="Q121" s="610">
        <f>SUM(Q122:Q128)</f>
        <v>0</v>
      </c>
      <c r="R121" s="101">
        <f>SUM(R122:R128)</f>
        <v>0</v>
      </c>
      <c r="S121" s="122">
        <f>IFERROR(R121/#REF!,0)</f>
        <v>0</v>
      </c>
      <c r="T121" s="818"/>
      <c r="U121" s="297">
        <f>SUM(U122:U128)</f>
        <v>0.61</v>
      </c>
      <c r="V121" s="297">
        <f>SUM(V122:V128)</f>
        <v>0.61</v>
      </c>
      <c r="W121" s="610">
        <f>SUM(W122:W128)</f>
        <v>0</v>
      </c>
      <c r="X121" s="101">
        <f>SUM(X122:X128)</f>
        <v>0</v>
      </c>
    </row>
    <row r="122" spans="1:24" s="9" customFormat="1" ht="14.25">
      <c r="A122" s="85" t="s">
        <v>48</v>
      </c>
      <c r="B122" s="93" t="s">
        <v>78</v>
      </c>
      <c r="C122" s="93"/>
      <c r="D122" s="93"/>
      <c r="E122" s="471">
        <v>7.4999999999999997E-2</v>
      </c>
      <c r="F122" s="295">
        <f>E122*(100%+$F$106)</f>
        <v>7.4999999999999997E-2</v>
      </c>
      <c r="G122" s="608">
        <f t="shared" ref="G122:G123" si="5">ROUND(F122*$F$103,1)</f>
        <v>0</v>
      </c>
      <c r="H122" s="84">
        <f t="shared" ref="H122:H127" si="6">+G122*$F$104</f>
        <v>0</v>
      </c>
      <c r="I122" s="818"/>
      <c r="J122" s="818"/>
      <c r="K122" s="85" t="s">
        <v>48</v>
      </c>
      <c r="L122" s="93" t="s">
        <v>78</v>
      </c>
      <c r="M122" s="93"/>
      <c r="N122" s="93"/>
      <c r="O122" s="471">
        <v>5.0000000000000001E-3</v>
      </c>
      <c r="P122" s="295">
        <f t="shared" ref="P122:P123" si="7">O122</f>
        <v>5.0000000000000001E-3</v>
      </c>
      <c r="Q122" s="608">
        <f t="shared" ref="Q122:Q123" si="8">IF($F$108="DA",ROUND(P122*$F$103,1),0)</f>
        <v>0</v>
      </c>
      <c r="R122" s="84">
        <f t="shared" ref="R122:R128" si="9">+Q122*$F$104</f>
        <v>0</v>
      </c>
      <c r="S122" s="818"/>
      <c r="T122" s="818"/>
      <c r="U122" s="471">
        <f t="shared" ref="U122:X128" si="10">+E122+O122</f>
        <v>0.08</v>
      </c>
      <c r="V122" s="471">
        <f t="shared" si="10"/>
        <v>0.08</v>
      </c>
      <c r="W122" s="608">
        <f t="shared" si="10"/>
        <v>0</v>
      </c>
      <c r="X122" s="84">
        <f t="shared" si="10"/>
        <v>0</v>
      </c>
    </row>
    <row r="123" spans="1:24" s="9" customFormat="1" ht="14.25">
      <c r="A123" s="86" t="s">
        <v>49</v>
      </c>
      <c r="B123" s="97" t="s">
        <v>624</v>
      </c>
      <c r="C123" s="97"/>
      <c r="D123" s="97"/>
      <c r="E123" s="471">
        <v>0.15</v>
      </c>
      <c r="F123" s="295">
        <f>E123*(100%+$F$106)</f>
        <v>0.15</v>
      </c>
      <c r="G123" s="608">
        <f t="shared" si="5"/>
        <v>0</v>
      </c>
      <c r="H123" s="84">
        <f t="shared" si="6"/>
        <v>0</v>
      </c>
      <c r="I123" s="818"/>
      <c r="J123" s="818"/>
      <c r="K123" s="86" t="s">
        <v>49</v>
      </c>
      <c r="L123" s="97" t="s">
        <v>624</v>
      </c>
      <c r="M123" s="97"/>
      <c r="N123" s="97"/>
      <c r="O123" s="471">
        <v>7.4999999999999997E-3</v>
      </c>
      <c r="P123" s="295">
        <f t="shared" si="7"/>
        <v>7.4999999999999997E-3</v>
      </c>
      <c r="Q123" s="608">
        <f t="shared" si="8"/>
        <v>0</v>
      </c>
      <c r="R123" s="84">
        <f t="shared" si="9"/>
        <v>0</v>
      </c>
      <c r="S123" s="818"/>
      <c r="T123" s="818"/>
      <c r="U123" s="471">
        <f t="shared" si="10"/>
        <v>0.1575</v>
      </c>
      <c r="V123" s="471">
        <f t="shared" si="10"/>
        <v>0.1575</v>
      </c>
      <c r="W123" s="608">
        <f t="shared" si="10"/>
        <v>0</v>
      </c>
      <c r="X123" s="84">
        <f t="shared" si="10"/>
        <v>0</v>
      </c>
    </row>
    <row r="124" spans="1:24" s="9" customFormat="1" ht="14.25">
      <c r="A124" s="86" t="s">
        <v>50</v>
      </c>
      <c r="B124" s="97" t="s">
        <v>699</v>
      </c>
      <c r="C124" s="97"/>
      <c r="D124" s="97"/>
      <c r="E124" s="471"/>
      <c r="F124" s="295"/>
      <c r="G124" s="608"/>
      <c r="H124" s="84"/>
      <c r="I124" s="818"/>
      <c r="J124" s="818"/>
      <c r="K124" s="86" t="s">
        <v>50</v>
      </c>
      <c r="L124" s="97" t="s">
        <v>699</v>
      </c>
      <c r="M124" s="97"/>
      <c r="N124" s="97"/>
      <c r="O124" s="471"/>
      <c r="P124" s="295"/>
      <c r="Q124" s="608"/>
      <c r="R124" s="84"/>
      <c r="S124" s="818"/>
      <c r="T124" s="818"/>
      <c r="U124" s="471">
        <f t="shared" si="10"/>
        <v>0</v>
      </c>
      <c r="V124" s="471">
        <f t="shared" si="10"/>
        <v>0</v>
      </c>
      <c r="W124" s="608">
        <f t="shared" si="10"/>
        <v>0</v>
      </c>
      <c r="X124" s="84">
        <f t="shared" si="10"/>
        <v>0</v>
      </c>
    </row>
    <row r="125" spans="1:24" s="9" customFormat="1" ht="14.25">
      <c r="A125" s="86" t="s">
        <v>79</v>
      </c>
      <c r="B125" s="97" t="s">
        <v>625</v>
      </c>
      <c r="C125" s="97"/>
      <c r="D125" s="97"/>
      <c r="E125" s="471">
        <v>0.3</v>
      </c>
      <c r="F125" s="295">
        <f>E125*(100%+$F$106)</f>
        <v>0.3</v>
      </c>
      <c r="G125" s="608">
        <f t="shared" ref="G125:G127" si="11">ROUND(F125*$F$103,1)</f>
        <v>0</v>
      </c>
      <c r="H125" s="84">
        <f t="shared" si="6"/>
        <v>0</v>
      </c>
      <c r="I125" s="818"/>
      <c r="J125" s="818"/>
      <c r="K125" s="86" t="s">
        <v>79</v>
      </c>
      <c r="L125" s="97" t="s">
        <v>625</v>
      </c>
      <c r="M125" s="97"/>
      <c r="N125" s="97"/>
      <c r="O125" s="471">
        <v>0.02</v>
      </c>
      <c r="P125" s="295">
        <f>O125</f>
        <v>0.02</v>
      </c>
      <c r="Q125" s="608">
        <f t="shared" ref="Q125:Q126" si="12">IF($F$108="DA",ROUND(P125*$F$103,1),0)</f>
        <v>0</v>
      </c>
      <c r="R125" s="84">
        <f t="shared" si="9"/>
        <v>0</v>
      </c>
      <c r="S125" s="818"/>
      <c r="T125" s="818"/>
      <c r="U125" s="471">
        <f t="shared" si="10"/>
        <v>0.32</v>
      </c>
      <c r="V125" s="471">
        <f t="shared" si="10"/>
        <v>0.32</v>
      </c>
      <c r="W125" s="608">
        <f t="shared" si="10"/>
        <v>0</v>
      </c>
      <c r="X125" s="84">
        <f t="shared" si="10"/>
        <v>0</v>
      </c>
    </row>
    <row r="126" spans="1:24" s="9" customFormat="1" ht="14.25">
      <c r="A126" s="86" t="s">
        <v>80</v>
      </c>
      <c r="B126" s="97" t="s">
        <v>696</v>
      </c>
      <c r="C126" s="97"/>
      <c r="D126" s="97"/>
      <c r="E126" s="471">
        <v>0.03</v>
      </c>
      <c r="F126" s="295">
        <f>E126*(100%+$F$106)</f>
        <v>0.03</v>
      </c>
      <c r="G126" s="608">
        <f t="shared" si="11"/>
        <v>0</v>
      </c>
      <c r="H126" s="84">
        <f t="shared" si="6"/>
        <v>0</v>
      </c>
      <c r="I126" s="818"/>
      <c r="J126" s="818"/>
      <c r="K126" s="86" t="s">
        <v>80</v>
      </c>
      <c r="L126" s="97" t="s">
        <v>696</v>
      </c>
      <c r="M126" s="97"/>
      <c r="N126" s="97"/>
      <c r="O126" s="471">
        <v>2.5000000000000001E-3</v>
      </c>
      <c r="P126" s="295">
        <f t="shared" ref="P126" si="13">O126</f>
        <v>2.5000000000000001E-3</v>
      </c>
      <c r="Q126" s="608">
        <f t="shared" si="12"/>
        <v>0</v>
      </c>
      <c r="R126" s="84">
        <f t="shared" si="9"/>
        <v>0</v>
      </c>
      <c r="S126" s="818"/>
      <c r="T126" s="818"/>
      <c r="U126" s="471">
        <f t="shared" si="10"/>
        <v>3.2500000000000001E-2</v>
      </c>
      <c r="V126" s="471">
        <f t="shared" si="10"/>
        <v>3.2500000000000001E-2</v>
      </c>
      <c r="W126" s="608">
        <f t="shared" si="10"/>
        <v>0</v>
      </c>
      <c r="X126" s="84">
        <f t="shared" si="10"/>
        <v>0</v>
      </c>
    </row>
    <row r="127" spans="1:24" s="823" customFormat="1" ht="14.25">
      <c r="A127" s="759"/>
      <c r="B127" s="760" t="s">
        <v>797</v>
      </c>
      <c r="C127" s="760"/>
      <c r="D127" s="760"/>
      <c r="E127" s="761">
        <v>5.0000000000000001E-3</v>
      </c>
      <c r="F127" s="763">
        <f>E127*(100%+$F$106)</f>
        <v>5.0000000000000001E-3</v>
      </c>
      <c r="G127" s="801">
        <f t="shared" si="11"/>
        <v>0</v>
      </c>
      <c r="H127" s="754">
        <f t="shared" si="6"/>
        <v>0</v>
      </c>
      <c r="I127" s="822"/>
      <c r="J127" s="818"/>
      <c r="K127" s="759"/>
      <c r="L127" s="760" t="s">
        <v>797</v>
      </c>
      <c r="M127" s="760"/>
      <c r="N127" s="760"/>
      <c r="O127" s="761"/>
      <c r="P127" s="763"/>
      <c r="Q127" s="764"/>
      <c r="R127" s="765"/>
      <c r="S127" s="822"/>
      <c r="T127" s="818"/>
      <c r="U127" s="749">
        <f t="shared" si="10"/>
        <v>5.0000000000000001E-3</v>
      </c>
      <c r="V127" s="749">
        <f t="shared" si="10"/>
        <v>5.0000000000000001E-3</v>
      </c>
      <c r="W127" s="824">
        <f t="shared" si="10"/>
        <v>0</v>
      </c>
      <c r="X127" s="765">
        <f t="shared" si="10"/>
        <v>0</v>
      </c>
    </row>
    <row r="128" spans="1:24" s="823" customFormat="1" ht="14.25">
      <c r="A128" s="766"/>
      <c r="B128" s="767" t="s">
        <v>868</v>
      </c>
      <c r="C128" s="767"/>
      <c r="D128" s="767"/>
      <c r="E128" s="768"/>
      <c r="F128" s="769"/>
      <c r="G128" s="770"/>
      <c r="H128" s="771"/>
      <c r="I128" s="822"/>
      <c r="J128" s="818"/>
      <c r="K128" s="766"/>
      <c r="L128" s="767" t="s">
        <v>868</v>
      </c>
      <c r="M128" s="767"/>
      <c r="N128" s="767"/>
      <c r="O128" s="768">
        <v>1.4999999999999999E-2</v>
      </c>
      <c r="P128" s="769">
        <f>O128</f>
        <v>1.4999999999999999E-2</v>
      </c>
      <c r="Q128" s="802">
        <f>IF($F$108="DA",ROUND(P128*$F$103,1),0)</f>
        <v>0</v>
      </c>
      <c r="R128" s="771">
        <f t="shared" si="9"/>
        <v>0</v>
      </c>
      <c r="S128" s="822"/>
      <c r="T128" s="818"/>
      <c r="U128" s="768">
        <f t="shared" si="10"/>
        <v>1.4999999999999999E-2</v>
      </c>
      <c r="V128" s="768">
        <f t="shared" si="10"/>
        <v>1.4999999999999999E-2</v>
      </c>
      <c r="W128" s="802">
        <f t="shared" si="10"/>
        <v>0</v>
      </c>
      <c r="X128" s="771">
        <f t="shared" si="10"/>
        <v>0</v>
      </c>
    </row>
    <row r="129" spans="1:24" s="9" customFormat="1" ht="14.25">
      <c r="A129" s="113" t="s">
        <v>36</v>
      </c>
      <c r="B129" s="99" t="s">
        <v>101</v>
      </c>
      <c r="C129" s="99"/>
      <c r="D129" s="99"/>
      <c r="E129" s="297">
        <f>SUM(E130:E132)</f>
        <v>5.0000000000000001E-3</v>
      </c>
      <c r="F129" s="297">
        <f>SUM(F130:F132)</f>
        <v>5.0000000000000001E-3</v>
      </c>
      <c r="G129" s="607">
        <f>SUM(G130:G133)</f>
        <v>0</v>
      </c>
      <c r="H129" s="101">
        <f>SUM(H130:H133)</f>
        <v>0</v>
      </c>
      <c r="I129" s="122">
        <f>IFERROR(H129/#REF!,0)</f>
        <v>0</v>
      </c>
      <c r="J129" s="818"/>
      <c r="K129" s="113" t="s">
        <v>36</v>
      </c>
      <c r="L129" s="99" t="s">
        <v>101</v>
      </c>
      <c r="M129" s="99"/>
      <c r="N129" s="99"/>
      <c r="O129" s="297">
        <f>SUM(O130:O133)</f>
        <v>2.5000000000000001E-2</v>
      </c>
      <c r="P129" s="297">
        <f>SUM(P130:P133)</f>
        <v>2.5000000000000001E-2</v>
      </c>
      <c r="Q129" s="607">
        <f>SUM(Q130:Q133)</f>
        <v>0</v>
      </c>
      <c r="R129" s="101">
        <f>SUM(R130:R133)</f>
        <v>0</v>
      </c>
      <c r="S129" s="122">
        <f>IFERROR(R129/#REF!,0)</f>
        <v>0</v>
      </c>
      <c r="T129" s="818"/>
      <c r="U129" s="297">
        <f>SUM(U130:U133)</f>
        <v>0.03</v>
      </c>
      <c r="V129" s="297">
        <f>SUM(V130:V133)</f>
        <v>0.03</v>
      </c>
      <c r="W129" s="607">
        <f>SUM(W130:W133)</f>
        <v>0</v>
      </c>
      <c r="X129" s="101">
        <f>SUM(X130:X133)</f>
        <v>0</v>
      </c>
    </row>
    <row r="130" spans="1:24" s="9" customFormat="1" ht="14.25">
      <c r="A130" s="86" t="s">
        <v>37</v>
      </c>
      <c r="B130" s="92" t="s">
        <v>697</v>
      </c>
      <c r="C130" s="92"/>
      <c r="D130" s="92"/>
      <c r="E130" s="295">
        <v>2.5000000000000001E-3</v>
      </c>
      <c r="F130" s="295">
        <f>E130*(100%+$F$106)</f>
        <v>2.5000000000000001E-3</v>
      </c>
      <c r="G130" s="608">
        <f>ROUND(F130*$F$103,1)</f>
        <v>0</v>
      </c>
      <c r="H130" s="84">
        <f t="shared" ref="H130:H132" si="14">+G130*$F$104</f>
        <v>0</v>
      </c>
      <c r="I130" s="818"/>
      <c r="J130" s="818"/>
      <c r="K130" s="86" t="s">
        <v>37</v>
      </c>
      <c r="L130" s="92" t="s">
        <v>697</v>
      </c>
      <c r="M130" s="92"/>
      <c r="N130" s="92"/>
      <c r="O130" s="295">
        <v>5.0000000000000001E-3</v>
      </c>
      <c r="P130" s="295">
        <f t="shared" ref="P130:P133" si="15">O130</f>
        <v>5.0000000000000001E-3</v>
      </c>
      <c r="Q130" s="608">
        <f t="shared" ref="Q130:Q133" si="16">IF($F$108="DA",ROUND(P130*$F$103,1),0)</f>
        <v>0</v>
      </c>
      <c r="R130" s="84">
        <f t="shared" ref="R130:R133" si="17">+Q130*$F$104</f>
        <v>0</v>
      </c>
      <c r="S130" s="818"/>
      <c r="T130" s="818"/>
      <c r="U130" s="471">
        <f t="shared" ref="U130:X133" si="18">+E130+O130</f>
        <v>7.4999999999999997E-3</v>
      </c>
      <c r="V130" s="471">
        <f t="shared" si="18"/>
        <v>7.4999999999999997E-3</v>
      </c>
      <c r="W130" s="608">
        <f t="shared" si="18"/>
        <v>0</v>
      </c>
      <c r="X130" s="84">
        <f t="shared" si="18"/>
        <v>0</v>
      </c>
    </row>
    <row r="131" spans="1:24" s="823" customFormat="1" ht="14.25">
      <c r="A131" s="759"/>
      <c r="B131" s="760" t="s">
        <v>869</v>
      </c>
      <c r="C131" s="760"/>
      <c r="D131" s="760"/>
      <c r="E131" s="761"/>
      <c r="F131" s="763"/>
      <c r="G131" s="764"/>
      <c r="H131" s="765"/>
      <c r="I131" s="822"/>
      <c r="J131" s="818"/>
      <c r="K131" s="750"/>
      <c r="L131" s="760" t="s">
        <v>869</v>
      </c>
      <c r="M131" s="751"/>
      <c r="N131" s="751"/>
      <c r="O131" s="749">
        <v>5.0000000000000001E-3</v>
      </c>
      <c r="P131" s="752">
        <f t="shared" si="15"/>
        <v>5.0000000000000001E-3</v>
      </c>
      <c r="Q131" s="801">
        <f t="shared" si="16"/>
        <v>0</v>
      </c>
      <c r="R131" s="754">
        <f t="shared" si="17"/>
        <v>0</v>
      </c>
      <c r="S131" s="822"/>
      <c r="T131" s="818"/>
      <c r="U131" s="749">
        <f t="shared" si="18"/>
        <v>5.0000000000000001E-3</v>
      </c>
      <c r="V131" s="749">
        <f t="shared" si="18"/>
        <v>5.0000000000000001E-3</v>
      </c>
      <c r="W131" s="801">
        <f t="shared" si="18"/>
        <v>0</v>
      </c>
      <c r="X131" s="754">
        <f t="shared" si="18"/>
        <v>0</v>
      </c>
    </row>
    <row r="132" spans="1:24" s="9" customFormat="1" ht="14.25">
      <c r="A132" s="86" t="s">
        <v>38</v>
      </c>
      <c r="B132" s="92" t="s">
        <v>180</v>
      </c>
      <c r="C132" s="92"/>
      <c r="D132" s="92"/>
      <c r="E132" s="295">
        <v>2.5000000000000001E-3</v>
      </c>
      <c r="F132" s="295">
        <f>E132*(100%+$F$106)</f>
        <v>2.5000000000000001E-3</v>
      </c>
      <c r="G132" s="608">
        <f>ROUND(F132*$F$103,1)</f>
        <v>0</v>
      </c>
      <c r="H132" s="84">
        <f t="shared" si="14"/>
        <v>0</v>
      </c>
      <c r="I132" s="818"/>
      <c r="J132" s="818"/>
      <c r="K132" s="86" t="s">
        <v>38</v>
      </c>
      <c r="L132" s="92" t="s">
        <v>180</v>
      </c>
      <c r="M132" s="92"/>
      <c r="N132" s="92"/>
      <c r="O132" s="295">
        <v>5.0000000000000001E-3</v>
      </c>
      <c r="P132" s="295">
        <f t="shared" si="15"/>
        <v>5.0000000000000001E-3</v>
      </c>
      <c r="Q132" s="608">
        <f t="shared" si="16"/>
        <v>0</v>
      </c>
      <c r="R132" s="84">
        <f t="shared" si="17"/>
        <v>0</v>
      </c>
      <c r="S132" s="818"/>
      <c r="T132" s="818"/>
      <c r="U132" s="471">
        <f t="shared" si="18"/>
        <v>7.4999999999999997E-3</v>
      </c>
      <c r="V132" s="471">
        <f t="shared" si="18"/>
        <v>7.4999999999999997E-3</v>
      </c>
      <c r="W132" s="608">
        <f t="shared" si="18"/>
        <v>0</v>
      </c>
      <c r="X132" s="84">
        <f t="shared" si="18"/>
        <v>0</v>
      </c>
    </row>
    <row r="133" spans="1:24" s="823" customFormat="1" ht="14.25">
      <c r="A133" s="766"/>
      <c r="B133" s="767" t="s">
        <v>869</v>
      </c>
      <c r="C133" s="767"/>
      <c r="D133" s="767"/>
      <c r="E133" s="768"/>
      <c r="F133" s="769"/>
      <c r="G133" s="770"/>
      <c r="H133" s="771"/>
      <c r="I133" s="822"/>
      <c r="J133" s="818"/>
      <c r="K133" s="766"/>
      <c r="L133" s="767" t="s">
        <v>869</v>
      </c>
      <c r="M133" s="767"/>
      <c r="N133" s="767"/>
      <c r="O133" s="768">
        <v>0.01</v>
      </c>
      <c r="P133" s="769">
        <f t="shared" si="15"/>
        <v>0.01</v>
      </c>
      <c r="Q133" s="802">
        <f t="shared" si="16"/>
        <v>0</v>
      </c>
      <c r="R133" s="771">
        <f t="shared" si="17"/>
        <v>0</v>
      </c>
      <c r="S133" s="822"/>
      <c r="T133" s="822"/>
      <c r="U133" s="768">
        <f t="shared" si="18"/>
        <v>0.01</v>
      </c>
      <c r="V133" s="768">
        <f t="shared" si="18"/>
        <v>0.01</v>
      </c>
      <c r="W133" s="802">
        <f t="shared" si="18"/>
        <v>0</v>
      </c>
      <c r="X133" s="771">
        <f t="shared" si="18"/>
        <v>0</v>
      </c>
    </row>
    <row r="134" spans="1:24" s="9" customFormat="1" ht="14.25">
      <c r="A134" s="117">
        <v>4</v>
      </c>
      <c r="B134" s="99" t="s">
        <v>57</v>
      </c>
      <c r="C134" s="99"/>
      <c r="D134" s="99"/>
      <c r="E134" s="297">
        <f>SUM(E135:E142)</f>
        <v>0.28000000000000003</v>
      </c>
      <c r="F134" s="297">
        <f>SUM(F135:F142)</f>
        <v>0.28000000000000003</v>
      </c>
      <c r="G134" s="607">
        <f>SUM(G135:G142)</f>
        <v>0</v>
      </c>
      <c r="H134" s="101">
        <f>SUM(H135:H142)</f>
        <v>0</v>
      </c>
      <c r="I134" s="122">
        <f>IFERROR(H134/#REF!,0)</f>
        <v>0</v>
      </c>
      <c r="J134" s="818"/>
      <c r="K134" s="117">
        <v>4</v>
      </c>
      <c r="L134" s="99" t="s">
        <v>57</v>
      </c>
      <c r="M134" s="99"/>
      <c r="N134" s="99"/>
      <c r="O134" s="297">
        <f>SUM(O135:O142)</f>
        <v>0.04</v>
      </c>
      <c r="P134" s="297">
        <f>SUM(P135:P142)</f>
        <v>0.04</v>
      </c>
      <c r="Q134" s="607">
        <f>SUM(Q135:Q142)</f>
        <v>0</v>
      </c>
      <c r="R134" s="101">
        <f>SUM(R135:R142)</f>
        <v>0</v>
      </c>
      <c r="S134" s="122">
        <f>IFERROR(R134/#REF!,0)</f>
        <v>0</v>
      </c>
      <c r="T134" s="818"/>
      <c r="U134" s="297">
        <f>SUM(U135:U142)</f>
        <v>0.32000000000000006</v>
      </c>
      <c r="V134" s="297">
        <f>SUM(V135:V142)</f>
        <v>0.32000000000000006</v>
      </c>
      <c r="W134" s="607">
        <f>SUM(W135:W142)</f>
        <v>0</v>
      </c>
      <c r="X134" s="101">
        <f>SUM(X135:X142)</f>
        <v>0</v>
      </c>
    </row>
    <row r="135" spans="1:24" s="9" customFormat="1" ht="14.25">
      <c r="A135" s="86" t="s">
        <v>39</v>
      </c>
      <c r="B135" s="92" t="s">
        <v>181</v>
      </c>
      <c r="C135" s="92"/>
      <c r="D135" s="92"/>
      <c r="E135" s="295"/>
      <c r="F135" s="295"/>
      <c r="G135" s="608"/>
      <c r="H135" s="84">
        <f t="shared" ref="H135:H142" si="19">+G135*$F$104</f>
        <v>0</v>
      </c>
      <c r="I135" s="818"/>
      <c r="J135" s="818"/>
      <c r="K135" s="86" t="s">
        <v>39</v>
      </c>
      <c r="L135" s="92" t="s">
        <v>181</v>
      </c>
      <c r="M135" s="92"/>
      <c r="N135" s="92"/>
      <c r="O135" s="295">
        <v>0.01</v>
      </c>
      <c r="P135" s="295">
        <f t="shared" ref="P135:P137" si="20">O135</f>
        <v>0.01</v>
      </c>
      <c r="Q135" s="608">
        <f t="shared" ref="Q135:Q137" si="21">IF($F$108="DA",ROUND(P135*$F$103,1),0)</f>
        <v>0</v>
      </c>
      <c r="R135" s="84">
        <f t="shared" ref="R135:R142" si="22">+Q135*$F$104</f>
        <v>0</v>
      </c>
      <c r="S135" s="818"/>
      <c r="T135" s="818"/>
      <c r="U135" s="471">
        <f t="shared" ref="U135:X142" si="23">+E135+O135</f>
        <v>0.01</v>
      </c>
      <c r="V135" s="471">
        <f t="shared" si="23"/>
        <v>0.01</v>
      </c>
      <c r="W135" s="608">
        <f t="shared" si="23"/>
        <v>0</v>
      </c>
      <c r="X135" s="84">
        <f t="shared" si="23"/>
        <v>0</v>
      </c>
    </row>
    <row r="136" spans="1:24" s="9" customFormat="1" ht="14.25">
      <c r="A136" s="86" t="s">
        <v>40</v>
      </c>
      <c r="B136" s="92" t="s">
        <v>712</v>
      </c>
      <c r="C136" s="92"/>
      <c r="D136" s="92"/>
      <c r="E136" s="295">
        <v>6.5000000000000002E-2</v>
      </c>
      <c r="F136" s="295">
        <f>E136*(100%+$F$106)</f>
        <v>6.5000000000000002E-2</v>
      </c>
      <c r="G136" s="608">
        <f t="shared" ref="G136:G142" si="24">ROUND(F136*$F$103,1)</f>
        <v>0</v>
      </c>
      <c r="H136" s="84">
        <f t="shared" si="19"/>
        <v>0</v>
      </c>
      <c r="I136" s="818"/>
      <c r="J136" s="818"/>
      <c r="K136" s="86" t="s">
        <v>40</v>
      </c>
      <c r="L136" s="92" t="s">
        <v>712</v>
      </c>
      <c r="M136" s="92"/>
      <c r="N136" s="92"/>
      <c r="O136" s="295">
        <v>5.0000000000000001E-3</v>
      </c>
      <c r="P136" s="295">
        <f t="shared" si="20"/>
        <v>5.0000000000000001E-3</v>
      </c>
      <c r="Q136" s="608">
        <f t="shared" si="21"/>
        <v>0</v>
      </c>
      <c r="R136" s="84">
        <f t="shared" si="22"/>
        <v>0</v>
      </c>
      <c r="S136" s="818"/>
      <c r="T136" s="818"/>
      <c r="U136" s="471">
        <f t="shared" si="23"/>
        <v>7.0000000000000007E-2</v>
      </c>
      <c r="V136" s="471">
        <f t="shared" si="23"/>
        <v>7.0000000000000007E-2</v>
      </c>
      <c r="W136" s="608">
        <f t="shared" si="23"/>
        <v>0</v>
      </c>
      <c r="X136" s="84">
        <f t="shared" si="23"/>
        <v>0</v>
      </c>
    </row>
    <row r="137" spans="1:24" s="823" customFormat="1" ht="14.25">
      <c r="A137" s="750"/>
      <c r="B137" s="751" t="s">
        <v>400</v>
      </c>
      <c r="C137" s="751"/>
      <c r="D137" s="751"/>
      <c r="E137" s="749">
        <v>0.185</v>
      </c>
      <c r="F137" s="752">
        <f>E137*(100%+$F$106)</f>
        <v>0.185</v>
      </c>
      <c r="G137" s="801">
        <f t="shared" si="24"/>
        <v>0</v>
      </c>
      <c r="H137" s="754">
        <f t="shared" si="19"/>
        <v>0</v>
      </c>
      <c r="I137" s="822"/>
      <c r="J137" s="822"/>
      <c r="K137" s="750"/>
      <c r="L137" s="751" t="s">
        <v>400</v>
      </c>
      <c r="M137" s="751"/>
      <c r="N137" s="751"/>
      <c r="O137" s="749">
        <v>1.4999999999999999E-2</v>
      </c>
      <c r="P137" s="752">
        <f t="shared" si="20"/>
        <v>1.4999999999999999E-2</v>
      </c>
      <c r="Q137" s="801">
        <f t="shared" si="21"/>
        <v>0</v>
      </c>
      <c r="R137" s="754">
        <f t="shared" si="22"/>
        <v>0</v>
      </c>
      <c r="S137" s="822"/>
      <c r="T137" s="822"/>
      <c r="U137" s="749">
        <f t="shared" si="23"/>
        <v>0.2</v>
      </c>
      <c r="V137" s="749">
        <f t="shared" si="23"/>
        <v>0.2</v>
      </c>
      <c r="W137" s="801">
        <f t="shared" si="23"/>
        <v>0</v>
      </c>
      <c r="X137" s="754">
        <f t="shared" si="23"/>
        <v>0</v>
      </c>
    </row>
    <row r="138" spans="1:24" s="9" customFormat="1" ht="14.25">
      <c r="A138" s="86" t="s">
        <v>41</v>
      </c>
      <c r="B138" s="92" t="s">
        <v>796</v>
      </c>
      <c r="C138" s="92"/>
      <c r="D138" s="92"/>
      <c r="E138" s="295"/>
      <c r="F138" s="295"/>
      <c r="G138" s="608">
        <f t="shared" si="24"/>
        <v>0</v>
      </c>
      <c r="H138" s="84">
        <f t="shared" si="19"/>
        <v>0</v>
      </c>
      <c r="I138" s="818"/>
      <c r="J138" s="818"/>
      <c r="K138" s="86" t="s">
        <v>41</v>
      </c>
      <c r="L138" s="92" t="s">
        <v>796</v>
      </c>
      <c r="M138" s="92"/>
      <c r="N138" s="92"/>
      <c r="O138" s="295"/>
      <c r="P138" s="295"/>
      <c r="Q138" s="608"/>
      <c r="R138" s="84"/>
      <c r="S138" s="818"/>
      <c r="T138" s="818"/>
      <c r="U138" s="471">
        <f t="shared" si="23"/>
        <v>0</v>
      </c>
      <c r="V138" s="471">
        <f t="shared" si="23"/>
        <v>0</v>
      </c>
      <c r="W138" s="608">
        <f t="shared" si="23"/>
        <v>0</v>
      </c>
      <c r="X138" s="84">
        <f t="shared" si="23"/>
        <v>0</v>
      </c>
    </row>
    <row r="139" spans="1:24" s="823" customFormat="1" ht="14.25">
      <c r="A139" s="750"/>
      <c r="B139" s="751" t="s">
        <v>400</v>
      </c>
      <c r="C139" s="751"/>
      <c r="D139" s="751"/>
      <c r="E139" s="749"/>
      <c r="F139" s="752"/>
      <c r="G139" s="801">
        <f t="shared" si="24"/>
        <v>0</v>
      </c>
      <c r="H139" s="754">
        <f t="shared" si="19"/>
        <v>0</v>
      </c>
      <c r="I139" s="822"/>
      <c r="J139" s="822"/>
      <c r="K139" s="750"/>
      <c r="L139" s="751" t="s">
        <v>400</v>
      </c>
      <c r="M139" s="751"/>
      <c r="N139" s="751"/>
      <c r="O139" s="749"/>
      <c r="P139" s="752"/>
      <c r="Q139" s="753"/>
      <c r="R139" s="754"/>
      <c r="S139" s="822"/>
      <c r="T139" s="822"/>
      <c r="U139" s="749">
        <f t="shared" si="23"/>
        <v>0</v>
      </c>
      <c r="V139" s="749">
        <f t="shared" si="23"/>
        <v>0</v>
      </c>
      <c r="W139" s="801">
        <f t="shared" si="23"/>
        <v>0</v>
      </c>
      <c r="X139" s="754">
        <f t="shared" si="23"/>
        <v>0</v>
      </c>
    </row>
    <row r="140" spans="1:24" s="9" customFormat="1" ht="14.25">
      <c r="A140" s="86" t="s">
        <v>42</v>
      </c>
      <c r="B140" s="92" t="s">
        <v>713</v>
      </c>
      <c r="C140" s="92"/>
      <c r="D140" s="92"/>
      <c r="E140" s="295">
        <v>2.5000000000000001E-3</v>
      </c>
      <c r="F140" s="295">
        <f>E140*(100%+$F$106)</f>
        <v>2.5000000000000001E-3</v>
      </c>
      <c r="G140" s="608">
        <f t="shared" si="24"/>
        <v>0</v>
      </c>
      <c r="H140" s="84">
        <f t="shared" si="19"/>
        <v>0</v>
      </c>
      <c r="I140" s="818"/>
      <c r="J140" s="818"/>
      <c r="K140" s="86" t="s">
        <v>42</v>
      </c>
      <c r="L140" s="92" t="s">
        <v>713</v>
      </c>
      <c r="M140" s="92"/>
      <c r="N140" s="92"/>
      <c r="O140" s="295">
        <v>2.5000000000000001E-3</v>
      </c>
      <c r="P140" s="295">
        <f t="shared" ref="P140:P142" si="25">O140</f>
        <v>2.5000000000000001E-3</v>
      </c>
      <c r="Q140" s="608">
        <f t="shared" ref="Q140:Q142" si="26">IF($F$108="DA",ROUND(P140*$F$103,1),0)</f>
        <v>0</v>
      </c>
      <c r="R140" s="84">
        <f t="shared" si="22"/>
        <v>0</v>
      </c>
      <c r="S140" s="818"/>
      <c r="T140" s="818"/>
      <c r="U140" s="471">
        <f t="shared" si="23"/>
        <v>5.0000000000000001E-3</v>
      </c>
      <c r="V140" s="471">
        <f t="shared" si="23"/>
        <v>5.0000000000000001E-3</v>
      </c>
      <c r="W140" s="608">
        <f t="shared" si="23"/>
        <v>0</v>
      </c>
      <c r="X140" s="84">
        <f t="shared" si="23"/>
        <v>0</v>
      </c>
    </row>
    <row r="141" spans="1:24" s="823" customFormat="1" ht="14.25">
      <c r="A141" s="750"/>
      <c r="B141" s="751" t="s">
        <v>400</v>
      </c>
      <c r="C141" s="751"/>
      <c r="D141" s="751"/>
      <c r="E141" s="749">
        <v>2.5000000000000001E-3</v>
      </c>
      <c r="F141" s="752">
        <f>E141*(100%+$F$106)</f>
        <v>2.5000000000000001E-3</v>
      </c>
      <c r="G141" s="801">
        <f t="shared" si="24"/>
        <v>0</v>
      </c>
      <c r="H141" s="754">
        <f t="shared" si="19"/>
        <v>0</v>
      </c>
      <c r="I141" s="822"/>
      <c r="J141" s="822"/>
      <c r="K141" s="750"/>
      <c r="L141" s="751" t="s">
        <v>400</v>
      </c>
      <c r="M141" s="751"/>
      <c r="N141" s="751"/>
      <c r="O141" s="749">
        <v>2.5000000000000001E-3</v>
      </c>
      <c r="P141" s="752">
        <f t="shared" si="25"/>
        <v>2.5000000000000001E-3</v>
      </c>
      <c r="Q141" s="801">
        <f t="shared" si="26"/>
        <v>0</v>
      </c>
      <c r="R141" s="754">
        <f t="shared" si="22"/>
        <v>0</v>
      </c>
      <c r="S141" s="822"/>
      <c r="T141" s="822"/>
      <c r="U141" s="749">
        <f t="shared" si="23"/>
        <v>5.0000000000000001E-3</v>
      </c>
      <c r="V141" s="749">
        <f t="shared" si="23"/>
        <v>5.0000000000000001E-3</v>
      </c>
      <c r="W141" s="801">
        <f t="shared" si="23"/>
        <v>0</v>
      </c>
      <c r="X141" s="754">
        <f t="shared" si="23"/>
        <v>0</v>
      </c>
    </row>
    <row r="142" spans="1:24" s="9" customFormat="1" ht="14.25">
      <c r="A142" s="114" t="s">
        <v>43</v>
      </c>
      <c r="B142" s="87" t="s">
        <v>698</v>
      </c>
      <c r="C142" s="87"/>
      <c r="D142" s="87"/>
      <c r="E142" s="470">
        <v>2.5000000000000001E-2</v>
      </c>
      <c r="F142" s="295">
        <f>E142*(100%+$F$106)</f>
        <v>2.5000000000000001E-2</v>
      </c>
      <c r="G142" s="609">
        <f t="shared" si="24"/>
        <v>0</v>
      </c>
      <c r="H142" s="88">
        <f t="shared" si="19"/>
        <v>0</v>
      </c>
      <c r="I142" s="818"/>
      <c r="J142" s="818"/>
      <c r="K142" s="114" t="s">
        <v>43</v>
      </c>
      <c r="L142" s="87" t="s">
        <v>698</v>
      </c>
      <c r="M142" s="87"/>
      <c r="N142" s="87"/>
      <c r="O142" s="470">
        <v>5.0000000000000001E-3</v>
      </c>
      <c r="P142" s="295">
        <f t="shared" si="25"/>
        <v>5.0000000000000001E-3</v>
      </c>
      <c r="Q142" s="609">
        <f t="shared" si="26"/>
        <v>0</v>
      </c>
      <c r="R142" s="88">
        <f t="shared" si="22"/>
        <v>0</v>
      </c>
      <c r="S142" s="818"/>
      <c r="T142" s="818"/>
      <c r="U142" s="472">
        <f t="shared" si="23"/>
        <v>3.0000000000000002E-2</v>
      </c>
      <c r="V142" s="472">
        <f t="shared" si="23"/>
        <v>3.0000000000000002E-2</v>
      </c>
      <c r="W142" s="609">
        <f t="shared" si="23"/>
        <v>0</v>
      </c>
      <c r="X142" s="88">
        <f t="shared" si="23"/>
        <v>0</v>
      </c>
    </row>
    <row r="143" spans="1:24" s="9" customFormat="1" ht="14.25">
      <c r="A143" s="118">
        <v>5</v>
      </c>
      <c r="B143" s="99" t="s">
        <v>44</v>
      </c>
      <c r="C143" s="99"/>
      <c r="D143" s="99"/>
      <c r="E143" s="297">
        <f>SUM(E144:E145)</f>
        <v>1.4999999999999999E-2</v>
      </c>
      <c r="F143" s="299">
        <f>SUM(F144:F145)</f>
        <v>1.4999999999999999E-2</v>
      </c>
      <c r="G143" s="607">
        <f>SUM(G144:G145)</f>
        <v>0</v>
      </c>
      <c r="H143" s="101">
        <f>SUM(H144:H145)</f>
        <v>0</v>
      </c>
      <c r="I143" s="122">
        <f>IFERROR(H143/#REF!,0)</f>
        <v>0</v>
      </c>
      <c r="J143" s="818"/>
      <c r="K143" s="118">
        <v>5</v>
      </c>
      <c r="L143" s="99" t="s">
        <v>44</v>
      </c>
      <c r="M143" s="99"/>
      <c r="N143" s="99"/>
      <c r="O143" s="297">
        <f>SUM(O144:O145)</f>
        <v>5.0000000000000001E-3</v>
      </c>
      <c r="P143" s="299">
        <f>SUM(P144:P145)</f>
        <v>5.0000000000000001E-3</v>
      </c>
      <c r="Q143" s="607">
        <f>SUM(Q144:Q145)</f>
        <v>0</v>
      </c>
      <c r="R143" s="101">
        <f>SUM(R144:R145)</f>
        <v>0</v>
      </c>
      <c r="S143" s="122">
        <f>IFERROR(R143/#REF!,0)</f>
        <v>0</v>
      </c>
      <c r="T143" s="818"/>
      <c r="U143" s="297">
        <f>SUM(U144:U145)</f>
        <v>0.02</v>
      </c>
      <c r="V143" s="297">
        <f>SUM(V144:V145)</f>
        <v>0.02</v>
      </c>
      <c r="W143" s="607">
        <f>SUM(W144:W145)</f>
        <v>0</v>
      </c>
      <c r="X143" s="101">
        <f>SUM(X144:X145)</f>
        <v>0</v>
      </c>
    </row>
    <row r="144" spans="1:24" s="9" customFormat="1" ht="14.25">
      <c r="A144" s="86" t="s">
        <v>45</v>
      </c>
      <c r="B144" s="95" t="s">
        <v>183</v>
      </c>
      <c r="C144" s="95"/>
      <c r="D144" s="95"/>
      <c r="E144" s="295">
        <v>7.4999999999999997E-3</v>
      </c>
      <c r="F144" s="295">
        <f>E144</f>
        <v>7.4999999999999997E-3</v>
      </c>
      <c r="G144" s="608">
        <f t="shared" ref="G144:G145" si="27">ROUND(F144*$F$103,1)</f>
        <v>0</v>
      </c>
      <c r="H144" s="84">
        <f t="shared" ref="H144:H145" si="28">+G144*$F$104</f>
        <v>0</v>
      </c>
      <c r="I144" s="818"/>
      <c r="J144" s="818"/>
      <c r="K144" s="86" t="s">
        <v>45</v>
      </c>
      <c r="L144" s="95" t="s">
        <v>183</v>
      </c>
      <c r="M144" s="95"/>
      <c r="N144" s="95"/>
      <c r="O144" s="295">
        <v>2.5000000000000001E-3</v>
      </c>
      <c r="P144" s="295">
        <f t="shared" ref="P144:P145" si="29">O144</f>
        <v>2.5000000000000001E-3</v>
      </c>
      <c r="Q144" s="608">
        <f t="shared" ref="Q144:Q145" si="30">IF($F$108="DA",ROUND(P144*$F$103,1),0)</f>
        <v>0</v>
      </c>
      <c r="R144" s="84">
        <f t="shared" ref="R144:R145" si="31">+Q144*$F$104</f>
        <v>0</v>
      </c>
      <c r="S144" s="818"/>
      <c r="T144" s="818"/>
      <c r="U144" s="471">
        <f t="shared" ref="U144:X145" si="32">+E144+O144</f>
        <v>0.01</v>
      </c>
      <c r="V144" s="471">
        <f t="shared" si="32"/>
        <v>0.01</v>
      </c>
      <c r="W144" s="608">
        <f t="shared" si="32"/>
        <v>0</v>
      </c>
      <c r="X144" s="84">
        <f t="shared" si="32"/>
        <v>0</v>
      </c>
    </row>
    <row r="145" spans="1:24" s="9" customFormat="1" ht="14.25">
      <c r="A145" s="114" t="s">
        <v>46</v>
      </c>
      <c r="B145" s="120" t="s">
        <v>184</v>
      </c>
      <c r="C145" s="120"/>
      <c r="D145" s="120"/>
      <c r="E145" s="470">
        <v>7.4999999999999997E-3</v>
      </c>
      <c r="F145" s="298">
        <f>E145</f>
        <v>7.4999999999999997E-3</v>
      </c>
      <c r="G145" s="609">
        <f t="shared" si="27"/>
        <v>0</v>
      </c>
      <c r="H145" s="88">
        <f t="shared" si="28"/>
        <v>0</v>
      </c>
      <c r="I145" s="818"/>
      <c r="J145" s="818"/>
      <c r="K145" s="114" t="s">
        <v>46</v>
      </c>
      <c r="L145" s="120" t="s">
        <v>184</v>
      </c>
      <c r="M145" s="120"/>
      <c r="N145" s="120"/>
      <c r="O145" s="470">
        <v>2.5000000000000001E-3</v>
      </c>
      <c r="P145" s="298">
        <f t="shared" si="29"/>
        <v>2.5000000000000001E-3</v>
      </c>
      <c r="Q145" s="609">
        <f t="shared" si="30"/>
        <v>0</v>
      </c>
      <c r="R145" s="88">
        <f t="shared" si="31"/>
        <v>0</v>
      </c>
      <c r="S145" s="818"/>
      <c r="T145" s="818"/>
      <c r="U145" s="472">
        <f t="shared" si="32"/>
        <v>0.01</v>
      </c>
      <c r="V145" s="472">
        <f t="shared" si="32"/>
        <v>0.01</v>
      </c>
      <c r="W145" s="609">
        <f t="shared" si="32"/>
        <v>0</v>
      </c>
      <c r="X145" s="88">
        <f t="shared" si="32"/>
        <v>0</v>
      </c>
    </row>
    <row r="146" spans="1:24" s="9" customFormat="1" ht="14.25">
      <c r="A146" s="119">
        <v>6</v>
      </c>
      <c r="B146" s="99" t="s">
        <v>47</v>
      </c>
      <c r="C146" s="99"/>
      <c r="D146" s="99"/>
      <c r="E146" s="100"/>
      <c r="F146" s="300"/>
      <c r="G146" s="601"/>
      <c r="H146" s="101"/>
      <c r="I146" s="818"/>
      <c r="J146" s="818"/>
      <c r="K146" s="119">
        <v>6</v>
      </c>
      <c r="L146" s="99" t="s">
        <v>47</v>
      </c>
      <c r="M146" s="99"/>
      <c r="N146" s="99"/>
      <c r="O146" s="100"/>
      <c r="P146" s="300"/>
      <c r="Q146" s="601"/>
      <c r="R146" s="101"/>
      <c r="S146" s="818"/>
      <c r="T146" s="818"/>
      <c r="U146" s="100"/>
      <c r="V146" s="100"/>
      <c r="W146" s="819"/>
      <c r="X146" s="819"/>
    </row>
    <row r="147" spans="1:24" s="9" customFormat="1" ht="14.25">
      <c r="A147" s="86" t="s">
        <v>51</v>
      </c>
      <c r="B147" s="95" t="s">
        <v>185</v>
      </c>
      <c r="C147" s="95"/>
      <c r="D147" s="95"/>
      <c r="E147" s="83"/>
      <c r="F147" s="83"/>
      <c r="G147" s="602"/>
      <c r="H147" s="84"/>
      <c r="I147" s="818"/>
      <c r="J147" s="818"/>
      <c r="K147" s="86" t="s">
        <v>51</v>
      </c>
      <c r="L147" s="95" t="s">
        <v>185</v>
      </c>
      <c r="M147" s="95"/>
      <c r="N147" s="95"/>
      <c r="O147" s="83"/>
      <c r="P147" s="83"/>
      <c r="Q147" s="602"/>
      <c r="R147" s="84"/>
      <c r="S147" s="818"/>
      <c r="T147" s="818"/>
      <c r="U147" s="83"/>
      <c r="V147" s="83"/>
      <c r="W147" s="820"/>
      <c r="X147" s="820"/>
    </row>
    <row r="148" spans="1:24" s="9" customFormat="1" ht="14.25">
      <c r="A148" s="86" t="s">
        <v>52</v>
      </c>
      <c r="B148" s="95" t="s">
        <v>186</v>
      </c>
      <c r="C148" s="95"/>
      <c r="D148" s="95"/>
      <c r="E148" s="83"/>
      <c r="F148" s="83"/>
      <c r="G148" s="602"/>
      <c r="H148" s="84"/>
      <c r="I148" s="818"/>
      <c r="J148" s="818"/>
      <c r="K148" s="86" t="s">
        <v>52</v>
      </c>
      <c r="L148" s="95" t="s">
        <v>186</v>
      </c>
      <c r="M148" s="95"/>
      <c r="N148" s="95"/>
      <c r="O148" s="83"/>
      <c r="P148" s="83"/>
      <c r="Q148" s="602"/>
      <c r="R148" s="84"/>
      <c r="S148" s="818"/>
      <c r="T148" s="818"/>
      <c r="U148" s="83"/>
      <c r="V148" s="83"/>
      <c r="W148" s="820"/>
      <c r="X148" s="820"/>
    </row>
    <row r="149" spans="1:24" s="9" customFormat="1" ht="14.25">
      <c r="A149" s="114" t="s">
        <v>53</v>
      </c>
      <c r="B149" s="120" t="s">
        <v>187</v>
      </c>
      <c r="C149" s="120"/>
      <c r="D149" s="120"/>
      <c r="E149" s="109"/>
      <c r="F149" s="109"/>
      <c r="G149" s="603"/>
      <c r="H149" s="88"/>
      <c r="I149" s="818"/>
      <c r="J149" s="818"/>
      <c r="K149" s="114" t="s">
        <v>53</v>
      </c>
      <c r="L149" s="120" t="s">
        <v>187</v>
      </c>
      <c r="M149" s="120"/>
      <c r="N149" s="120"/>
      <c r="O149" s="109"/>
      <c r="P149" s="109"/>
      <c r="Q149" s="603"/>
      <c r="R149" s="88"/>
      <c r="S149" s="818"/>
      <c r="T149" s="818"/>
      <c r="U149" s="109"/>
      <c r="V149" s="109"/>
      <c r="W149" s="821"/>
      <c r="X149" s="821"/>
    </row>
    <row r="150" spans="1:24" s="9" customFormat="1" ht="14.25">
      <c r="A150" s="89"/>
      <c r="B150" s="90"/>
      <c r="C150" s="90"/>
      <c r="D150" s="90"/>
      <c r="E150" s="91"/>
      <c r="F150" s="91"/>
      <c r="G150" s="604"/>
      <c r="H150" s="90"/>
      <c r="I150" s="818"/>
      <c r="J150" s="818"/>
      <c r="K150" s="89"/>
      <c r="L150" s="90"/>
      <c r="M150" s="90"/>
      <c r="N150" s="90"/>
      <c r="O150" s="91"/>
      <c r="P150" s="91"/>
      <c r="Q150" s="604"/>
      <c r="R150" s="90"/>
      <c r="S150" s="818"/>
      <c r="T150" s="818"/>
      <c r="U150" s="91"/>
      <c r="V150" s="91"/>
      <c r="W150" s="818"/>
      <c r="X150" s="818"/>
    </row>
    <row r="151" spans="1:24" s="9" customFormat="1" ht="14.25">
      <c r="A151" s="123"/>
      <c r="B151" s="124" t="s">
        <v>0</v>
      </c>
      <c r="C151" s="124"/>
      <c r="D151" s="124"/>
      <c r="E151" s="125">
        <f>E114+E117+E121+E129+E134+E143+E146</f>
        <v>0.86499999999999999</v>
      </c>
      <c r="F151" s="125">
        <f>F114+F117+F121+F129+F134+F143+F146</f>
        <v>0.86499999999999999</v>
      </c>
      <c r="G151" s="605">
        <f>G114+G117+G121+G129+G134+G143+G146</f>
        <v>0</v>
      </c>
      <c r="H151" s="126">
        <f>H114+H117+H121+H129+H134+H143+H146</f>
        <v>0</v>
      </c>
      <c r="I151" s="122">
        <f>IFERROR(H151/#REF!,0)</f>
        <v>0</v>
      </c>
      <c r="J151" s="818"/>
      <c r="K151" s="123"/>
      <c r="L151" s="124" t="s">
        <v>0</v>
      </c>
      <c r="M151" s="124"/>
      <c r="N151" s="124"/>
      <c r="O151" s="125">
        <f>O114+O117+O121+O129+O134+O143+O146</f>
        <v>0.13500000000000001</v>
      </c>
      <c r="P151" s="125">
        <f>P114+P117+P121+P129+P134+P143+P146</f>
        <v>0.13500000000000001</v>
      </c>
      <c r="Q151" s="605">
        <f>Q114+Q117+Q121+Q129+Q134+Q143+Q146</f>
        <v>0</v>
      </c>
      <c r="R151" s="126">
        <f>R114+R117+R121+R129+R134+R143+R146</f>
        <v>0</v>
      </c>
      <c r="S151" s="122">
        <f>IFERROR(R151/#REF!,0)</f>
        <v>0</v>
      </c>
      <c r="T151" s="818"/>
      <c r="U151" s="125">
        <f>U114+U117+U121+U129+U134+U143+U146</f>
        <v>1</v>
      </c>
      <c r="V151" s="125">
        <f>V114+V117+V121+V129+V134+V143+V146</f>
        <v>1</v>
      </c>
      <c r="W151" s="605">
        <f>W114+W117+W121+W129+W134+W143+W146</f>
        <v>0</v>
      </c>
      <c r="X151" s="126">
        <f>X114+X117+X121+X129+X134+X143+X146</f>
        <v>0</v>
      </c>
    </row>
    <row r="152" spans="1:24" s="9" customFormat="1" ht="14.25">
      <c r="A152" s="25"/>
      <c r="B152" s="121"/>
      <c r="E152" s="26"/>
      <c r="G152" s="26"/>
    </row>
    <row r="153" spans="1:24" s="9" customFormat="1" ht="14.25">
      <c r="A153" s="25"/>
      <c r="B153" s="121"/>
      <c r="E153" s="26"/>
      <c r="G153" s="26"/>
      <c r="H153" s="122"/>
    </row>
    <row r="154" spans="1:24" s="469" customFormat="1">
      <c r="A154"/>
      <c r="B154"/>
      <c r="C154"/>
      <c r="D154"/>
      <c r="E154"/>
      <c r="F154"/>
      <c r="G154"/>
      <c r="H154" s="636"/>
      <c r="I154"/>
      <c r="J154"/>
      <c r="K154"/>
      <c r="L154"/>
      <c r="M154"/>
      <c r="N154"/>
      <c r="O154"/>
      <c r="P154"/>
      <c r="Q154"/>
      <c r="R154"/>
      <c r="S154"/>
    </row>
    <row r="155" spans="1:24" s="469" customFormat="1">
      <c r="A155"/>
      <c r="B155"/>
      <c r="C155"/>
      <c r="D155"/>
      <c r="E155"/>
      <c r="F155"/>
      <c r="G155"/>
      <c r="H155" s="636"/>
      <c r="I155"/>
      <c r="J155"/>
      <c r="K155"/>
      <c r="L155"/>
      <c r="M155"/>
      <c r="N155"/>
      <c r="O155"/>
      <c r="P155"/>
      <c r="Q155"/>
      <c r="R155"/>
      <c r="S155"/>
    </row>
    <row r="156" spans="1:24" s="469" customFormat="1">
      <c r="A156"/>
      <c r="B156"/>
      <c r="C156"/>
      <c r="D156"/>
      <c r="E156"/>
      <c r="F156"/>
      <c r="G156"/>
      <c r="H156" s="636"/>
      <c r="I156"/>
      <c r="J156" s="636"/>
      <c r="K156"/>
      <c r="L156"/>
      <c r="M156"/>
      <c r="N156"/>
      <c r="O156"/>
      <c r="P156"/>
      <c r="Q156"/>
      <c r="R156"/>
      <c r="S156"/>
    </row>
    <row r="159" spans="1:24">
      <c r="J159" s="636"/>
    </row>
    <row r="160" spans="1:24">
      <c r="N160" s="638"/>
    </row>
  </sheetData>
  <sheetProtection algorithmName="SHA-512" hashValue="eXhUniGQbiTzqOtY8lbW5W7kfEMvLR+lYKZ8J+I+DN5mQMysRgzcaGK1r1XYdZWKogEN7u5+XMVKAZf+5amajA==" saltValue="ip70d7pa3jsEokVFlkHyRQ==" spinCount="100000" sheet="1" objects="1" scenarios="1"/>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X189"/>
  <sheetViews>
    <sheetView topLeftCell="A121" workbookViewId="0">
      <selection activeCell="O176" sqref="O176"/>
    </sheetView>
    <sheetView workbookViewId="1"/>
  </sheetViews>
  <sheetFormatPr defaultColWidth="9.140625" defaultRowHeight="12.75"/>
  <cols>
    <col min="1" max="1" width="8.140625" style="71" customWidth="1"/>
    <col min="2" max="2" width="28.140625" style="71" customWidth="1"/>
    <col min="3" max="12" width="13.5703125" style="71" customWidth="1"/>
    <col min="13" max="17" width="9.140625" style="71"/>
    <col min="18" max="18" width="11" style="71" customWidth="1"/>
    <col min="19" max="23" width="9.140625" style="71"/>
    <col min="24" max="24" width="12.28515625" style="71" customWidth="1"/>
    <col min="25" max="16384" width="9.140625" style="71"/>
  </cols>
  <sheetData>
    <row r="1" spans="1:12" ht="23.25">
      <c r="B1" s="711" t="s">
        <v>372</v>
      </c>
      <c r="C1" s="4"/>
      <c r="D1" s="4"/>
      <c r="E1" s="4"/>
      <c r="F1" s="4"/>
      <c r="G1" s="4"/>
      <c r="H1" s="4"/>
      <c r="I1"/>
      <c r="J1"/>
      <c r="K1"/>
      <c r="L1"/>
    </row>
    <row r="2" spans="1:12" ht="13.5" thickBot="1"/>
    <row r="3" spans="1:12" s="73" customFormat="1" ht="18.75">
      <c r="A3" s="786" t="s">
        <v>774</v>
      </c>
      <c r="B3" s="786"/>
      <c r="C3" s="786"/>
      <c r="D3" s="786"/>
      <c r="E3" s="786"/>
      <c r="F3" s="786"/>
      <c r="G3" s="786"/>
      <c r="H3" s="786"/>
      <c r="I3" s="786"/>
    </row>
    <row r="4" spans="1:12" s="73" customFormat="1" ht="18.75">
      <c r="A4" s="834"/>
      <c r="B4" s="834"/>
      <c r="C4" s="834"/>
      <c r="D4" s="834"/>
      <c r="E4" s="834"/>
      <c r="F4" s="834"/>
      <c r="G4" s="834"/>
      <c r="H4" s="834"/>
      <c r="I4" s="834"/>
    </row>
    <row r="5" spans="1:12" s="73" customFormat="1">
      <c r="A5" s="76"/>
      <c r="B5" s="530" t="s">
        <v>786</v>
      </c>
      <c r="C5" s="631">
        <f>'OSNOVNI PODATKI'!H213</f>
        <v>1</v>
      </c>
      <c r="D5" s="530" t="str">
        <f>IF(C5=1,'OSNOVNI PODATKI'!B213,'OSNOVNI PODATKI'!B214)</f>
        <v>MED SEBOJ POVEZANE UREDITVE (PRI IZRAČUNU POTREBNIH NU SE UPOŠTEVA SEŠTEVEK POVRŠIN)</v>
      </c>
      <c r="E5" s="489"/>
      <c r="F5" s="489"/>
      <c r="G5" s="202"/>
      <c r="H5" s="202"/>
      <c r="I5" s="202"/>
    </row>
    <row r="6" spans="1:12" s="73" customFormat="1">
      <c r="A6" s="76"/>
      <c r="B6" s="530" t="s">
        <v>787</v>
      </c>
      <c r="C6" s="612">
        <f>'OSNOVNI PODATKI'!E326</f>
        <v>0</v>
      </c>
      <c r="D6" s="530"/>
      <c r="E6" s="489"/>
      <c r="F6" s="489"/>
      <c r="G6" s="202"/>
      <c r="H6" s="202"/>
      <c r="I6" s="202"/>
    </row>
    <row r="7" spans="1:12" s="73" customFormat="1">
      <c r="A7" s="76"/>
      <c r="D7" s="203"/>
      <c r="E7" s="203"/>
      <c r="F7" s="203"/>
    </row>
    <row r="8" spans="1:12" s="73" customFormat="1">
      <c r="A8" s="76"/>
      <c r="B8" s="203" t="str">
        <f>'OSNOVNI PODATKI'!A216</f>
        <v>OBJEKT 1 / DEL 1</v>
      </c>
      <c r="C8" s="533">
        <f>'OSNOVNI PODATKI'!E216</f>
        <v>0</v>
      </c>
      <c r="D8" s="203"/>
      <c r="E8" s="203"/>
      <c r="F8" s="203"/>
    </row>
    <row r="9" spans="1:12" s="73" customFormat="1">
      <c r="A9" s="76"/>
      <c r="B9" s="198" t="s">
        <v>617</v>
      </c>
      <c r="C9" s="81" t="str">
        <f>'OSNOVNI PODATKI'!E217</f>
        <v>Pripadajoče površine ob stavbah ter drugih objektih in napravah, vrtovi in ureditve z nizkimi ali povprečnimi zahtevami</v>
      </c>
      <c r="D9" s="489"/>
      <c r="E9" s="489"/>
      <c r="F9" s="489"/>
      <c r="G9" s="489"/>
      <c r="H9" s="489"/>
      <c r="I9" s="489"/>
    </row>
    <row r="10" spans="1:12" s="73" customFormat="1">
      <c r="A10" s="76"/>
      <c r="B10" s="198" t="s">
        <v>788</v>
      </c>
      <c r="C10" s="81">
        <f>'OSNOVNI PODATKI'!E218</f>
        <v>0</v>
      </c>
      <c r="D10" s="489"/>
      <c r="E10" s="489"/>
      <c r="F10" s="489"/>
      <c r="G10" s="489"/>
      <c r="H10" s="489"/>
      <c r="I10" s="489"/>
    </row>
    <row r="11" spans="1:12" s="73" customFormat="1">
      <c r="A11" s="76"/>
      <c r="B11" s="198" t="s">
        <v>789</v>
      </c>
      <c r="C11" s="81">
        <f>IF($C$5=1,$C$6,C10)</f>
        <v>0</v>
      </c>
      <c r="D11" s="489"/>
      <c r="E11" s="489"/>
      <c r="F11" s="489"/>
      <c r="G11" s="489"/>
      <c r="H11" s="489"/>
      <c r="I11" s="489"/>
    </row>
    <row r="12" spans="1:12" s="73" customFormat="1">
      <c r="A12" s="76"/>
      <c r="B12" s="530" t="s">
        <v>729</v>
      </c>
      <c r="C12" s="633">
        <f>'OSNOVNI PODATKI'!E221</f>
        <v>-10</v>
      </c>
      <c r="D12" s="489"/>
      <c r="E12" s="489"/>
      <c r="F12" s="489"/>
      <c r="G12" s="489"/>
      <c r="H12" s="489"/>
      <c r="I12" s="489"/>
    </row>
    <row r="13" spans="1:12" s="73" customFormat="1">
      <c r="A13" s="76"/>
      <c r="B13" s="198" t="s">
        <v>100</v>
      </c>
      <c r="C13" s="81" t="str">
        <f>'OSNOVNI PODATKI'!E219</f>
        <v>Cenovni razred III</v>
      </c>
      <c r="D13" s="489"/>
      <c r="E13" s="489"/>
      <c r="F13" s="489"/>
      <c r="G13" s="489"/>
      <c r="H13" s="489"/>
      <c r="I13" s="489"/>
    </row>
    <row r="14" spans="1:12" s="73" customFormat="1">
      <c r="A14" s="76"/>
      <c r="B14" s="522" t="s">
        <v>70</v>
      </c>
      <c r="C14" s="523">
        <f>IFERROR(0.0141*POWER(C11*(100+C12),0.8228)/C11,0)</f>
        <v>0</v>
      </c>
      <c r="D14" s="524" t="s">
        <v>722</v>
      </c>
      <c r="E14" s="203"/>
      <c r="F14" s="203"/>
    </row>
    <row r="15" spans="1:12" s="73" customFormat="1">
      <c r="A15" s="76"/>
      <c r="B15" s="525" t="s">
        <v>71</v>
      </c>
      <c r="C15" s="526">
        <f>IFERROR(0.0171*POWER(C11*(100+C12),0.8213)/C11,0)</f>
        <v>0</v>
      </c>
      <c r="D15" s="488" t="s">
        <v>722</v>
      </c>
      <c r="E15" s="203"/>
      <c r="F15" s="203"/>
    </row>
    <row r="16" spans="1:12" s="73" customFormat="1">
      <c r="A16" s="76"/>
      <c r="B16" s="525" t="s">
        <v>72</v>
      </c>
      <c r="C16" s="526">
        <f>IFERROR(0.0201*POWER(C11*(100+C12),0.8232)/C11,0)</f>
        <v>0</v>
      </c>
      <c r="D16" s="488" t="s">
        <v>722</v>
      </c>
      <c r="E16" s="203"/>
      <c r="F16" s="203"/>
    </row>
    <row r="17" spans="1:9" s="73" customFormat="1">
      <c r="A17" s="76"/>
      <c r="B17" s="525" t="s">
        <v>73</v>
      </c>
      <c r="C17" s="526">
        <f>IFERROR(0.0246*POWER(C11*(100+C12),0.8244)/C11,0)</f>
        <v>0</v>
      </c>
      <c r="D17" s="488" t="s">
        <v>722</v>
      </c>
      <c r="E17" s="203"/>
      <c r="F17" s="203"/>
    </row>
    <row r="18" spans="1:9" s="73" customFormat="1">
      <c r="A18" s="76"/>
      <c r="B18" s="525" t="s">
        <v>74</v>
      </c>
      <c r="C18" s="526">
        <f>IFERROR(0.0304*POWER(C11*(100+C12),0.818)/C11,0)</f>
        <v>0</v>
      </c>
      <c r="D18" s="488" t="s">
        <v>722</v>
      </c>
      <c r="E18" s="203"/>
      <c r="F18" s="203"/>
    </row>
    <row r="19" spans="1:9" s="73" customFormat="1">
      <c r="A19" s="76"/>
      <c r="B19" s="527" t="s">
        <v>728</v>
      </c>
      <c r="C19" s="526">
        <f>IFERROR(0.034*POWER(C11*(100+C12),0.8163)/C11,0)</f>
        <v>0</v>
      </c>
      <c r="D19" s="486" t="s">
        <v>722</v>
      </c>
      <c r="E19" s="203"/>
      <c r="F19" s="203"/>
    </row>
    <row r="20" spans="1:9" s="73" customFormat="1">
      <c r="A20" s="76"/>
      <c r="C20" s="81"/>
      <c r="D20" s="489"/>
      <c r="E20" s="489"/>
      <c r="F20" s="489"/>
      <c r="G20" s="489"/>
      <c r="H20" s="489"/>
      <c r="I20" s="489"/>
    </row>
    <row r="21" spans="1:9" s="73" customFormat="1" ht="14.25">
      <c r="B21" s="81" t="s">
        <v>730</v>
      </c>
      <c r="C21" s="507">
        <f>IFERROR(LOOKUP(C13,B14:C18),0)</f>
        <v>0</v>
      </c>
      <c r="D21" s="378" t="s">
        <v>721</v>
      </c>
      <c r="E21" s="489"/>
      <c r="F21" s="489"/>
      <c r="G21" s="489"/>
      <c r="H21" s="489"/>
      <c r="I21" s="489"/>
    </row>
    <row r="22" spans="1:9" s="73" customFormat="1" ht="14.25">
      <c r="B22" s="81" t="s">
        <v>731</v>
      </c>
      <c r="C22" s="507" cm="1">
        <f t="array" ref="C22">IFERROR(INDEX(C14:C19,MATCH(C13,B14:B18)+1),0)</f>
        <v>0</v>
      </c>
      <c r="D22" s="378" t="s">
        <v>721</v>
      </c>
      <c r="E22" s="489"/>
      <c r="F22" s="489"/>
      <c r="G22" s="489"/>
      <c r="H22" s="489"/>
      <c r="I22" s="489"/>
    </row>
    <row r="23" spans="1:9" s="73" customFormat="1">
      <c r="B23" s="81" t="s">
        <v>618</v>
      </c>
      <c r="C23" s="531">
        <f>IFERROR(C21*C10,0)</f>
        <v>0</v>
      </c>
      <c r="D23" s="378" t="s">
        <v>723</v>
      </c>
      <c r="E23" s="489"/>
      <c r="F23" s="489"/>
      <c r="G23" s="489"/>
      <c r="H23" s="489"/>
      <c r="I23" s="489"/>
    </row>
    <row r="24" spans="1:9" s="73" customFormat="1">
      <c r="B24" s="81" t="s">
        <v>619</v>
      </c>
      <c r="C24" s="531">
        <f>IFERROR(C22*C10,0)</f>
        <v>0</v>
      </c>
      <c r="D24" s="378" t="s">
        <v>723</v>
      </c>
      <c r="E24" s="489"/>
      <c r="F24" s="489"/>
      <c r="G24" s="489"/>
      <c r="H24" s="489"/>
      <c r="I24" s="489"/>
    </row>
    <row r="25" spans="1:9" s="73" customFormat="1">
      <c r="A25" s="76"/>
      <c r="C25" s="291"/>
      <c r="D25" s="203"/>
      <c r="E25" s="203"/>
      <c r="F25" s="203"/>
    </row>
    <row r="26" spans="1:9" s="73" customFormat="1">
      <c r="A26" s="76"/>
      <c r="B26" s="203" t="str">
        <f>'OSNOVNI PODATKI'!A234</f>
        <v>OBJEKT 2 / DEL 2</v>
      </c>
      <c r="C26" s="533">
        <f>'OSNOVNI PODATKI'!E234</f>
        <v>0</v>
      </c>
      <c r="D26" s="203"/>
      <c r="E26" s="203"/>
      <c r="F26" s="203"/>
    </row>
    <row r="27" spans="1:9" s="73" customFormat="1">
      <c r="A27" s="76"/>
      <c r="B27" s="198" t="s">
        <v>617</v>
      </c>
      <c r="C27" s="81" t="str">
        <f>'OSNOVNI PODATKI'!E235</f>
        <v xml:space="preserve">Odprti prostori na območjih enostavne pozidave v manjših podeželskih  naseljih in ob posameznih objektih </v>
      </c>
      <c r="D27" s="489"/>
      <c r="E27" s="489"/>
      <c r="F27" s="489"/>
      <c r="G27" s="489"/>
      <c r="H27" s="489"/>
      <c r="I27" s="489"/>
    </row>
    <row r="28" spans="1:9" s="73" customFormat="1">
      <c r="A28" s="76"/>
      <c r="B28" s="198" t="s">
        <v>788</v>
      </c>
      <c r="C28" s="81">
        <f>'OSNOVNI PODATKI'!E236</f>
        <v>0</v>
      </c>
      <c r="D28" s="489"/>
      <c r="E28" s="489"/>
      <c r="F28" s="489"/>
      <c r="G28" s="489"/>
      <c r="H28" s="489"/>
      <c r="I28" s="489"/>
    </row>
    <row r="29" spans="1:9" s="73" customFormat="1">
      <c r="A29" s="76"/>
      <c r="B29" s="198" t="s">
        <v>789</v>
      </c>
      <c r="C29" s="81">
        <f>IF($C$5=1,$C$6,C28)</f>
        <v>0</v>
      </c>
      <c r="D29" s="489"/>
      <c r="E29" s="489"/>
      <c r="F29" s="489"/>
      <c r="G29" s="489"/>
      <c r="H29" s="489"/>
      <c r="I29" s="489"/>
    </row>
    <row r="30" spans="1:9" s="73" customFormat="1">
      <c r="A30" s="76"/>
      <c r="B30" s="530" t="s">
        <v>729</v>
      </c>
      <c r="C30" s="633">
        <f>'OSNOVNI PODATKI'!E239</f>
        <v>-10</v>
      </c>
      <c r="D30" s="489"/>
      <c r="E30" s="489"/>
      <c r="F30" s="489"/>
      <c r="G30" s="489"/>
      <c r="H30" s="489"/>
      <c r="I30" s="489"/>
    </row>
    <row r="31" spans="1:9" s="73" customFormat="1">
      <c r="A31" s="76"/>
      <c r="B31" s="198" t="s">
        <v>100</v>
      </c>
      <c r="C31" s="81" t="str">
        <f>'OSNOVNI PODATKI'!E237</f>
        <v>Cenovni razred III</v>
      </c>
      <c r="D31" s="489"/>
      <c r="E31" s="489"/>
      <c r="F31" s="489"/>
      <c r="G31" s="489"/>
      <c r="H31" s="489"/>
      <c r="I31" s="489"/>
    </row>
    <row r="32" spans="1:9" s="73" customFormat="1">
      <c r="A32" s="76"/>
      <c r="B32" s="522" t="s">
        <v>70</v>
      </c>
      <c r="C32" s="523">
        <f>IFERROR(0.0141*POWER(C29*(100+C30),0.8228)/C29,0)</f>
        <v>0</v>
      </c>
      <c r="D32" s="524" t="s">
        <v>722</v>
      </c>
      <c r="E32" s="203"/>
      <c r="F32" s="203"/>
    </row>
    <row r="33" spans="1:9" s="73" customFormat="1">
      <c r="A33" s="76"/>
      <c r="B33" s="525" t="s">
        <v>71</v>
      </c>
      <c r="C33" s="526">
        <f>IFERROR(0.0171*POWER(C29*(100+C30),0.8213)/C29,0)</f>
        <v>0</v>
      </c>
      <c r="D33" s="488" t="s">
        <v>722</v>
      </c>
      <c r="E33" s="203"/>
      <c r="F33" s="203"/>
    </row>
    <row r="34" spans="1:9" s="73" customFormat="1">
      <c r="A34" s="76"/>
      <c r="B34" s="525" t="s">
        <v>72</v>
      </c>
      <c r="C34" s="526">
        <f>IFERROR(0.0201*POWER(C29*(100+C30),0.8232)/C29,0)</f>
        <v>0</v>
      </c>
      <c r="D34" s="488" t="s">
        <v>722</v>
      </c>
      <c r="E34" s="203"/>
      <c r="F34" s="203"/>
    </row>
    <row r="35" spans="1:9" s="73" customFormat="1">
      <c r="A35" s="76"/>
      <c r="B35" s="525" t="s">
        <v>73</v>
      </c>
      <c r="C35" s="526">
        <f>IFERROR(0.0246*POWER(C29*(100+C30),0.8244)/C29,0)</f>
        <v>0</v>
      </c>
      <c r="D35" s="488" t="s">
        <v>722</v>
      </c>
      <c r="E35" s="203"/>
      <c r="F35" s="203"/>
    </row>
    <row r="36" spans="1:9" s="73" customFormat="1">
      <c r="A36" s="76"/>
      <c r="B36" s="525" t="s">
        <v>74</v>
      </c>
      <c r="C36" s="526">
        <f>IFERROR(0.0304*POWER(C29*(100+C30),0.818)/C29,0)</f>
        <v>0</v>
      </c>
      <c r="D36" s="488" t="s">
        <v>722</v>
      </c>
      <c r="E36" s="203"/>
      <c r="F36" s="203"/>
    </row>
    <row r="37" spans="1:9" s="73" customFormat="1">
      <c r="A37" s="76"/>
      <c r="B37" s="527" t="s">
        <v>728</v>
      </c>
      <c r="C37" s="526">
        <f>IFERROR(0.034*POWER(C29*(100+C30),0.8163)/C29,0)</f>
        <v>0</v>
      </c>
      <c r="D37" s="486" t="s">
        <v>722</v>
      </c>
      <c r="E37" s="203"/>
      <c r="F37" s="203"/>
    </row>
    <row r="38" spans="1:9" s="73" customFormat="1">
      <c r="A38" s="76"/>
      <c r="C38" s="81"/>
      <c r="D38" s="489"/>
      <c r="E38" s="489"/>
      <c r="F38" s="489"/>
      <c r="G38" s="489"/>
      <c r="H38" s="489"/>
      <c r="I38" s="489"/>
    </row>
    <row r="39" spans="1:9" s="73" customFormat="1" ht="14.25">
      <c r="B39" s="81" t="s">
        <v>730</v>
      </c>
      <c r="C39" s="507">
        <f>IFERROR(LOOKUP(C31,B32:C36),0)</f>
        <v>0</v>
      </c>
      <c r="D39" s="378" t="s">
        <v>721</v>
      </c>
      <c r="E39" s="489"/>
      <c r="F39" s="489"/>
      <c r="G39" s="489"/>
      <c r="H39" s="489"/>
      <c r="I39" s="489"/>
    </row>
    <row r="40" spans="1:9" s="73" customFormat="1" ht="14.25">
      <c r="B40" s="81" t="s">
        <v>731</v>
      </c>
      <c r="C40" s="507" cm="1">
        <f t="array" ref="C40">IFERROR(INDEX(C32:C37,MATCH(C31,B32:B36)+1),0)</f>
        <v>0</v>
      </c>
      <c r="D40" s="378" t="s">
        <v>721</v>
      </c>
      <c r="E40" s="489"/>
      <c r="F40" s="489"/>
      <c r="G40" s="489"/>
      <c r="H40" s="489"/>
      <c r="I40" s="489"/>
    </row>
    <row r="41" spans="1:9" s="73" customFormat="1">
      <c r="B41" s="81" t="s">
        <v>618</v>
      </c>
      <c r="C41" s="531">
        <f>IFERROR(C39*C28,0)</f>
        <v>0</v>
      </c>
      <c r="D41" s="378" t="s">
        <v>723</v>
      </c>
      <c r="E41" s="489"/>
      <c r="F41" s="489"/>
      <c r="G41" s="489"/>
      <c r="H41" s="489"/>
      <c r="I41" s="489"/>
    </row>
    <row r="42" spans="1:9" s="73" customFormat="1">
      <c r="B42" s="81" t="s">
        <v>619</v>
      </c>
      <c r="C42" s="531">
        <f>IFERROR(C40*C28,0)</f>
        <v>0</v>
      </c>
      <c r="D42" s="378" t="s">
        <v>723</v>
      </c>
      <c r="E42" s="489"/>
      <c r="F42" s="489"/>
      <c r="G42" s="489"/>
      <c r="H42" s="489"/>
      <c r="I42" s="489"/>
    </row>
    <row r="43" spans="1:9" s="73" customFormat="1">
      <c r="A43" s="76"/>
      <c r="C43" s="203"/>
      <c r="D43" s="203"/>
      <c r="E43" s="203"/>
      <c r="F43" s="203"/>
    </row>
    <row r="44" spans="1:9" s="73" customFormat="1">
      <c r="A44" s="76"/>
      <c r="B44" s="203" t="str">
        <f>'OSNOVNI PODATKI'!A252</f>
        <v>OBJEKT 3 / DEL 3</v>
      </c>
      <c r="C44" s="533">
        <f>'OSNOVNI PODATKI'!E252</f>
        <v>0</v>
      </c>
      <c r="D44" s="203"/>
      <c r="E44" s="203"/>
      <c r="F44" s="203"/>
    </row>
    <row r="45" spans="1:9" s="73" customFormat="1">
      <c r="A45" s="76"/>
      <c r="B45" s="198" t="s">
        <v>617</v>
      </c>
      <c r="C45" s="81" t="str">
        <f>'OSNOVNI PODATKI'!E253</f>
        <v>Nepokrita prezentirana arheološka najdišča in ruševine</v>
      </c>
      <c r="D45" s="489"/>
      <c r="E45" s="489"/>
      <c r="F45" s="489"/>
      <c r="G45" s="489"/>
      <c r="H45" s="489"/>
      <c r="I45" s="489"/>
    </row>
    <row r="46" spans="1:9" s="73" customFormat="1">
      <c r="A46" s="76"/>
      <c r="B46" s="198" t="s">
        <v>788</v>
      </c>
      <c r="C46" s="81">
        <f>'OSNOVNI PODATKI'!E254</f>
        <v>0</v>
      </c>
      <c r="D46" s="489"/>
      <c r="E46" s="489"/>
      <c r="F46" s="489"/>
      <c r="G46" s="489"/>
      <c r="H46" s="489"/>
      <c r="I46" s="489"/>
    </row>
    <row r="47" spans="1:9" s="73" customFormat="1">
      <c r="A47" s="76"/>
      <c r="B47" s="198" t="s">
        <v>789</v>
      </c>
      <c r="C47" s="81">
        <f>IF($C$5=1,$C$6,C46)</f>
        <v>0</v>
      </c>
      <c r="D47" s="489"/>
      <c r="E47" s="489"/>
      <c r="F47" s="489"/>
      <c r="G47" s="489"/>
      <c r="H47" s="489"/>
      <c r="I47" s="489"/>
    </row>
    <row r="48" spans="1:9" s="73" customFormat="1">
      <c r="A48" s="76"/>
      <c r="B48" s="530" t="s">
        <v>729</v>
      </c>
      <c r="C48" s="633">
        <f>'OSNOVNI PODATKI'!E257</f>
        <v>85</v>
      </c>
      <c r="D48" s="489"/>
      <c r="E48" s="489"/>
      <c r="F48" s="489"/>
      <c r="G48" s="489"/>
      <c r="H48" s="489"/>
      <c r="I48" s="489"/>
    </row>
    <row r="49" spans="1:9" s="73" customFormat="1">
      <c r="A49" s="76"/>
      <c r="B49" s="198" t="s">
        <v>100</v>
      </c>
      <c r="C49" s="81" t="str">
        <f>'OSNOVNI PODATKI'!E255</f>
        <v>Cenovni razred III</v>
      </c>
      <c r="D49" s="489"/>
      <c r="E49" s="489"/>
      <c r="F49" s="489"/>
      <c r="G49" s="489"/>
      <c r="H49" s="489"/>
      <c r="I49" s="489"/>
    </row>
    <row r="50" spans="1:9" s="73" customFormat="1">
      <c r="A50" s="76"/>
      <c r="B50" s="522" t="s">
        <v>70</v>
      </c>
      <c r="C50" s="523">
        <f>IFERROR(0.0141*POWER(C47*(100+C48),0.8228)/C47,0)</f>
        <v>0</v>
      </c>
      <c r="D50" s="524" t="s">
        <v>722</v>
      </c>
      <c r="E50" s="203"/>
      <c r="F50" s="203"/>
    </row>
    <row r="51" spans="1:9" s="73" customFormat="1">
      <c r="A51" s="76"/>
      <c r="B51" s="525" t="s">
        <v>71</v>
      </c>
      <c r="C51" s="526">
        <f>IFERROR(0.0171*POWER(C47*(100+C48),0.8213)/C47,0)</f>
        <v>0</v>
      </c>
      <c r="D51" s="488" t="s">
        <v>722</v>
      </c>
      <c r="E51" s="203"/>
      <c r="F51" s="203"/>
    </row>
    <row r="52" spans="1:9" s="73" customFormat="1">
      <c r="A52" s="76"/>
      <c r="B52" s="525" t="s">
        <v>72</v>
      </c>
      <c r="C52" s="526">
        <f>IFERROR(0.0201*POWER(C47*(100+C48),0.8232)/C47,0)</f>
        <v>0</v>
      </c>
      <c r="D52" s="488" t="s">
        <v>722</v>
      </c>
      <c r="E52" s="203"/>
      <c r="F52" s="203"/>
    </row>
    <row r="53" spans="1:9" s="73" customFormat="1">
      <c r="A53" s="76"/>
      <c r="B53" s="525" t="s">
        <v>73</v>
      </c>
      <c r="C53" s="526">
        <f>IFERROR(0.0246*POWER(C47*(100+C48),0.8244)/C47,0)</f>
        <v>0</v>
      </c>
      <c r="D53" s="488" t="s">
        <v>722</v>
      </c>
      <c r="E53" s="203"/>
      <c r="F53" s="203"/>
    </row>
    <row r="54" spans="1:9" s="73" customFormat="1">
      <c r="A54" s="76"/>
      <c r="B54" s="525" t="s">
        <v>74</v>
      </c>
      <c r="C54" s="526">
        <f>IFERROR(0.0304*POWER(C47*(100+C48),0.818)/C47,0)</f>
        <v>0</v>
      </c>
      <c r="D54" s="488" t="s">
        <v>722</v>
      </c>
      <c r="E54" s="203"/>
      <c r="F54" s="203"/>
    </row>
    <row r="55" spans="1:9" s="73" customFormat="1">
      <c r="A55" s="76"/>
      <c r="B55" s="527" t="s">
        <v>728</v>
      </c>
      <c r="C55" s="526">
        <f>IFERROR(0.034*POWER(C47*(100+C48),0.8163)/C47,0)</f>
        <v>0</v>
      </c>
      <c r="D55" s="486" t="s">
        <v>722</v>
      </c>
      <c r="E55" s="203"/>
      <c r="F55" s="203"/>
    </row>
    <row r="56" spans="1:9" s="73" customFormat="1">
      <c r="A56" s="76"/>
      <c r="C56" s="81"/>
      <c r="D56" s="489"/>
      <c r="E56" s="489"/>
      <c r="F56" s="489"/>
      <c r="G56" s="489"/>
      <c r="H56" s="489"/>
      <c r="I56" s="489"/>
    </row>
    <row r="57" spans="1:9" s="73" customFormat="1" ht="14.25">
      <c r="B57" s="81" t="s">
        <v>730</v>
      </c>
      <c r="C57" s="507">
        <f>IFERROR(LOOKUP(C49,B50:C54),0)</f>
        <v>0</v>
      </c>
      <c r="D57" s="378" t="s">
        <v>721</v>
      </c>
      <c r="E57" s="489"/>
      <c r="F57" s="489"/>
      <c r="G57" s="489"/>
      <c r="H57" s="489"/>
      <c r="I57" s="489"/>
    </row>
    <row r="58" spans="1:9" s="73" customFormat="1" ht="14.25">
      <c r="B58" s="81" t="s">
        <v>731</v>
      </c>
      <c r="C58" s="507" cm="1">
        <f t="array" ref="C58">IFERROR(INDEX(C50:C55,MATCH(C49,B50:B54)+1),0)</f>
        <v>0</v>
      </c>
      <c r="D58" s="378" t="s">
        <v>721</v>
      </c>
      <c r="E58" s="489"/>
      <c r="F58" s="489"/>
      <c r="G58" s="489"/>
      <c r="H58" s="489"/>
      <c r="I58" s="489"/>
    </row>
    <row r="59" spans="1:9" s="73" customFormat="1">
      <c r="B59" s="81" t="s">
        <v>618</v>
      </c>
      <c r="C59" s="531">
        <f>IFERROR(C57*C46,0)</f>
        <v>0</v>
      </c>
      <c r="D59" s="378" t="s">
        <v>723</v>
      </c>
      <c r="E59" s="489"/>
      <c r="F59" s="489"/>
      <c r="G59" s="489"/>
      <c r="H59" s="489"/>
      <c r="I59" s="489"/>
    </row>
    <row r="60" spans="1:9" s="73" customFormat="1">
      <c r="B60" s="81" t="s">
        <v>619</v>
      </c>
      <c r="C60" s="531">
        <f>IFERROR(C58*C46,0)</f>
        <v>0</v>
      </c>
      <c r="D60" s="378" t="s">
        <v>723</v>
      </c>
      <c r="E60" s="489"/>
      <c r="F60" s="489"/>
      <c r="G60" s="489"/>
      <c r="H60" s="489"/>
      <c r="I60" s="489"/>
    </row>
    <row r="61" spans="1:9" s="73" customFormat="1">
      <c r="A61" s="76"/>
      <c r="C61" s="203"/>
      <c r="D61" s="203"/>
      <c r="E61" s="203"/>
      <c r="F61" s="203"/>
    </row>
    <row r="62" spans="1:9" s="73" customFormat="1">
      <c r="A62" s="76"/>
      <c r="B62" s="203" t="str">
        <f>'OSNOVNI PODATKI'!A270</f>
        <v>OBJEKT 4 / DEL 4</v>
      </c>
      <c r="C62" s="533">
        <f>'OSNOVNI PODATKI'!E270</f>
        <v>0</v>
      </c>
      <c r="D62" s="203"/>
      <c r="E62" s="203"/>
      <c r="F62" s="203"/>
    </row>
    <row r="63" spans="1:9" s="73" customFormat="1">
      <c r="A63" s="76"/>
      <c r="B63" s="198" t="s">
        <v>617</v>
      </c>
      <c r="C63" s="81" t="str">
        <f>'OSNOVNI PODATKI'!E271</f>
        <v>Športna igrišča in rekreacijska območja</v>
      </c>
      <c r="D63" s="489"/>
      <c r="E63" s="489"/>
      <c r="F63" s="489"/>
      <c r="G63" s="489"/>
      <c r="H63" s="489"/>
      <c r="I63" s="489"/>
    </row>
    <row r="64" spans="1:9" s="73" customFormat="1">
      <c r="A64" s="76"/>
      <c r="B64" s="198" t="s">
        <v>788</v>
      </c>
      <c r="C64" s="81">
        <f>'OSNOVNI PODATKI'!E272</f>
        <v>0</v>
      </c>
      <c r="D64" s="489"/>
      <c r="E64" s="489"/>
      <c r="F64" s="489"/>
      <c r="G64" s="489"/>
      <c r="H64" s="489"/>
      <c r="I64" s="489"/>
    </row>
    <row r="65" spans="1:9" s="73" customFormat="1">
      <c r="A65" s="76"/>
      <c r="B65" s="198" t="s">
        <v>789</v>
      </c>
      <c r="C65" s="81">
        <f>IF($C$5=1,$C$6,C64)</f>
        <v>0</v>
      </c>
      <c r="D65" s="489"/>
      <c r="E65" s="489"/>
      <c r="F65" s="489"/>
      <c r="G65" s="489"/>
      <c r="H65" s="489"/>
      <c r="I65" s="489"/>
    </row>
    <row r="66" spans="1:9" s="73" customFormat="1">
      <c r="A66" s="76"/>
      <c r="B66" s="530" t="s">
        <v>729</v>
      </c>
      <c r="C66" s="633">
        <f>'OSNOVNI PODATKI'!E275</f>
        <v>-10</v>
      </c>
      <c r="D66" s="489"/>
      <c r="E66" s="489"/>
      <c r="F66" s="489"/>
      <c r="G66" s="489"/>
      <c r="H66" s="489"/>
      <c r="I66" s="489"/>
    </row>
    <row r="67" spans="1:9" s="73" customFormat="1">
      <c r="A67" s="76"/>
      <c r="B67" s="198" t="s">
        <v>100</v>
      </c>
      <c r="C67" s="81" t="str">
        <f>'OSNOVNI PODATKI'!E273</f>
        <v>Cenovni razred III</v>
      </c>
      <c r="D67" s="489"/>
      <c r="E67" s="489"/>
      <c r="F67" s="489"/>
      <c r="G67" s="489"/>
      <c r="H67" s="489"/>
      <c r="I67" s="489"/>
    </row>
    <row r="68" spans="1:9" s="73" customFormat="1">
      <c r="A68" s="76"/>
      <c r="B68" s="522" t="s">
        <v>70</v>
      </c>
      <c r="C68" s="523">
        <f>IFERROR(0.0141*POWER(C65*(100+C66),0.8228)/C65,0)</f>
        <v>0</v>
      </c>
      <c r="D68" s="524" t="s">
        <v>722</v>
      </c>
      <c r="E68" s="203"/>
      <c r="F68" s="203"/>
    </row>
    <row r="69" spans="1:9" s="73" customFormat="1">
      <c r="A69" s="76"/>
      <c r="B69" s="525" t="s">
        <v>71</v>
      </c>
      <c r="C69" s="526">
        <f>IFERROR(0.0171*POWER(C65*(100+C66),0.8213)/C65,0)</f>
        <v>0</v>
      </c>
      <c r="D69" s="488" t="s">
        <v>722</v>
      </c>
      <c r="E69" s="203"/>
      <c r="F69" s="203"/>
    </row>
    <row r="70" spans="1:9" s="73" customFormat="1">
      <c r="A70" s="76"/>
      <c r="B70" s="525" t="s">
        <v>72</v>
      </c>
      <c r="C70" s="526">
        <f>IFERROR(0.0201*POWER(C65*(100+C66),0.8232)/C65,0)</f>
        <v>0</v>
      </c>
      <c r="D70" s="488" t="s">
        <v>722</v>
      </c>
      <c r="E70" s="203"/>
      <c r="F70" s="203"/>
    </row>
    <row r="71" spans="1:9" s="73" customFormat="1">
      <c r="A71" s="76"/>
      <c r="B71" s="525" t="s">
        <v>73</v>
      </c>
      <c r="C71" s="526">
        <f>IFERROR(0.0246*POWER(C65*(100+C66),0.8244)/C65,0)</f>
        <v>0</v>
      </c>
      <c r="D71" s="488" t="s">
        <v>722</v>
      </c>
      <c r="E71" s="203"/>
      <c r="F71" s="203"/>
    </row>
    <row r="72" spans="1:9" s="73" customFormat="1">
      <c r="A72" s="76"/>
      <c r="B72" s="525" t="s">
        <v>74</v>
      </c>
      <c r="C72" s="526">
        <f>IFERROR(0.0304*POWER(C65*(100+C66),0.818)/C65,0)</f>
        <v>0</v>
      </c>
      <c r="D72" s="488" t="s">
        <v>722</v>
      </c>
      <c r="E72" s="203"/>
      <c r="F72" s="203"/>
    </row>
    <row r="73" spans="1:9" s="73" customFormat="1">
      <c r="A73" s="76"/>
      <c r="B73" s="527" t="s">
        <v>728</v>
      </c>
      <c r="C73" s="526">
        <f>IFERROR(0.034*POWER(C65*(100+C66),0.8163)/C65,0)</f>
        <v>0</v>
      </c>
      <c r="D73" s="486" t="s">
        <v>722</v>
      </c>
      <c r="E73" s="203"/>
      <c r="F73" s="203"/>
    </row>
    <row r="74" spans="1:9" s="73" customFormat="1">
      <c r="A74" s="76"/>
      <c r="C74" s="81"/>
      <c r="D74" s="489"/>
      <c r="E74" s="489"/>
      <c r="F74" s="489"/>
      <c r="G74" s="489"/>
      <c r="H74" s="489"/>
      <c r="I74" s="489"/>
    </row>
    <row r="75" spans="1:9" s="73" customFormat="1" ht="14.25">
      <c r="B75" s="81" t="s">
        <v>730</v>
      </c>
      <c r="C75" s="507">
        <f>IFERROR(LOOKUP(C67,B68:C72),0)</f>
        <v>0</v>
      </c>
      <c r="D75" s="378" t="s">
        <v>721</v>
      </c>
      <c r="E75" s="489"/>
      <c r="F75" s="489"/>
      <c r="G75" s="489"/>
      <c r="H75" s="489"/>
      <c r="I75" s="489"/>
    </row>
    <row r="76" spans="1:9" s="73" customFormat="1" ht="14.25">
      <c r="B76" s="81" t="s">
        <v>731</v>
      </c>
      <c r="C76" s="507" cm="1">
        <f t="array" ref="C76">IFERROR(INDEX(C68:C73,MATCH(C67,B68:B72)+1),0)</f>
        <v>0</v>
      </c>
      <c r="D76" s="378" t="s">
        <v>721</v>
      </c>
      <c r="E76" s="489"/>
      <c r="F76" s="489"/>
      <c r="G76" s="489"/>
      <c r="H76" s="489"/>
      <c r="I76" s="489"/>
    </row>
    <row r="77" spans="1:9" s="73" customFormat="1">
      <c r="B77" s="81" t="s">
        <v>618</v>
      </c>
      <c r="C77" s="531">
        <f>IFERROR(C75*C64,0)</f>
        <v>0</v>
      </c>
      <c r="D77" s="378" t="s">
        <v>723</v>
      </c>
      <c r="E77" s="489"/>
      <c r="F77" s="489"/>
      <c r="G77" s="489"/>
      <c r="H77" s="489"/>
      <c r="I77" s="489"/>
    </row>
    <row r="78" spans="1:9" s="73" customFormat="1">
      <c r="B78" s="81" t="s">
        <v>619</v>
      </c>
      <c r="C78" s="531">
        <f>IFERROR(C76*C64,0)</f>
        <v>0</v>
      </c>
      <c r="D78" s="378" t="s">
        <v>723</v>
      </c>
      <c r="E78" s="489"/>
      <c r="F78" s="489"/>
      <c r="G78" s="489"/>
      <c r="H78" s="489"/>
      <c r="I78" s="489"/>
    </row>
    <row r="79" spans="1:9" s="73" customFormat="1">
      <c r="A79" s="76"/>
      <c r="C79" s="203"/>
      <c r="D79" s="203"/>
      <c r="E79" s="203"/>
      <c r="F79" s="203"/>
    </row>
    <row r="80" spans="1:9" s="73" customFormat="1">
      <c r="A80" s="76"/>
      <c r="B80" s="203" t="str">
        <f>'OSNOVNI PODATKI'!A288</f>
        <v>OBJEKT 5 / DEL 5</v>
      </c>
      <c r="C80" s="533">
        <f>'OSNOVNI PODATKI'!E288</f>
        <v>0</v>
      </c>
      <c r="D80" s="203"/>
      <c r="E80" s="203"/>
      <c r="F80" s="203"/>
    </row>
    <row r="81" spans="1:9" s="73" customFormat="1">
      <c r="A81" s="76"/>
      <c r="B81" s="198" t="s">
        <v>617</v>
      </c>
      <c r="C81" s="81" t="str">
        <f>'OSNOVNI PODATKI'!E289</f>
        <v xml:space="preserve">Ureditve ob avtocestah in cestah, zasaditve protivetrnih pasov, zelene ločevalne poteze </v>
      </c>
      <c r="D81" s="489"/>
      <c r="E81" s="489"/>
      <c r="F81" s="489"/>
      <c r="G81" s="489"/>
      <c r="H81" s="489"/>
      <c r="I81" s="489"/>
    </row>
    <row r="82" spans="1:9" s="73" customFormat="1">
      <c r="A82" s="76"/>
      <c r="B82" s="198" t="s">
        <v>788</v>
      </c>
      <c r="C82" s="81">
        <f>'OSNOVNI PODATKI'!E290</f>
        <v>0</v>
      </c>
      <c r="D82" s="489"/>
      <c r="E82" s="489"/>
      <c r="F82" s="489"/>
      <c r="G82" s="489"/>
      <c r="H82" s="489"/>
      <c r="I82" s="489"/>
    </row>
    <row r="83" spans="1:9" s="73" customFormat="1">
      <c r="A83" s="76"/>
      <c r="B83" s="198" t="s">
        <v>76</v>
      </c>
      <c r="C83" s="81">
        <f>IF($C$5=1,$C$6,C82)</f>
        <v>0</v>
      </c>
      <c r="D83" s="489"/>
      <c r="E83" s="489"/>
      <c r="F83" s="489"/>
      <c r="G83" s="489"/>
      <c r="H83" s="489"/>
      <c r="I83" s="489"/>
    </row>
    <row r="84" spans="1:9" s="73" customFormat="1">
      <c r="A84" s="76"/>
      <c r="B84" s="530" t="s">
        <v>729</v>
      </c>
      <c r="C84" s="633">
        <f>'OSNOVNI PODATKI'!E293</f>
        <v>-40</v>
      </c>
      <c r="D84" s="489"/>
      <c r="E84" s="489"/>
      <c r="F84" s="489"/>
      <c r="G84" s="489"/>
      <c r="H84" s="489"/>
      <c r="I84" s="489"/>
    </row>
    <row r="85" spans="1:9" s="73" customFormat="1">
      <c r="A85" s="76"/>
      <c r="B85" s="198" t="s">
        <v>100</v>
      </c>
      <c r="C85" s="81" t="str">
        <f>'OSNOVNI PODATKI'!E291</f>
        <v>Cenovni razred III</v>
      </c>
      <c r="D85" s="489"/>
      <c r="E85" s="489"/>
      <c r="F85" s="489"/>
      <c r="G85" s="489"/>
      <c r="H85" s="489"/>
      <c r="I85" s="489"/>
    </row>
    <row r="86" spans="1:9" s="73" customFormat="1">
      <c r="A86" s="76"/>
      <c r="B86" s="522" t="s">
        <v>70</v>
      </c>
      <c r="C86" s="523">
        <f>IFERROR(0.0141*POWER(C83*(100+C84),0.8228)/C83,0)</f>
        <v>0</v>
      </c>
      <c r="D86" s="524" t="s">
        <v>722</v>
      </c>
      <c r="E86" s="203"/>
      <c r="F86" s="203"/>
    </row>
    <row r="87" spans="1:9" s="73" customFormat="1">
      <c r="A87" s="76"/>
      <c r="B87" s="525" t="s">
        <v>71</v>
      </c>
      <c r="C87" s="526">
        <f>IFERROR(0.0171*POWER(C83*(100+C84),0.8213)/C83,0)</f>
        <v>0</v>
      </c>
      <c r="D87" s="488" t="s">
        <v>722</v>
      </c>
      <c r="E87" s="203"/>
      <c r="F87" s="203"/>
    </row>
    <row r="88" spans="1:9" s="73" customFormat="1">
      <c r="A88" s="76"/>
      <c r="B88" s="525" t="s">
        <v>72</v>
      </c>
      <c r="C88" s="526">
        <f>IFERROR(0.0201*POWER(C83*(100+C84),0.8232)/C83,0)</f>
        <v>0</v>
      </c>
      <c r="D88" s="488" t="s">
        <v>722</v>
      </c>
      <c r="E88" s="203"/>
      <c r="F88" s="203"/>
    </row>
    <row r="89" spans="1:9" s="73" customFormat="1">
      <c r="A89" s="76"/>
      <c r="B89" s="525" t="s">
        <v>73</v>
      </c>
      <c r="C89" s="526">
        <f>IFERROR(0.0246*POWER(C83*(100+C84),0.8244)/C83,0)</f>
        <v>0</v>
      </c>
      <c r="D89" s="488" t="s">
        <v>722</v>
      </c>
      <c r="E89" s="203"/>
      <c r="F89" s="203"/>
    </row>
    <row r="90" spans="1:9" s="73" customFormat="1">
      <c r="A90" s="76"/>
      <c r="B90" s="525" t="s">
        <v>74</v>
      </c>
      <c r="C90" s="526">
        <f>IFERROR(0.0304*POWER(C83*(100+C84),0.818)/C83,0)</f>
        <v>0</v>
      </c>
      <c r="D90" s="488" t="s">
        <v>722</v>
      </c>
      <c r="E90" s="203"/>
      <c r="F90" s="203"/>
    </row>
    <row r="91" spans="1:9" s="73" customFormat="1">
      <c r="A91" s="76"/>
      <c r="B91" s="527" t="s">
        <v>728</v>
      </c>
      <c r="C91" s="526">
        <f>IFERROR(0.034*POWER(C83*(100+C84),0.8163)/C83,0)</f>
        <v>0</v>
      </c>
      <c r="D91" s="486" t="s">
        <v>722</v>
      </c>
      <c r="E91" s="203"/>
      <c r="F91" s="203"/>
    </row>
    <row r="92" spans="1:9" s="73" customFormat="1">
      <c r="A92" s="76"/>
      <c r="C92" s="81"/>
      <c r="D92" s="489"/>
      <c r="E92" s="489"/>
      <c r="F92" s="489"/>
      <c r="G92" s="489"/>
      <c r="H92" s="489"/>
      <c r="I92" s="489"/>
    </row>
    <row r="93" spans="1:9" s="73" customFormat="1" ht="14.25">
      <c r="B93" s="81" t="s">
        <v>730</v>
      </c>
      <c r="C93" s="507">
        <f>IFERROR(LOOKUP(C85,B86:C90),0)</f>
        <v>0</v>
      </c>
      <c r="D93" s="378" t="s">
        <v>721</v>
      </c>
      <c r="E93" s="489"/>
      <c r="F93" s="489"/>
      <c r="G93" s="489"/>
      <c r="H93" s="489"/>
      <c r="I93" s="489"/>
    </row>
    <row r="94" spans="1:9" s="73" customFormat="1" ht="14.25">
      <c r="B94" s="81" t="s">
        <v>731</v>
      </c>
      <c r="C94" s="507" cm="1">
        <f t="array" ref="C94">IFERROR(INDEX(C86:C91,MATCH(C85,B86:B90)+1),0)</f>
        <v>0</v>
      </c>
      <c r="D94" s="378" t="s">
        <v>721</v>
      </c>
      <c r="E94" s="489"/>
      <c r="F94" s="489"/>
      <c r="G94" s="489"/>
      <c r="H94" s="489"/>
      <c r="I94" s="489"/>
    </row>
    <row r="95" spans="1:9" s="73" customFormat="1">
      <c r="B95" s="81" t="s">
        <v>618</v>
      </c>
      <c r="C95" s="531">
        <f>IFERROR(C93*C82,0)</f>
        <v>0</v>
      </c>
      <c r="D95" s="378" t="s">
        <v>723</v>
      </c>
      <c r="E95" s="489"/>
      <c r="F95" s="489"/>
      <c r="G95" s="489"/>
      <c r="H95" s="489"/>
      <c r="I95" s="489"/>
    </row>
    <row r="96" spans="1:9" s="73" customFormat="1">
      <c r="B96" s="81" t="s">
        <v>619</v>
      </c>
      <c r="C96" s="531">
        <f>IFERROR(C94*C82,0)</f>
        <v>0</v>
      </c>
      <c r="D96" s="378" t="s">
        <v>723</v>
      </c>
      <c r="E96" s="489"/>
      <c r="F96" s="489"/>
      <c r="G96" s="489"/>
      <c r="H96" s="489"/>
      <c r="I96" s="489"/>
    </row>
    <row r="97" spans="1:6" s="73" customFormat="1">
      <c r="A97" s="76"/>
      <c r="C97" s="203"/>
      <c r="D97" s="203"/>
      <c r="E97" s="203"/>
      <c r="F97" s="203"/>
    </row>
    <row r="99" spans="1:6" s="8" customFormat="1" ht="14.25">
      <c r="A99" s="9"/>
    </row>
    <row r="100" spans="1:6" s="9" customFormat="1" ht="14.25"/>
    <row r="101" spans="1:6" s="9" customFormat="1" ht="14.25"/>
    <row r="102" spans="1:6" s="9" customFormat="1" ht="14.25"/>
    <row r="103" spans="1:6" s="9" customFormat="1" ht="14.25"/>
    <row r="104" spans="1:6" s="9" customFormat="1" ht="14.25"/>
    <row r="105" spans="1:6" s="9" customFormat="1" ht="14.25"/>
    <row r="106" spans="1:6" s="9" customFormat="1" ht="14.25"/>
    <row r="107" spans="1:6" s="9" customFormat="1" ht="14.25"/>
    <row r="108" spans="1:6" s="9" customFormat="1" ht="14.25"/>
    <row r="109" spans="1:6" s="9" customFormat="1" ht="14.25"/>
    <row r="110" spans="1:6" s="9" customFormat="1" ht="14.25"/>
    <row r="111" spans="1:6" s="9" customFormat="1" ht="14.25"/>
    <row r="112" spans="1:6" s="9" customFormat="1" ht="14.25"/>
    <row r="113" spans="1:24" s="9" customFormat="1" ht="14.25"/>
    <row r="114" spans="1:24" s="9" customFormat="1" ht="14.25"/>
    <row r="115" spans="1:24" s="9" customFormat="1" ht="14.25"/>
    <row r="116" spans="1:24" s="9" customFormat="1" ht="14.25"/>
    <row r="117" spans="1:24" s="9" customFormat="1" ht="14.25"/>
    <row r="118" spans="1:24" s="9" customFormat="1" ht="15" thickBot="1"/>
    <row r="119" spans="1:24" s="73" customFormat="1" ht="18.75">
      <c r="A119" s="786" t="s">
        <v>776</v>
      </c>
      <c r="B119" s="786"/>
      <c r="C119" s="786"/>
      <c r="D119" s="786"/>
      <c r="E119" s="786"/>
      <c r="F119" s="786"/>
      <c r="G119" s="786"/>
      <c r="H119" s="787"/>
      <c r="I119" s="787"/>
      <c r="J119" s="787"/>
      <c r="K119" s="787"/>
      <c r="L119" s="787"/>
      <c r="M119" s="787"/>
      <c r="N119" s="787"/>
      <c r="O119" s="787"/>
      <c r="P119" s="787"/>
      <c r="Q119" s="787"/>
      <c r="R119" s="787"/>
      <c r="S119" s="787"/>
      <c r="T119" s="787"/>
      <c r="U119" s="787"/>
      <c r="V119" s="787"/>
      <c r="W119" s="787"/>
      <c r="X119" s="787"/>
    </row>
    <row r="120" spans="1:24" s="2" customFormat="1">
      <c r="A120" s="201"/>
      <c r="B120" s="201"/>
      <c r="C120" s="201"/>
      <c r="D120" s="201"/>
      <c r="E120" s="201"/>
      <c r="F120" s="201"/>
      <c r="G120" s="201"/>
      <c r="H120" s="201"/>
    </row>
    <row r="121" spans="1:24" s="73" customFormat="1">
      <c r="A121" s="203"/>
      <c r="B121" s="81" t="s">
        <v>719</v>
      </c>
      <c r="C121" s="203"/>
      <c r="D121" s="203"/>
      <c r="E121" s="203"/>
      <c r="F121" s="487">
        <f>'OSNOVNI PODATKI'!G362</f>
        <v>0</v>
      </c>
      <c r="G121" s="203"/>
      <c r="H121" s="203"/>
    </row>
    <row r="122" spans="1:24" s="73" customFormat="1">
      <c r="A122" s="203"/>
      <c r="B122" s="81" t="s">
        <v>720</v>
      </c>
      <c r="C122" s="202"/>
      <c r="D122" s="80"/>
      <c r="E122" s="80"/>
      <c r="F122" s="473">
        <f>'ARHIGRAM 6'!I16</f>
        <v>62</v>
      </c>
      <c r="G122" s="202"/>
      <c r="H122" s="202"/>
    </row>
    <row r="123" spans="1:24" s="73" customFormat="1">
      <c r="A123" s="203"/>
      <c r="B123" s="203"/>
      <c r="C123" s="203"/>
      <c r="D123" s="203"/>
      <c r="E123" s="203"/>
      <c r="G123" s="203"/>
      <c r="H123" s="203"/>
    </row>
    <row r="124" spans="1:24" s="73" customFormat="1">
      <c r="B124" s="81" t="str">
        <f>'OSNOVNI PODATKI'!$B$376</f>
        <v>PRIBITEK ZA PRENOVO</v>
      </c>
      <c r="C124" s="202"/>
      <c r="D124" s="80"/>
      <c r="E124" s="80"/>
      <c r="F124" s="301">
        <f>'OSNOVNI PODATKI'!$F$376</f>
        <v>0</v>
      </c>
      <c r="G124" s="202" t="str">
        <f>'OSNOVNI PODATKI'!G376</f>
        <v>Upošteva se v fazah od 1 do 4., samo za storitve projektiranja. Če dogovor o povečanju potrebnega števila NU ni bil dosežen, se upošteva 18 % povečanje števila NU glede na vsaj povprečno zahtevnost.
Če gre za prenovo notranje opreme lahko znaša povečanje do 50 %.</v>
      </c>
      <c r="H124" s="202"/>
    </row>
    <row r="125" spans="1:24" s="73" customFormat="1">
      <c r="B125" s="81" t="str">
        <f>'OSNOVNI PODATKI'!$B$377</f>
        <v>PRIBITEK ZA VKLJUČEVANJE DRUGIH IZVAJALCEV V POGODBO</v>
      </c>
      <c r="C125" s="202"/>
      <c r="D125" s="80"/>
      <c r="E125" s="80"/>
      <c r="F125" s="301">
        <f>'OSNOVNI PODATKI'!$F$377</f>
        <v>0</v>
      </c>
      <c r="G125" s="202" t="str">
        <f>'OSNOVNI PODATKI'!G377</f>
        <v>Upošteva se v vseh fazah, samo za storitve vodenja in koordinacije</v>
      </c>
      <c r="H125" s="202"/>
    </row>
    <row r="126" spans="1:24" s="73" customFormat="1">
      <c r="A126" s="203"/>
      <c r="B126" s="81" t="s">
        <v>801</v>
      </c>
      <c r="C126" s="202"/>
      <c r="D126" s="80"/>
      <c r="E126" s="80"/>
      <c r="F126" s="635" t="str">
        <f>IF('OSNOVNI PODATKI'!A358=TRUE,"DA","NE")</f>
        <v>DA</v>
      </c>
      <c r="G126" s="203"/>
      <c r="H126" s="203"/>
      <c r="O126" s="626"/>
    </row>
    <row r="127" spans="1:24" s="73" customFormat="1">
      <c r="A127" s="203"/>
      <c r="B127" s="81"/>
      <c r="C127" s="202"/>
      <c r="D127" s="80"/>
      <c r="E127" s="80"/>
      <c r="F127" s="635"/>
      <c r="G127" s="202"/>
      <c r="H127" s="489"/>
    </row>
    <row r="128" spans="1:24" s="73" customFormat="1">
      <c r="A128" s="203"/>
      <c r="B128" s="81"/>
      <c r="C128" s="202"/>
      <c r="D128" s="80"/>
      <c r="E128" s="80"/>
      <c r="F128" s="635"/>
      <c r="G128" s="202"/>
      <c r="H128" s="489"/>
    </row>
    <row r="129" spans="1:24" s="73" customFormat="1">
      <c r="B129" s="291"/>
      <c r="C129" s="292"/>
      <c r="D129" s="293"/>
      <c r="E129" s="293"/>
      <c r="F129" s="302"/>
    </row>
    <row r="130" spans="1:24" s="9" customFormat="1" ht="14.25">
      <c r="B130" s="204" t="s">
        <v>918</v>
      </c>
      <c r="C130" s="204"/>
      <c r="D130" s="204"/>
      <c r="E130" s="204"/>
      <c r="F130" s="204"/>
      <c r="G130" s="204"/>
      <c r="H130" s="204"/>
      <c r="K130" s="204" t="s">
        <v>801</v>
      </c>
      <c r="L130" s="204"/>
      <c r="M130" s="204"/>
      <c r="N130" s="204"/>
      <c r="O130" s="204"/>
      <c r="P130" s="204"/>
      <c r="Q130" s="204"/>
      <c r="R130" s="204"/>
      <c r="S130"/>
      <c r="T130" s="469"/>
      <c r="U130" s="469"/>
    </row>
    <row r="131" spans="1:24" s="9" customFormat="1" ht="63.75">
      <c r="B131" s="103"/>
      <c r="C131" s="103"/>
      <c r="D131" s="103"/>
      <c r="E131" s="104" t="s">
        <v>25</v>
      </c>
      <c r="F131" s="294" t="s">
        <v>379</v>
      </c>
      <c r="G131" s="600" t="s">
        <v>54</v>
      </c>
      <c r="H131" s="105" t="s">
        <v>67</v>
      </c>
      <c r="I131" s="405" t="s">
        <v>777</v>
      </c>
      <c r="K131" s="102"/>
      <c r="L131" s="103"/>
      <c r="M131" s="103"/>
      <c r="N131" s="103"/>
      <c r="O131" s="104" t="s">
        <v>25</v>
      </c>
      <c r="P131" s="294" t="s">
        <v>758</v>
      </c>
      <c r="Q131" s="725" t="s">
        <v>54</v>
      </c>
      <c r="R131" s="105" t="s">
        <v>67</v>
      </c>
      <c r="S131" s="405" t="s">
        <v>777</v>
      </c>
      <c r="U131" s="294" t="s">
        <v>920</v>
      </c>
      <c r="V131" s="294" t="s">
        <v>921</v>
      </c>
      <c r="W131" s="725" t="s">
        <v>922</v>
      </c>
      <c r="X131" s="105" t="s">
        <v>923</v>
      </c>
    </row>
    <row r="132" spans="1:24" s="9" customFormat="1" ht="14.25">
      <c r="A132" s="98" t="s">
        <v>26</v>
      </c>
      <c r="B132" s="99" t="s">
        <v>27</v>
      </c>
      <c r="C132" s="99"/>
      <c r="D132" s="99"/>
      <c r="E132" s="100"/>
      <c r="F132" s="100"/>
      <c r="G132" s="601"/>
      <c r="H132" s="101"/>
      <c r="K132" s="98" t="s">
        <v>26</v>
      </c>
      <c r="L132" s="99" t="s">
        <v>27</v>
      </c>
      <c r="M132" s="99"/>
      <c r="N132" s="99"/>
      <c r="O132" s="100"/>
      <c r="P132" s="100"/>
      <c r="Q132" s="601"/>
      <c r="R132" s="101"/>
      <c r="U132" s="100"/>
      <c r="V132" s="100"/>
      <c r="W132" s="601"/>
      <c r="X132" s="814"/>
    </row>
    <row r="133" spans="1:24" s="9" customFormat="1" ht="14.25">
      <c r="A133" s="82" t="s">
        <v>28</v>
      </c>
      <c r="B133" s="94" t="s">
        <v>62</v>
      </c>
      <c r="C133" s="94"/>
      <c r="D133" s="94"/>
      <c r="E133" s="83"/>
      <c r="F133" s="83"/>
      <c r="G133" s="602"/>
      <c r="H133" s="84"/>
      <c r="K133" s="82" t="s">
        <v>28</v>
      </c>
      <c r="L133" s="94" t="s">
        <v>62</v>
      </c>
      <c r="M133" s="94"/>
      <c r="N133" s="94"/>
      <c r="O133" s="83"/>
      <c r="P133" s="83"/>
      <c r="Q133" s="602"/>
      <c r="R133" s="84"/>
      <c r="U133" s="83"/>
      <c r="V133" s="83"/>
      <c r="W133" s="602"/>
      <c r="X133" s="815"/>
    </row>
    <row r="134" spans="1:24" s="9" customFormat="1" ht="14.25">
      <c r="A134" s="107" t="s">
        <v>29</v>
      </c>
      <c r="B134" s="108" t="s">
        <v>63</v>
      </c>
      <c r="C134" s="108"/>
      <c r="D134" s="108"/>
      <c r="E134" s="109"/>
      <c r="F134" s="109"/>
      <c r="G134" s="603"/>
      <c r="H134" s="88"/>
      <c r="K134" s="107" t="s">
        <v>29</v>
      </c>
      <c r="L134" s="108" t="s">
        <v>63</v>
      </c>
      <c r="M134" s="108"/>
      <c r="N134" s="108"/>
      <c r="O134" s="109"/>
      <c r="P134" s="109"/>
      <c r="Q134" s="603"/>
      <c r="R134" s="88"/>
      <c r="U134" s="109"/>
      <c r="V134" s="109"/>
      <c r="W134" s="603"/>
      <c r="X134" s="806"/>
    </row>
    <row r="135" spans="1:24" s="9" customFormat="1" ht="14.25">
      <c r="A135" s="106" t="s">
        <v>30</v>
      </c>
      <c r="B135" s="99" t="s">
        <v>31</v>
      </c>
      <c r="C135" s="99"/>
      <c r="D135" s="99"/>
      <c r="E135" s="297">
        <f>SUM(E136:E138)</f>
        <v>0.01</v>
      </c>
      <c r="F135" s="297">
        <f>SUM(F136:F138)</f>
        <v>0.01</v>
      </c>
      <c r="G135" s="607">
        <f>SUM(G136:G138)</f>
        <v>0</v>
      </c>
      <c r="H135" s="101">
        <f>SUM(H136:H138)</f>
        <v>0</v>
      </c>
      <c r="I135" s="122">
        <f>IFERROR(H135/'OSNOVNI PODATKI'!$E$329,0)</f>
        <v>0</v>
      </c>
      <c r="K135" s="106" t="s">
        <v>30</v>
      </c>
      <c r="L135" s="99" t="s">
        <v>31</v>
      </c>
      <c r="M135" s="99"/>
      <c r="N135" s="99"/>
      <c r="O135" s="297">
        <f>SUM(O136:O138)</f>
        <v>0.02</v>
      </c>
      <c r="P135" s="297">
        <f>SUM(P136:P138)</f>
        <v>0.02</v>
      </c>
      <c r="Q135" s="607">
        <f>SUM(Q136:Q138)</f>
        <v>0</v>
      </c>
      <c r="R135" s="101">
        <f>SUM(R136:R138)</f>
        <v>0</v>
      </c>
      <c r="S135" s="122">
        <f>IFERROR(R135/'OSNOVNI PODATKI'!$E$329,0)</f>
        <v>0</v>
      </c>
      <c r="U135" s="297">
        <f>SUM(U136:U138)</f>
        <v>0.03</v>
      </c>
      <c r="V135" s="297">
        <f>SUM(V136:V138)</f>
        <v>0.03</v>
      </c>
      <c r="W135" s="607">
        <f>SUM(W136:W138)</f>
        <v>0</v>
      </c>
      <c r="X135" s="101">
        <f>SUM(X136:X138)</f>
        <v>0</v>
      </c>
    </row>
    <row r="136" spans="1:24" s="9" customFormat="1" ht="14.25">
      <c r="A136" s="85" t="s">
        <v>32</v>
      </c>
      <c r="B136" s="93" t="s">
        <v>64</v>
      </c>
      <c r="C136" s="93"/>
      <c r="D136" s="93"/>
      <c r="E136" s="295">
        <v>5.0000000000000001E-3</v>
      </c>
      <c r="F136" s="295">
        <f>E136*(100%+$F$124)</f>
        <v>5.0000000000000001E-3</v>
      </c>
      <c r="G136" s="608">
        <f>ROUND(F136*$F$121,1)</f>
        <v>0</v>
      </c>
      <c r="H136" s="84">
        <f>+G136*$F$122</f>
        <v>0</v>
      </c>
      <c r="K136" s="85" t="s">
        <v>32</v>
      </c>
      <c r="L136" s="93" t="s">
        <v>64</v>
      </c>
      <c r="M136" s="93"/>
      <c r="N136" s="93"/>
      <c r="O136" s="295">
        <v>5.0000000000000001E-3</v>
      </c>
      <c r="P136" s="295">
        <f>O136*(100%+$F$125)</f>
        <v>5.0000000000000001E-3</v>
      </c>
      <c r="Q136" s="608">
        <f>IF($F$126="DA",ROUND(P136*$F$121,1),0)</f>
        <v>0</v>
      </c>
      <c r="R136" s="84">
        <f>+Q136*$F$122</f>
        <v>0</v>
      </c>
      <c r="U136" s="471">
        <f t="shared" ref="U136:W138" si="0">+E136+O136</f>
        <v>0.01</v>
      </c>
      <c r="V136" s="471">
        <f t="shared" si="0"/>
        <v>0.01</v>
      </c>
      <c r="W136" s="608">
        <f t="shared" si="0"/>
        <v>0</v>
      </c>
      <c r="X136" s="84">
        <f>+W136*$F$122</f>
        <v>0</v>
      </c>
    </row>
    <row r="137" spans="1:24" s="9" customFormat="1" ht="14.25">
      <c r="A137" s="85" t="s">
        <v>33</v>
      </c>
      <c r="B137" s="93" t="s">
        <v>65</v>
      </c>
      <c r="C137" s="93"/>
      <c r="D137" s="93"/>
      <c r="E137" s="295">
        <v>5.0000000000000001E-3</v>
      </c>
      <c r="F137" s="295">
        <f>E137*(100%+$F$124)</f>
        <v>5.0000000000000001E-3</v>
      </c>
      <c r="G137" s="608">
        <f>ROUND(F137*$F$121,1)</f>
        <v>0</v>
      </c>
      <c r="H137" s="84">
        <f>+G137*$F$122</f>
        <v>0</v>
      </c>
      <c r="K137" s="85" t="s">
        <v>33</v>
      </c>
      <c r="L137" s="93" t="s">
        <v>65</v>
      </c>
      <c r="M137" s="93"/>
      <c r="N137" s="93"/>
      <c r="O137" s="295">
        <v>5.0000000000000001E-3</v>
      </c>
      <c r="P137" s="295">
        <f t="shared" ref="P137:P138" si="1">O137*(100%+$F$125)</f>
        <v>5.0000000000000001E-3</v>
      </c>
      <c r="Q137" s="608">
        <f t="shared" ref="Q137:Q138" si="2">IF($F$126="DA",ROUND(P137*$F$121,1),0)</f>
        <v>0</v>
      </c>
      <c r="R137" s="84">
        <f t="shared" ref="R137:R138" si="3">+Q137*$F$122</f>
        <v>0</v>
      </c>
      <c r="U137" s="471">
        <f t="shared" si="0"/>
        <v>0.01</v>
      </c>
      <c r="V137" s="471">
        <f t="shared" si="0"/>
        <v>0.01</v>
      </c>
      <c r="W137" s="608">
        <f t="shared" si="0"/>
        <v>0</v>
      </c>
      <c r="X137" s="84">
        <f t="shared" ref="X137:X138" si="4">+W137*$F$122</f>
        <v>0</v>
      </c>
    </row>
    <row r="138" spans="1:24" s="9" customFormat="1" ht="14.25">
      <c r="A138" s="111" t="s">
        <v>34</v>
      </c>
      <c r="B138" s="112" t="s">
        <v>695</v>
      </c>
      <c r="C138" s="112"/>
      <c r="D138" s="112"/>
      <c r="E138" s="470"/>
      <c r="F138" s="470"/>
      <c r="G138" s="609"/>
      <c r="H138" s="88">
        <f>+G138*$F$122</f>
        <v>0</v>
      </c>
      <c r="K138" s="111" t="s">
        <v>34</v>
      </c>
      <c r="L138" s="112" t="s">
        <v>695</v>
      </c>
      <c r="M138" s="112"/>
      <c r="N138" s="112"/>
      <c r="O138" s="470">
        <v>0.01</v>
      </c>
      <c r="P138" s="470">
        <f t="shared" si="1"/>
        <v>0.01</v>
      </c>
      <c r="Q138" s="609">
        <f t="shared" si="2"/>
        <v>0</v>
      </c>
      <c r="R138" s="88">
        <f t="shared" si="3"/>
        <v>0</v>
      </c>
      <c r="U138" s="472">
        <f t="shared" si="0"/>
        <v>0.01</v>
      </c>
      <c r="V138" s="472">
        <f t="shared" si="0"/>
        <v>0.01</v>
      </c>
      <c r="W138" s="609">
        <f t="shared" si="0"/>
        <v>0</v>
      </c>
      <c r="X138" s="88">
        <f t="shared" si="4"/>
        <v>0</v>
      </c>
    </row>
    <row r="139" spans="1:24" s="9" customFormat="1" ht="14.25">
      <c r="A139" s="110">
        <v>2</v>
      </c>
      <c r="B139" s="99" t="s">
        <v>35</v>
      </c>
      <c r="C139" s="99"/>
      <c r="D139" s="99"/>
      <c r="E139" s="297">
        <f>SUM(E140:E149)</f>
        <v>0.52499999999999991</v>
      </c>
      <c r="F139" s="297">
        <f>SUM(F140:F149)</f>
        <v>0.52499999999999991</v>
      </c>
      <c r="G139" s="610">
        <f>SUM(G140:G149)</f>
        <v>0</v>
      </c>
      <c r="H139" s="101">
        <f>SUM(H140:H149)</f>
        <v>0</v>
      </c>
      <c r="I139" s="122">
        <f>IFERROR(H139/'OSNOVNI PODATKI'!$E$329,0)</f>
        <v>0</v>
      </c>
      <c r="K139" s="110">
        <v>2</v>
      </c>
      <c r="L139" s="99" t="s">
        <v>35</v>
      </c>
      <c r="M139" s="99"/>
      <c r="N139" s="99"/>
      <c r="O139" s="297">
        <f>SUM(O140:O149)</f>
        <v>9.5000000000000001E-2</v>
      </c>
      <c r="P139" s="297">
        <f>SUM(P140:P149)</f>
        <v>9.5000000000000001E-2</v>
      </c>
      <c r="Q139" s="610">
        <f>SUM(Q140:Q149)</f>
        <v>0</v>
      </c>
      <c r="R139" s="101">
        <f>SUM(R140:R149)</f>
        <v>0</v>
      </c>
      <c r="S139" s="122">
        <f>IFERROR(R139/'OSNOVNI PODATKI'!$E$329,0)</f>
        <v>0</v>
      </c>
      <c r="U139" s="297">
        <f>SUM(U140:U149)</f>
        <v>0.62000000000000011</v>
      </c>
      <c r="V139" s="297">
        <f>SUM(V140:V149)</f>
        <v>0.62000000000000011</v>
      </c>
      <c r="W139" s="610">
        <f>SUM(W140:W149)</f>
        <v>0</v>
      </c>
      <c r="X139" s="101">
        <f>SUM(X140:X149)</f>
        <v>0</v>
      </c>
    </row>
    <row r="140" spans="1:24" s="9" customFormat="1" ht="14.25">
      <c r="A140" s="85" t="s">
        <v>48</v>
      </c>
      <c r="B140" s="93" t="s">
        <v>78</v>
      </c>
      <c r="C140" s="93"/>
      <c r="D140" s="93"/>
      <c r="E140" s="471">
        <v>0.1</v>
      </c>
      <c r="F140" s="471">
        <f>E140*(100%+$F$124)</f>
        <v>0.1</v>
      </c>
      <c r="G140" s="608">
        <f t="shared" ref="G140:G141" si="5">ROUND(F140*$F$121,1)</f>
        <v>0</v>
      </c>
      <c r="H140" s="84">
        <f>+G140*$F$122</f>
        <v>0</v>
      </c>
      <c r="K140" s="85" t="s">
        <v>48</v>
      </c>
      <c r="L140" s="93" t="s">
        <v>78</v>
      </c>
      <c r="M140" s="93"/>
      <c r="N140" s="93"/>
      <c r="O140" s="471">
        <v>5.0000000000000001E-3</v>
      </c>
      <c r="P140" s="295">
        <f t="shared" ref="P140:P141" si="6">O140*(100%+$F$125)</f>
        <v>5.0000000000000001E-3</v>
      </c>
      <c r="Q140" s="608">
        <f t="shared" ref="Q140:Q141" si="7">IF($F$126="DA",ROUND(P140*$F$121,1),0)</f>
        <v>0</v>
      </c>
      <c r="R140" s="84">
        <f t="shared" ref="R140:R147" si="8">+Q140*$F$122</f>
        <v>0</v>
      </c>
      <c r="U140" s="471">
        <f t="shared" ref="U140:W142" si="9">+E140+O140</f>
        <v>0.10500000000000001</v>
      </c>
      <c r="V140" s="471">
        <f t="shared" si="9"/>
        <v>0.10500000000000001</v>
      </c>
      <c r="W140" s="608">
        <f t="shared" si="9"/>
        <v>0</v>
      </c>
      <c r="X140" s="84">
        <f t="shared" ref="X140:X147" si="10">+W140*$F$122</f>
        <v>0</v>
      </c>
    </row>
    <row r="141" spans="1:24" s="9" customFormat="1" ht="14.25">
      <c r="A141" s="86" t="s">
        <v>49</v>
      </c>
      <c r="B141" s="97" t="s">
        <v>624</v>
      </c>
      <c r="C141" s="97"/>
      <c r="D141" s="97"/>
      <c r="E141" s="471">
        <v>0.15</v>
      </c>
      <c r="F141" s="471">
        <f>E141*(100%+$F$124)</f>
        <v>0.15</v>
      </c>
      <c r="G141" s="608">
        <f t="shared" si="5"/>
        <v>0</v>
      </c>
      <c r="H141" s="84">
        <f>+G141*$F$122</f>
        <v>0</v>
      </c>
      <c r="K141" s="86" t="s">
        <v>49</v>
      </c>
      <c r="L141" s="97" t="s">
        <v>624</v>
      </c>
      <c r="M141" s="97"/>
      <c r="N141" s="97"/>
      <c r="O141" s="471">
        <v>7.4999999999999997E-3</v>
      </c>
      <c r="P141" s="295">
        <f t="shared" si="6"/>
        <v>7.4999999999999997E-3</v>
      </c>
      <c r="Q141" s="608">
        <f t="shared" si="7"/>
        <v>0</v>
      </c>
      <c r="R141" s="84">
        <f t="shared" si="8"/>
        <v>0</v>
      </c>
      <c r="U141" s="471">
        <f t="shared" si="9"/>
        <v>0.1575</v>
      </c>
      <c r="V141" s="471">
        <f t="shared" si="9"/>
        <v>0.1575</v>
      </c>
      <c r="W141" s="608">
        <f t="shared" si="9"/>
        <v>0</v>
      </c>
      <c r="X141" s="84">
        <f t="shared" si="10"/>
        <v>0</v>
      </c>
    </row>
    <row r="142" spans="1:24" s="9" customFormat="1" ht="14.25">
      <c r="A142" s="86" t="s">
        <v>50</v>
      </c>
      <c r="B142" s="97" t="s">
        <v>699</v>
      </c>
      <c r="C142" s="97"/>
      <c r="D142" s="97"/>
      <c r="E142" s="471"/>
      <c r="F142" s="471"/>
      <c r="G142" s="608"/>
      <c r="H142" s="84"/>
      <c r="K142" s="86" t="s">
        <v>50</v>
      </c>
      <c r="L142" s="97" t="s">
        <v>699</v>
      </c>
      <c r="M142" s="97"/>
      <c r="N142" s="97"/>
      <c r="O142" s="471"/>
      <c r="P142" s="295"/>
      <c r="Q142" s="608"/>
      <c r="R142" s="84"/>
      <c r="U142" s="471">
        <f t="shared" si="9"/>
        <v>0</v>
      </c>
      <c r="V142" s="471">
        <f t="shared" si="9"/>
        <v>0</v>
      </c>
      <c r="W142" s="608">
        <f t="shared" si="9"/>
        <v>0</v>
      </c>
      <c r="X142" s="84">
        <f t="shared" si="10"/>
        <v>0</v>
      </c>
    </row>
    <row r="143" spans="1:24" s="9" customFormat="1" ht="14.25">
      <c r="A143" s="86"/>
      <c r="B143" s="97" t="s">
        <v>702</v>
      </c>
      <c r="C143" s="97"/>
      <c r="D143" s="97"/>
      <c r="E143" s="471"/>
      <c r="F143" s="295"/>
      <c r="G143" s="608"/>
      <c r="H143" s="84"/>
      <c r="K143" s="86"/>
      <c r="L143" s="97" t="s">
        <v>702</v>
      </c>
      <c r="M143" s="97"/>
      <c r="N143" s="97"/>
      <c r="O143" s="471">
        <v>6.0000000000000001E-3</v>
      </c>
      <c r="P143" s="295">
        <f t="shared" ref="P143:P147" si="11">O143*(100%+$F$125)</f>
        <v>6.0000000000000001E-3</v>
      </c>
      <c r="Q143" s="608">
        <f t="shared" ref="Q143:Q147" si="12">IF($F$126="DA",ROUND(P143*$F$121,1),0)</f>
        <v>0</v>
      </c>
      <c r="R143" s="84">
        <f t="shared" si="8"/>
        <v>0</v>
      </c>
      <c r="U143" s="471">
        <f t="shared" ref="U143:W145" si="13">+E143+O143</f>
        <v>6.0000000000000001E-3</v>
      </c>
      <c r="V143" s="471">
        <f t="shared" si="13"/>
        <v>6.0000000000000001E-3</v>
      </c>
      <c r="W143" s="608">
        <f t="shared" si="13"/>
        <v>0</v>
      </c>
      <c r="X143" s="84">
        <f t="shared" si="10"/>
        <v>0</v>
      </c>
    </row>
    <row r="144" spans="1:24" s="9" customFormat="1" ht="14.25">
      <c r="A144" s="86"/>
      <c r="B144" s="97" t="s">
        <v>703</v>
      </c>
      <c r="C144" s="97"/>
      <c r="D144" s="97"/>
      <c r="E144" s="471"/>
      <c r="F144" s="295"/>
      <c r="G144" s="608"/>
      <c r="H144" s="84"/>
      <c r="K144" s="86"/>
      <c r="L144" s="97" t="s">
        <v>703</v>
      </c>
      <c r="M144" s="97"/>
      <c r="N144" s="97"/>
      <c r="O144" s="471">
        <v>2.4E-2</v>
      </c>
      <c r="P144" s="295">
        <f t="shared" si="11"/>
        <v>2.4E-2</v>
      </c>
      <c r="Q144" s="608">
        <f t="shared" si="12"/>
        <v>0</v>
      </c>
      <c r="R144" s="84">
        <f t="shared" si="8"/>
        <v>0</v>
      </c>
      <c r="U144" s="471">
        <f t="shared" si="13"/>
        <v>2.4E-2</v>
      </c>
      <c r="V144" s="471">
        <f t="shared" si="13"/>
        <v>2.4E-2</v>
      </c>
      <c r="W144" s="608">
        <f t="shared" si="13"/>
        <v>0</v>
      </c>
      <c r="X144" s="84">
        <f t="shared" si="10"/>
        <v>0</v>
      </c>
    </row>
    <row r="145" spans="1:24" s="755" customFormat="1" ht="14.25">
      <c r="A145" s="750"/>
      <c r="B145" s="751" t="s">
        <v>879</v>
      </c>
      <c r="C145" s="751"/>
      <c r="D145" s="751"/>
      <c r="E145" s="749"/>
      <c r="F145" s="752"/>
      <c r="G145" s="753"/>
      <c r="H145" s="754"/>
      <c r="J145" s="9"/>
      <c r="K145" s="750"/>
      <c r="L145" s="751" t="s">
        <v>879</v>
      </c>
      <c r="M145" s="751"/>
      <c r="N145" s="751"/>
      <c r="O145" s="749">
        <v>0.02</v>
      </c>
      <c r="P145" s="295">
        <f t="shared" si="11"/>
        <v>0.02</v>
      </c>
      <c r="Q145" s="608">
        <f t="shared" si="12"/>
        <v>0</v>
      </c>
      <c r="R145" s="758">
        <f t="shared" si="8"/>
        <v>0</v>
      </c>
      <c r="T145" s="9"/>
      <c r="U145" s="749">
        <f t="shared" si="13"/>
        <v>0.02</v>
      </c>
      <c r="V145" s="749">
        <f t="shared" si="13"/>
        <v>0.02</v>
      </c>
      <c r="W145" s="608">
        <f t="shared" si="13"/>
        <v>0</v>
      </c>
      <c r="X145" s="758">
        <f t="shared" si="10"/>
        <v>0</v>
      </c>
    </row>
    <row r="146" spans="1:24" ht="14.25">
      <c r="A146" s="86" t="s">
        <v>79</v>
      </c>
      <c r="B146" s="97" t="s">
        <v>625</v>
      </c>
      <c r="C146" s="97"/>
      <c r="D146" s="97"/>
      <c r="E146" s="471">
        <v>0.25</v>
      </c>
      <c r="F146" s="471">
        <f>E146*(100%+$F$124)</f>
        <v>0.25</v>
      </c>
      <c r="G146" s="608">
        <f t="shared" ref="G146:G148" si="14">ROUND(F146*$F$121,1)</f>
        <v>0</v>
      </c>
      <c r="H146" s="84">
        <f>+G146*$F$122</f>
        <v>0</v>
      </c>
      <c r="I146" s="9"/>
      <c r="J146" s="9"/>
      <c r="K146" s="86" t="s">
        <v>79</v>
      </c>
      <c r="L146" s="97" t="s">
        <v>625</v>
      </c>
      <c r="M146" s="97"/>
      <c r="N146" s="97"/>
      <c r="O146" s="471">
        <v>1.4999999999999999E-2</v>
      </c>
      <c r="P146" s="295">
        <f>O146*(100%+$F$125)</f>
        <v>1.4999999999999999E-2</v>
      </c>
      <c r="Q146" s="608">
        <f t="shared" si="12"/>
        <v>0</v>
      </c>
      <c r="R146" s="84">
        <f t="shared" si="8"/>
        <v>0</v>
      </c>
      <c r="S146" s="9"/>
      <c r="T146" s="9"/>
      <c r="U146" s="471">
        <f t="shared" ref="U146:W147" si="15">+E146+O146</f>
        <v>0.26500000000000001</v>
      </c>
      <c r="V146" s="471">
        <f t="shared" si="15"/>
        <v>0.26500000000000001</v>
      </c>
      <c r="W146" s="608">
        <f t="shared" si="15"/>
        <v>0</v>
      </c>
      <c r="X146" s="84">
        <f t="shared" si="10"/>
        <v>0</v>
      </c>
    </row>
    <row r="147" spans="1:24" ht="14.25">
      <c r="A147" s="114" t="s">
        <v>80</v>
      </c>
      <c r="B147" s="115" t="s">
        <v>696</v>
      </c>
      <c r="C147" s="115"/>
      <c r="D147" s="115"/>
      <c r="E147" s="472">
        <v>2.2499999999999999E-2</v>
      </c>
      <c r="F147" s="471">
        <f>E147*(100%+$F$124)</f>
        <v>2.2499999999999999E-2</v>
      </c>
      <c r="G147" s="609">
        <f t="shared" si="14"/>
        <v>0</v>
      </c>
      <c r="H147" s="88">
        <f>+G147*$F$122</f>
        <v>0</v>
      </c>
      <c r="I147" s="9"/>
      <c r="J147" s="9"/>
      <c r="K147" s="86" t="s">
        <v>80</v>
      </c>
      <c r="L147" s="97" t="s">
        <v>696</v>
      </c>
      <c r="M147" s="97"/>
      <c r="N147" s="97"/>
      <c r="O147" s="471">
        <v>2.5000000000000001E-3</v>
      </c>
      <c r="P147" s="295">
        <f t="shared" si="11"/>
        <v>2.5000000000000001E-3</v>
      </c>
      <c r="Q147" s="608">
        <f t="shared" si="12"/>
        <v>0</v>
      </c>
      <c r="R147" s="84">
        <f t="shared" si="8"/>
        <v>0</v>
      </c>
      <c r="S147" s="9"/>
      <c r="T147" s="9"/>
      <c r="U147" s="471">
        <f t="shared" si="15"/>
        <v>2.4999999999999998E-2</v>
      </c>
      <c r="V147" s="471">
        <f t="shared" si="15"/>
        <v>2.4999999999999998E-2</v>
      </c>
      <c r="W147" s="608">
        <f t="shared" si="15"/>
        <v>0</v>
      </c>
      <c r="X147" s="84">
        <f t="shared" si="10"/>
        <v>0</v>
      </c>
    </row>
    <row r="148" spans="1:24" s="755" customFormat="1" ht="14.25">
      <c r="A148" s="759"/>
      <c r="B148" s="760" t="s">
        <v>797</v>
      </c>
      <c r="C148" s="760"/>
      <c r="D148" s="760"/>
      <c r="E148" s="761">
        <v>2.5000000000000001E-3</v>
      </c>
      <c r="F148" s="471">
        <f>E148*(100%+$F$124)</f>
        <v>2.5000000000000001E-3</v>
      </c>
      <c r="G148" s="757">
        <f t="shared" si="14"/>
        <v>0</v>
      </c>
      <c r="H148" s="758">
        <f t="shared" ref="H148" si="16">+G148*$F$122</f>
        <v>0</v>
      </c>
      <c r="J148" s="9"/>
      <c r="K148" s="759"/>
      <c r="L148" s="760" t="s">
        <v>797</v>
      </c>
      <c r="M148" s="760"/>
      <c r="N148" s="760"/>
      <c r="O148" s="761"/>
      <c r="P148" s="763"/>
      <c r="Q148" s="764"/>
      <c r="R148" s="765"/>
      <c r="T148" s="9"/>
      <c r="U148" s="761">
        <f t="shared" ref="U148:W149" si="17">+E148+O148</f>
        <v>2.5000000000000001E-3</v>
      </c>
      <c r="V148" s="761">
        <f t="shared" si="17"/>
        <v>2.5000000000000001E-3</v>
      </c>
      <c r="W148" s="764">
        <f t="shared" si="17"/>
        <v>0</v>
      </c>
      <c r="X148" s="813">
        <f t="shared" ref="X148:X149" si="18">+W148*$F$122</f>
        <v>0</v>
      </c>
    </row>
    <row r="149" spans="1:24" s="755" customFormat="1" ht="14.25">
      <c r="A149" s="766"/>
      <c r="B149" s="767" t="s">
        <v>868</v>
      </c>
      <c r="C149" s="767"/>
      <c r="D149" s="767"/>
      <c r="E149" s="768"/>
      <c r="F149" s="769"/>
      <c r="G149" s="770"/>
      <c r="H149" s="771"/>
      <c r="J149" s="9"/>
      <c r="K149" s="766"/>
      <c r="L149" s="767" t="s">
        <v>868</v>
      </c>
      <c r="M149" s="767"/>
      <c r="N149" s="767"/>
      <c r="O149" s="768">
        <v>1.4999999999999999E-2</v>
      </c>
      <c r="P149" s="470">
        <f>O149*(100%+$F$125)</f>
        <v>1.4999999999999999E-2</v>
      </c>
      <c r="Q149" s="609">
        <f>IF($F$126="DA",ROUND(P149*$F$121,1),0)</f>
        <v>0</v>
      </c>
      <c r="R149" s="799">
        <f t="shared" ref="R149" si="19">+Q149*$F$122</f>
        <v>0</v>
      </c>
      <c r="T149" s="9"/>
      <c r="U149" s="768">
        <f t="shared" si="17"/>
        <v>1.4999999999999999E-2</v>
      </c>
      <c r="V149" s="768">
        <f t="shared" si="17"/>
        <v>1.4999999999999999E-2</v>
      </c>
      <c r="W149" s="609">
        <f t="shared" si="17"/>
        <v>0</v>
      </c>
      <c r="X149" s="799">
        <f t="shared" si="18"/>
        <v>0</v>
      </c>
    </row>
    <row r="150" spans="1:24" ht="14.25">
      <c r="A150" s="113" t="s">
        <v>36</v>
      </c>
      <c r="B150" s="99" t="s">
        <v>101</v>
      </c>
      <c r="C150" s="99"/>
      <c r="D150" s="99"/>
      <c r="E150" s="297">
        <f>SUM(E151:E154)</f>
        <v>0.01</v>
      </c>
      <c r="F150" s="297">
        <f>SUM(F151:F154)</f>
        <v>0.01</v>
      </c>
      <c r="G150" s="607">
        <f>SUM(G151:G154)</f>
        <v>0</v>
      </c>
      <c r="H150" s="101">
        <f>SUM(H151:H154)</f>
        <v>0</v>
      </c>
      <c r="I150" s="122">
        <f>IFERROR(H150/'OSNOVNI PODATKI'!$E$329,0)</f>
        <v>0</v>
      </c>
      <c r="J150" s="9"/>
      <c r="K150" s="113" t="s">
        <v>36</v>
      </c>
      <c r="L150" s="99" t="s">
        <v>101</v>
      </c>
      <c r="M150" s="99"/>
      <c r="N150" s="99"/>
      <c r="O150" s="297">
        <f>SUM(O151:O154)</f>
        <v>0.02</v>
      </c>
      <c r="P150" s="297">
        <f>SUM(P151:P154)</f>
        <v>0.02</v>
      </c>
      <c r="Q150" s="607">
        <f>SUM(Q151:Q154)</f>
        <v>0</v>
      </c>
      <c r="R150" s="101">
        <f>SUM(R151:R154)</f>
        <v>0</v>
      </c>
      <c r="S150" s="122">
        <f>IFERROR(R150/'OSNOVNI PODATKI'!$E$329,0)</f>
        <v>0</v>
      </c>
      <c r="T150" s="9"/>
      <c r="U150" s="297">
        <f>SUM(U151:U154)</f>
        <v>0.03</v>
      </c>
      <c r="V150" s="297">
        <f>SUM(V151:V154)</f>
        <v>0.03</v>
      </c>
      <c r="W150" s="607">
        <f>SUM(W151:W154)</f>
        <v>0</v>
      </c>
      <c r="X150" s="101">
        <f>SUM(X151:X154)</f>
        <v>0</v>
      </c>
    </row>
    <row r="151" spans="1:24" ht="14.25">
      <c r="A151" s="86" t="s">
        <v>37</v>
      </c>
      <c r="B151" s="92" t="s">
        <v>697</v>
      </c>
      <c r="C151" s="92"/>
      <c r="D151" s="92"/>
      <c r="E151" s="295">
        <v>5.0000000000000001E-3</v>
      </c>
      <c r="F151" s="471">
        <f>E151*(100%+$F$124)</f>
        <v>5.0000000000000001E-3</v>
      </c>
      <c r="G151" s="608">
        <f>ROUND(F151*$F$121,1)</f>
        <v>0</v>
      </c>
      <c r="H151" s="84">
        <f>+G151*$F$122</f>
        <v>0</v>
      </c>
      <c r="I151" s="9"/>
      <c r="K151" s="86" t="s">
        <v>37</v>
      </c>
      <c r="L151" s="92" t="s">
        <v>697</v>
      </c>
      <c r="M151" s="92"/>
      <c r="N151" s="92"/>
      <c r="O151" s="295">
        <v>2.5000000000000001E-3</v>
      </c>
      <c r="P151" s="295">
        <f t="shared" ref="P151:P154" si="20">O151*(100%+$F$125)</f>
        <v>2.5000000000000001E-3</v>
      </c>
      <c r="Q151" s="608">
        <f t="shared" ref="Q151:Q154" si="21">IF($F$126="DA",ROUND(P151*$F$121,1),0)</f>
        <v>0</v>
      </c>
      <c r="R151" s="84">
        <f t="shared" ref="R151:R154" si="22">+Q151*$F$122</f>
        <v>0</v>
      </c>
      <c r="S151" s="9"/>
      <c r="T151" s="9"/>
      <c r="U151" s="471">
        <f>+E151+O151</f>
        <v>7.4999999999999997E-3</v>
      </c>
      <c r="V151" s="471">
        <f>+F151+P151</f>
        <v>7.4999999999999997E-3</v>
      </c>
      <c r="W151" s="608">
        <f>+G151+Q151</f>
        <v>0</v>
      </c>
      <c r="X151" s="84">
        <f t="shared" ref="X151:X154" si="23">+W151*$F$122</f>
        <v>0</v>
      </c>
    </row>
    <row r="152" spans="1:24" s="755" customFormat="1" ht="14.25">
      <c r="A152" s="759"/>
      <c r="B152" s="760" t="s">
        <v>869</v>
      </c>
      <c r="C152" s="760"/>
      <c r="D152" s="760"/>
      <c r="E152" s="761"/>
      <c r="F152" s="762"/>
      <c r="G152" s="764"/>
      <c r="H152" s="765"/>
      <c r="K152" s="750"/>
      <c r="L152" s="760" t="s">
        <v>869</v>
      </c>
      <c r="M152" s="751"/>
      <c r="N152" s="751"/>
      <c r="O152" s="749">
        <v>5.0000000000000001E-3</v>
      </c>
      <c r="P152" s="295">
        <f t="shared" si="20"/>
        <v>5.0000000000000001E-3</v>
      </c>
      <c r="Q152" s="608">
        <f t="shared" si="21"/>
        <v>0</v>
      </c>
      <c r="R152" s="758">
        <f t="shared" si="22"/>
        <v>0</v>
      </c>
      <c r="T152" s="9"/>
      <c r="U152" s="749">
        <f t="shared" ref="U152:W152" si="24">+E152+O152</f>
        <v>5.0000000000000001E-3</v>
      </c>
      <c r="V152" s="749">
        <f t="shared" si="24"/>
        <v>5.0000000000000001E-3</v>
      </c>
      <c r="W152" s="608">
        <f t="shared" si="24"/>
        <v>0</v>
      </c>
      <c r="X152" s="758">
        <f t="shared" si="23"/>
        <v>0</v>
      </c>
    </row>
    <row r="153" spans="1:24" ht="14.25">
      <c r="A153" s="114" t="s">
        <v>38</v>
      </c>
      <c r="B153" s="87" t="s">
        <v>180</v>
      </c>
      <c r="C153" s="87"/>
      <c r="D153" s="87"/>
      <c r="E153" s="470">
        <v>5.0000000000000001E-3</v>
      </c>
      <c r="F153" s="471">
        <f>E153*(100%+$F$124)</f>
        <v>5.0000000000000001E-3</v>
      </c>
      <c r="G153" s="609">
        <f>ROUND(F153*$F$121,1)</f>
        <v>0</v>
      </c>
      <c r="H153" s="88">
        <f>+G153*$F$122</f>
        <v>0</v>
      </c>
      <c r="I153" s="9"/>
      <c r="K153" s="86" t="s">
        <v>38</v>
      </c>
      <c r="L153" s="92" t="s">
        <v>180</v>
      </c>
      <c r="M153" s="92"/>
      <c r="N153" s="92"/>
      <c r="O153" s="295">
        <v>2.5000000000000001E-3</v>
      </c>
      <c r="P153" s="295">
        <f t="shared" si="20"/>
        <v>2.5000000000000001E-3</v>
      </c>
      <c r="Q153" s="608">
        <f t="shared" si="21"/>
        <v>0</v>
      </c>
      <c r="R153" s="84">
        <f t="shared" si="22"/>
        <v>0</v>
      </c>
      <c r="S153" s="9"/>
      <c r="U153" s="471">
        <f>+E153+O153</f>
        <v>7.4999999999999997E-3</v>
      </c>
      <c r="V153" s="471">
        <f>+F153+P153</f>
        <v>7.4999999999999997E-3</v>
      </c>
      <c r="W153" s="608">
        <f>+G153+Q153</f>
        <v>0</v>
      </c>
      <c r="X153" s="84">
        <f t="shared" si="23"/>
        <v>0</v>
      </c>
    </row>
    <row r="154" spans="1:24" s="755" customFormat="1" ht="14.25">
      <c r="A154" s="766"/>
      <c r="B154" s="767" t="s">
        <v>869</v>
      </c>
      <c r="C154" s="767"/>
      <c r="D154" s="767"/>
      <c r="E154" s="768"/>
      <c r="F154" s="772"/>
      <c r="G154" s="770"/>
      <c r="H154" s="771"/>
      <c r="K154" s="807"/>
      <c r="L154" s="808" t="s">
        <v>869</v>
      </c>
      <c r="M154" s="808"/>
      <c r="N154" s="808"/>
      <c r="O154" s="809">
        <v>0.01</v>
      </c>
      <c r="P154" s="810">
        <f t="shared" si="20"/>
        <v>0.01</v>
      </c>
      <c r="Q154" s="811">
        <f t="shared" si="21"/>
        <v>0</v>
      </c>
      <c r="R154" s="812">
        <f t="shared" si="22"/>
        <v>0</v>
      </c>
      <c r="U154" s="809">
        <f t="shared" ref="U154:W154" si="25">+E154+O154</f>
        <v>0.01</v>
      </c>
      <c r="V154" s="809">
        <f t="shared" si="25"/>
        <v>0.01</v>
      </c>
      <c r="W154" s="811">
        <f t="shared" si="25"/>
        <v>0</v>
      </c>
      <c r="X154" s="812">
        <f t="shared" si="23"/>
        <v>0</v>
      </c>
    </row>
    <row r="155" spans="1:24">
      <c r="A155" s="117">
        <v>4</v>
      </c>
      <c r="B155" s="99" t="s">
        <v>57</v>
      </c>
      <c r="C155" s="99"/>
      <c r="D155" s="99"/>
      <c r="E155" s="297">
        <f>SUM(E156:E163)</f>
        <v>0.26</v>
      </c>
      <c r="F155" s="297">
        <f>SUM(F156:F163)</f>
        <v>0.26</v>
      </c>
      <c r="G155" s="607">
        <f>SUM(G156:G163)</f>
        <v>0</v>
      </c>
      <c r="H155" s="101">
        <f>SUM(H156:H163)</f>
        <v>0</v>
      </c>
      <c r="I155" s="122">
        <f>IFERROR(H155/'OSNOVNI PODATKI'!$E$329,0)</f>
        <v>0</v>
      </c>
      <c r="K155" s="117">
        <v>4</v>
      </c>
      <c r="L155" s="99" t="s">
        <v>57</v>
      </c>
      <c r="M155" s="99"/>
      <c r="N155" s="99"/>
      <c r="O155" s="297">
        <f>SUM(O156:O163)</f>
        <v>0.04</v>
      </c>
      <c r="P155" s="297">
        <f>SUM(P156:P163)</f>
        <v>0.04</v>
      </c>
      <c r="Q155" s="607">
        <f>SUM(Q156:Q163)</f>
        <v>0</v>
      </c>
      <c r="R155" s="101">
        <f>SUM(R156:R163)</f>
        <v>0</v>
      </c>
      <c r="S155" s="122">
        <f>IFERROR(R155/'OSNOVNI PODATKI'!$E$329,0)</f>
        <v>0</v>
      </c>
      <c r="U155" s="297">
        <f>SUM(U156:U163)</f>
        <v>0.30000000000000004</v>
      </c>
      <c r="V155" s="297">
        <f>SUM(V156:V163)</f>
        <v>0.30000000000000004</v>
      </c>
      <c r="W155" s="607">
        <f>SUM(W156:W163)</f>
        <v>0</v>
      </c>
      <c r="X155" s="101">
        <f>SUM(X156:X163)</f>
        <v>0</v>
      </c>
    </row>
    <row r="156" spans="1:24" ht="14.25">
      <c r="A156" s="86" t="s">
        <v>39</v>
      </c>
      <c r="B156" s="92" t="s">
        <v>181</v>
      </c>
      <c r="C156" s="92"/>
      <c r="D156" s="92"/>
      <c r="E156" s="295"/>
      <c r="F156" s="295"/>
      <c r="G156" s="608">
        <f t="shared" ref="G156:G163" si="26">ROUND(F156*$F$121,1)</f>
        <v>0</v>
      </c>
      <c r="H156" s="84">
        <f>+G156*$F$122</f>
        <v>0</v>
      </c>
      <c r="I156" s="9"/>
      <c r="K156" s="86" t="s">
        <v>39</v>
      </c>
      <c r="L156" s="92" t="s">
        <v>181</v>
      </c>
      <c r="M156" s="92"/>
      <c r="N156" s="92"/>
      <c r="O156" s="295">
        <v>0.01</v>
      </c>
      <c r="P156" s="295">
        <f t="shared" ref="P156:P163" si="27">O156*(100%+$F$125)</f>
        <v>0.01</v>
      </c>
      <c r="Q156" s="608">
        <f t="shared" ref="Q156:Q163" si="28">IF($F$126="DA",ROUND(P156*$F$121,1),0)</f>
        <v>0</v>
      </c>
      <c r="R156" s="84">
        <f t="shared" ref="R156:R163" si="29">+Q156*$F$122</f>
        <v>0</v>
      </c>
      <c r="S156" s="9"/>
      <c r="U156" s="471">
        <f t="shared" ref="U156:W157" si="30">+E156+O156</f>
        <v>0.01</v>
      </c>
      <c r="V156" s="471">
        <f t="shared" si="30"/>
        <v>0.01</v>
      </c>
      <c r="W156" s="608">
        <f t="shared" si="30"/>
        <v>0</v>
      </c>
      <c r="X156" s="84">
        <f t="shared" ref="X156:X163" si="31">+W156*$F$122</f>
        <v>0</v>
      </c>
    </row>
    <row r="157" spans="1:24" ht="14.25">
      <c r="A157" s="86" t="s">
        <v>40</v>
      </c>
      <c r="B157" s="92" t="s">
        <v>712</v>
      </c>
      <c r="C157" s="92"/>
      <c r="D157" s="92"/>
      <c r="E157" s="295">
        <v>5.5E-2</v>
      </c>
      <c r="F157" s="471">
        <f t="shared" ref="F157:F163" si="32">E157*(100%+$F$124)</f>
        <v>5.5E-2</v>
      </c>
      <c r="G157" s="608">
        <f t="shared" si="26"/>
        <v>0</v>
      </c>
      <c r="H157" s="84">
        <f>+G157*$F$122</f>
        <v>0</v>
      </c>
      <c r="I157" s="9"/>
      <c r="K157" s="86" t="s">
        <v>40</v>
      </c>
      <c r="L157" s="92" t="s">
        <v>712</v>
      </c>
      <c r="M157" s="92"/>
      <c r="N157" s="92"/>
      <c r="O157" s="295">
        <v>5.0000000000000001E-3</v>
      </c>
      <c r="P157" s="295">
        <f t="shared" si="27"/>
        <v>5.0000000000000001E-3</v>
      </c>
      <c r="Q157" s="608">
        <f t="shared" si="28"/>
        <v>0</v>
      </c>
      <c r="R157" s="84">
        <f t="shared" si="29"/>
        <v>0</v>
      </c>
      <c r="S157" s="9"/>
      <c r="U157" s="471">
        <f t="shared" si="30"/>
        <v>0.06</v>
      </c>
      <c r="V157" s="471">
        <f t="shared" si="30"/>
        <v>0.06</v>
      </c>
      <c r="W157" s="608">
        <f t="shared" si="30"/>
        <v>0</v>
      </c>
      <c r="X157" s="84">
        <f t="shared" si="31"/>
        <v>0</v>
      </c>
    </row>
    <row r="158" spans="1:24" s="755" customFormat="1" ht="14.25">
      <c r="A158" s="750"/>
      <c r="B158" s="751" t="s">
        <v>400</v>
      </c>
      <c r="C158" s="751"/>
      <c r="D158" s="751"/>
      <c r="E158" s="749">
        <v>0.16500000000000001</v>
      </c>
      <c r="F158" s="471">
        <f t="shared" si="32"/>
        <v>0.16500000000000001</v>
      </c>
      <c r="G158" s="757">
        <f t="shared" si="26"/>
        <v>0</v>
      </c>
      <c r="H158" s="758">
        <f t="shared" ref="H158" si="33">+G158*$F$122</f>
        <v>0</v>
      </c>
      <c r="K158" s="750"/>
      <c r="L158" s="751" t="s">
        <v>400</v>
      </c>
      <c r="M158" s="751"/>
      <c r="N158" s="751"/>
      <c r="O158" s="749">
        <v>1.4999999999999999E-2</v>
      </c>
      <c r="P158" s="295">
        <f t="shared" si="27"/>
        <v>1.4999999999999999E-2</v>
      </c>
      <c r="Q158" s="608">
        <f t="shared" si="28"/>
        <v>0</v>
      </c>
      <c r="R158" s="758">
        <f t="shared" si="29"/>
        <v>0</v>
      </c>
      <c r="U158" s="749">
        <f t="shared" ref="U158:W158" si="34">+E158+O158</f>
        <v>0.18</v>
      </c>
      <c r="V158" s="749">
        <f t="shared" si="34"/>
        <v>0.18</v>
      </c>
      <c r="W158" s="608">
        <f t="shared" si="34"/>
        <v>0</v>
      </c>
      <c r="X158" s="758">
        <f t="shared" si="31"/>
        <v>0</v>
      </c>
    </row>
    <row r="159" spans="1:24" ht="14.25">
      <c r="A159" s="86" t="s">
        <v>41</v>
      </c>
      <c r="B159" s="92" t="s">
        <v>796</v>
      </c>
      <c r="C159" s="92"/>
      <c r="D159" s="92"/>
      <c r="E159" s="295">
        <v>4.0000000000000001E-3</v>
      </c>
      <c r="F159" s="471">
        <f t="shared" si="32"/>
        <v>4.0000000000000001E-3</v>
      </c>
      <c r="G159" s="608">
        <f t="shared" si="26"/>
        <v>0</v>
      </c>
      <c r="H159" s="84">
        <f>+G159*$F$122</f>
        <v>0</v>
      </c>
      <c r="I159" s="9"/>
      <c r="K159" s="86" t="s">
        <v>41</v>
      </c>
      <c r="L159" s="92" t="s">
        <v>796</v>
      </c>
      <c r="M159" s="92"/>
      <c r="N159" s="92"/>
      <c r="O159" s="295">
        <v>1E-3</v>
      </c>
      <c r="P159" s="295">
        <f t="shared" si="27"/>
        <v>1E-3</v>
      </c>
      <c r="Q159" s="608">
        <f t="shared" si="28"/>
        <v>0</v>
      </c>
      <c r="R159" s="84">
        <f t="shared" si="29"/>
        <v>0</v>
      </c>
      <c r="S159" s="9"/>
      <c r="U159" s="471">
        <f>+E159+O159</f>
        <v>5.0000000000000001E-3</v>
      </c>
      <c r="V159" s="471">
        <f>+F159+P159</f>
        <v>5.0000000000000001E-3</v>
      </c>
      <c r="W159" s="608">
        <f>+G159+Q159</f>
        <v>0</v>
      </c>
      <c r="X159" s="84">
        <f t="shared" si="31"/>
        <v>0</v>
      </c>
    </row>
    <row r="160" spans="1:24" s="755" customFormat="1" ht="14.25">
      <c r="A160" s="750"/>
      <c r="B160" s="751" t="s">
        <v>400</v>
      </c>
      <c r="C160" s="751"/>
      <c r="D160" s="751"/>
      <c r="E160" s="749">
        <v>3.5000000000000001E-3</v>
      </c>
      <c r="F160" s="471">
        <f t="shared" si="32"/>
        <v>3.5000000000000001E-3</v>
      </c>
      <c r="G160" s="757">
        <f t="shared" si="26"/>
        <v>0</v>
      </c>
      <c r="H160" s="758">
        <f t="shared" ref="H160" si="35">+G160*$F$122</f>
        <v>0</v>
      </c>
      <c r="K160" s="750"/>
      <c r="L160" s="751" t="s">
        <v>400</v>
      </c>
      <c r="M160" s="751"/>
      <c r="N160" s="751"/>
      <c r="O160" s="749">
        <v>1.5E-3</v>
      </c>
      <c r="P160" s="295">
        <f t="shared" si="27"/>
        <v>1.5E-3</v>
      </c>
      <c r="Q160" s="608">
        <f t="shared" si="28"/>
        <v>0</v>
      </c>
      <c r="R160" s="758">
        <f t="shared" si="29"/>
        <v>0</v>
      </c>
      <c r="U160" s="749">
        <f t="shared" ref="U160:W160" si="36">+E160+O160</f>
        <v>5.0000000000000001E-3</v>
      </c>
      <c r="V160" s="749">
        <f t="shared" si="36"/>
        <v>5.0000000000000001E-3</v>
      </c>
      <c r="W160" s="608">
        <f t="shared" si="36"/>
        <v>0</v>
      </c>
      <c r="X160" s="758">
        <f t="shared" si="31"/>
        <v>0</v>
      </c>
    </row>
    <row r="161" spans="1:24" ht="14.25">
      <c r="A161" s="86" t="s">
        <v>42</v>
      </c>
      <c r="B161" s="92" t="s">
        <v>713</v>
      </c>
      <c r="C161" s="92"/>
      <c r="D161" s="92"/>
      <c r="E161" s="295">
        <v>4.0000000000000001E-3</v>
      </c>
      <c r="F161" s="471">
        <f t="shared" si="32"/>
        <v>4.0000000000000001E-3</v>
      </c>
      <c r="G161" s="608">
        <f t="shared" si="26"/>
        <v>0</v>
      </c>
      <c r="H161" s="84">
        <f>+G161*$F$122</f>
        <v>0</v>
      </c>
      <c r="I161" s="9"/>
      <c r="K161" s="86" t="s">
        <v>42</v>
      </c>
      <c r="L161" s="92" t="s">
        <v>713</v>
      </c>
      <c r="M161" s="92"/>
      <c r="N161" s="92"/>
      <c r="O161" s="295">
        <v>1E-3</v>
      </c>
      <c r="P161" s="295">
        <f t="shared" si="27"/>
        <v>1E-3</v>
      </c>
      <c r="Q161" s="608">
        <f t="shared" si="28"/>
        <v>0</v>
      </c>
      <c r="R161" s="84">
        <f t="shared" si="29"/>
        <v>0</v>
      </c>
      <c r="S161" s="9"/>
      <c r="U161" s="471">
        <f>+E161+O161</f>
        <v>5.0000000000000001E-3</v>
      </c>
      <c r="V161" s="471">
        <f>+F161+P161</f>
        <v>5.0000000000000001E-3</v>
      </c>
      <c r="W161" s="608">
        <f>+G161+Q161</f>
        <v>0</v>
      </c>
      <c r="X161" s="84">
        <f t="shared" si="31"/>
        <v>0</v>
      </c>
    </row>
    <row r="162" spans="1:24" s="755" customFormat="1" ht="14.25">
      <c r="A162" s="750"/>
      <c r="B162" s="751" t="s">
        <v>400</v>
      </c>
      <c r="C162" s="751"/>
      <c r="D162" s="751"/>
      <c r="E162" s="749">
        <v>3.5000000000000001E-3</v>
      </c>
      <c r="F162" s="471">
        <f t="shared" si="32"/>
        <v>3.5000000000000001E-3</v>
      </c>
      <c r="G162" s="757">
        <f t="shared" si="26"/>
        <v>0</v>
      </c>
      <c r="H162" s="758">
        <f t="shared" ref="H162" si="37">+G162*$F$122</f>
        <v>0</v>
      </c>
      <c r="K162" s="750"/>
      <c r="L162" s="751" t="s">
        <v>400</v>
      </c>
      <c r="M162" s="751"/>
      <c r="N162" s="751"/>
      <c r="O162" s="749">
        <v>1.5E-3</v>
      </c>
      <c r="P162" s="295">
        <f t="shared" si="27"/>
        <v>1.5E-3</v>
      </c>
      <c r="Q162" s="608">
        <f t="shared" si="28"/>
        <v>0</v>
      </c>
      <c r="R162" s="758">
        <f t="shared" si="29"/>
        <v>0</v>
      </c>
      <c r="U162" s="749">
        <f t="shared" ref="U162:W162" si="38">+E162+O162</f>
        <v>5.0000000000000001E-3</v>
      </c>
      <c r="V162" s="749">
        <f t="shared" si="38"/>
        <v>5.0000000000000001E-3</v>
      </c>
      <c r="W162" s="608">
        <f t="shared" si="38"/>
        <v>0</v>
      </c>
      <c r="X162" s="758">
        <f t="shared" si="31"/>
        <v>0</v>
      </c>
    </row>
    <row r="163" spans="1:24" ht="14.25">
      <c r="A163" s="114" t="s">
        <v>43</v>
      </c>
      <c r="B163" s="87" t="s">
        <v>698</v>
      </c>
      <c r="C163" s="87"/>
      <c r="D163" s="87"/>
      <c r="E163" s="470">
        <v>2.5000000000000001E-2</v>
      </c>
      <c r="F163" s="472">
        <f t="shared" si="32"/>
        <v>2.5000000000000001E-2</v>
      </c>
      <c r="G163" s="609">
        <f t="shared" si="26"/>
        <v>0</v>
      </c>
      <c r="H163" s="88">
        <f>+G163*$F$122</f>
        <v>0</v>
      </c>
      <c r="I163" s="9"/>
      <c r="K163" s="114" t="s">
        <v>43</v>
      </c>
      <c r="L163" s="87" t="s">
        <v>698</v>
      </c>
      <c r="M163" s="87"/>
      <c r="N163" s="87"/>
      <c r="O163" s="470">
        <v>5.0000000000000001E-3</v>
      </c>
      <c r="P163" s="295">
        <f t="shared" si="27"/>
        <v>5.0000000000000001E-3</v>
      </c>
      <c r="Q163" s="609">
        <f t="shared" si="28"/>
        <v>0</v>
      </c>
      <c r="R163" s="88">
        <f t="shared" si="29"/>
        <v>0</v>
      </c>
      <c r="S163" s="9"/>
      <c r="U163" s="472">
        <f>+E163+O163</f>
        <v>3.0000000000000002E-2</v>
      </c>
      <c r="V163" s="472">
        <f>+F163+P163</f>
        <v>3.0000000000000002E-2</v>
      </c>
      <c r="W163" s="609">
        <f>+G163+Q163</f>
        <v>0</v>
      </c>
      <c r="X163" s="88">
        <f t="shared" si="31"/>
        <v>0</v>
      </c>
    </row>
    <row r="164" spans="1:24">
      <c r="A164" s="118">
        <v>5</v>
      </c>
      <c r="B164" s="99" t="s">
        <v>44</v>
      </c>
      <c r="C164" s="99"/>
      <c r="D164" s="99"/>
      <c r="E164" s="297">
        <f>SUM(E165:E166)</f>
        <v>1.4999999999999999E-2</v>
      </c>
      <c r="F164" s="297">
        <f>SUM(F165:F166)</f>
        <v>1.4999999999999999E-2</v>
      </c>
      <c r="G164" s="607">
        <f>SUM(G165:G166)</f>
        <v>0</v>
      </c>
      <c r="H164" s="101">
        <f>SUM(H165:H166)</f>
        <v>0</v>
      </c>
      <c r="I164" s="122">
        <f>IFERROR(H164/'OSNOVNI PODATKI'!$E$329,0)</f>
        <v>0</v>
      </c>
      <c r="K164" s="118">
        <v>5</v>
      </c>
      <c r="L164" s="99" t="s">
        <v>44</v>
      </c>
      <c r="M164" s="99"/>
      <c r="N164" s="99"/>
      <c r="O164" s="297">
        <f>SUM(O165:O166)</f>
        <v>5.0000000000000001E-3</v>
      </c>
      <c r="P164" s="299">
        <f>SUM(P165:P166)</f>
        <v>5.0000000000000001E-3</v>
      </c>
      <c r="Q164" s="607">
        <f>SUM(Q165:Q166)</f>
        <v>0</v>
      </c>
      <c r="R164" s="101">
        <f>SUM(R165:R166)</f>
        <v>0</v>
      </c>
      <c r="S164" s="122">
        <f>IFERROR(R164/'OSNOVNI PODATKI'!$E$329,0)</f>
        <v>0</v>
      </c>
      <c r="U164" s="297">
        <f>SUM(U165:U166)</f>
        <v>0.02</v>
      </c>
      <c r="V164" s="297">
        <f>SUM(V165:V166)</f>
        <v>0.02</v>
      </c>
      <c r="W164" s="607">
        <f>SUM(W165:W166)</f>
        <v>0</v>
      </c>
      <c r="X164" s="101">
        <f>SUM(X165:X166)</f>
        <v>0</v>
      </c>
    </row>
    <row r="165" spans="1:24" ht="14.25">
      <c r="A165" s="86" t="s">
        <v>45</v>
      </c>
      <c r="B165" s="95" t="s">
        <v>183</v>
      </c>
      <c r="C165" s="95"/>
      <c r="D165" s="95"/>
      <c r="E165" s="295">
        <v>7.4999999999999997E-3</v>
      </c>
      <c r="F165" s="471">
        <f>E165</f>
        <v>7.4999999999999997E-3</v>
      </c>
      <c r="G165" s="608">
        <f t="shared" ref="G165:G166" si="39">ROUND(F165*$F$121,1)</f>
        <v>0</v>
      </c>
      <c r="H165" s="84">
        <f>+G165*$F$122</f>
        <v>0</v>
      </c>
      <c r="I165" s="9"/>
      <c r="K165" s="86" t="s">
        <v>45</v>
      </c>
      <c r="L165" s="95" t="s">
        <v>183</v>
      </c>
      <c r="M165" s="95"/>
      <c r="N165" s="95"/>
      <c r="O165" s="295">
        <v>2.5000000000000001E-3</v>
      </c>
      <c r="P165" s="295">
        <f t="shared" ref="P165:P166" si="40">O165*(100%+$F$125)</f>
        <v>2.5000000000000001E-3</v>
      </c>
      <c r="Q165" s="608">
        <f t="shared" ref="Q165:Q166" si="41">IF($F$126="DA",ROUND(P165*$F$121,1),0)</f>
        <v>0</v>
      </c>
      <c r="R165" s="84">
        <f t="shared" ref="R165:R166" si="42">+Q165*$F$122</f>
        <v>0</v>
      </c>
      <c r="S165" s="9"/>
      <c r="U165" s="471">
        <f t="shared" ref="U165:W166" si="43">+E165+O165</f>
        <v>0.01</v>
      </c>
      <c r="V165" s="471">
        <f t="shared" si="43"/>
        <v>0.01</v>
      </c>
      <c r="W165" s="608">
        <f t="shared" si="43"/>
        <v>0</v>
      </c>
      <c r="X165" s="84">
        <f t="shared" ref="X165:X166" si="44">+W165*$F$122</f>
        <v>0</v>
      </c>
    </row>
    <row r="166" spans="1:24" ht="14.25">
      <c r="A166" s="114" t="s">
        <v>46</v>
      </c>
      <c r="B166" s="120" t="s">
        <v>184</v>
      </c>
      <c r="C166" s="120"/>
      <c r="D166" s="120"/>
      <c r="E166" s="470">
        <v>7.4999999999999997E-3</v>
      </c>
      <c r="F166" s="472">
        <f>E166</f>
        <v>7.4999999999999997E-3</v>
      </c>
      <c r="G166" s="609">
        <f t="shared" si="39"/>
        <v>0</v>
      </c>
      <c r="H166" s="88">
        <f>+G166*$F$122</f>
        <v>0</v>
      </c>
      <c r="I166" s="9"/>
      <c r="K166" s="114" t="s">
        <v>46</v>
      </c>
      <c r="L166" s="120" t="s">
        <v>184</v>
      </c>
      <c r="M166" s="120"/>
      <c r="N166" s="120"/>
      <c r="O166" s="470">
        <v>2.5000000000000001E-3</v>
      </c>
      <c r="P166" s="295">
        <f t="shared" si="40"/>
        <v>2.5000000000000001E-3</v>
      </c>
      <c r="Q166" s="609">
        <f t="shared" si="41"/>
        <v>0</v>
      </c>
      <c r="R166" s="88">
        <f t="shared" si="42"/>
        <v>0</v>
      </c>
      <c r="S166" s="9"/>
      <c r="U166" s="472">
        <f t="shared" si="43"/>
        <v>0.01</v>
      </c>
      <c r="V166" s="472">
        <f t="shared" si="43"/>
        <v>0.01</v>
      </c>
      <c r="W166" s="609">
        <f t="shared" si="43"/>
        <v>0</v>
      </c>
      <c r="X166" s="88">
        <f t="shared" si="44"/>
        <v>0</v>
      </c>
    </row>
    <row r="167" spans="1:24" ht="14.25">
      <c r="A167" s="119">
        <v>6</v>
      </c>
      <c r="B167" s="99" t="s">
        <v>47</v>
      </c>
      <c r="C167" s="99"/>
      <c r="D167" s="99"/>
      <c r="E167" s="100"/>
      <c r="F167" s="100"/>
      <c r="G167" s="601"/>
      <c r="H167" s="101"/>
      <c r="I167" s="9"/>
      <c r="K167" s="119">
        <v>6</v>
      </c>
      <c r="L167" s="99" t="s">
        <v>47</v>
      </c>
      <c r="M167" s="99"/>
      <c r="N167" s="99"/>
      <c r="O167" s="100"/>
      <c r="P167" s="300"/>
      <c r="Q167" s="601"/>
      <c r="R167" s="101"/>
      <c r="S167" s="9"/>
      <c r="U167" s="100"/>
      <c r="V167" s="100"/>
      <c r="W167" s="601"/>
      <c r="X167" s="101"/>
    </row>
    <row r="168" spans="1:24" ht="14.25">
      <c r="A168" s="86" t="s">
        <v>51</v>
      </c>
      <c r="B168" s="95" t="s">
        <v>185</v>
      </c>
      <c r="C168" s="95"/>
      <c r="D168" s="95"/>
      <c r="E168" s="83"/>
      <c r="F168" s="83"/>
      <c r="G168" s="602"/>
      <c r="H168" s="84"/>
      <c r="I168" s="9"/>
      <c r="K168" s="86" t="s">
        <v>51</v>
      </c>
      <c r="L168" s="95" t="s">
        <v>185</v>
      </c>
      <c r="M168" s="95"/>
      <c r="N168" s="95"/>
      <c r="O168" s="83"/>
      <c r="P168" s="83"/>
      <c r="Q168" s="602"/>
      <c r="R168" s="84"/>
      <c r="S168" s="9"/>
      <c r="U168" s="83"/>
      <c r="V168" s="83"/>
      <c r="W168" s="602"/>
      <c r="X168" s="84"/>
    </row>
    <row r="169" spans="1:24" ht="14.25">
      <c r="A169" s="86" t="s">
        <v>52</v>
      </c>
      <c r="B169" s="95" t="s">
        <v>186</v>
      </c>
      <c r="C169" s="95"/>
      <c r="D169" s="95"/>
      <c r="E169" s="83"/>
      <c r="F169" s="83"/>
      <c r="G169" s="602"/>
      <c r="H169" s="84"/>
      <c r="I169" s="9"/>
      <c r="K169" s="86" t="s">
        <v>52</v>
      </c>
      <c r="L169" s="95" t="s">
        <v>186</v>
      </c>
      <c r="M169" s="95"/>
      <c r="N169" s="95"/>
      <c r="O169" s="83"/>
      <c r="P169" s="83"/>
      <c r="Q169" s="602"/>
      <c r="R169" s="84"/>
      <c r="S169" s="9"/>
      <c r="U169" s="83"/>
      <c r="V169" s="83"/>
      <c r="W169" s="602"/>
      <c r="X169" s="84"/>
    </row>
    <row r="170" spans="1:24" ht="14.25">
      <c r="A170" s="114" t="s">
        <v>53</v>
      </c>
      <c r="B170" s="120" t="s">
        <v>187</v>
      </c>
      <c r="C170" s="120"/>
      <c r="D170" s="120"/>
      <c r="E170" s="109"/>
      <c r="F170" s="109"/>
      <c r="G170" s="603"/>
      <c r="H170" s="88"/>
      <c r="I170" s="9"/>
      <c r="K170" s="114" t="s">
        <v>53</v>
      </c>
      <c r="L170" s="120" t="s">
        <v>187</v>
      </c>
      <c r="M170" s="120"/>
      <c r="N170" s="120"/>
      <c r="O170" s="109"/>
      <c r="P170" s="109"/>
      <c r="Q170" s="603"/>
      <c r="R170" s="88"/>
      <c r="S170" s="9"/>
      <c r="U170" s="109"/>
      <c r="V170" s="109"/>
      <c r="W170" s="603"/>
      <c r="X170" s="88"/>
    </row>
    <row r="171" spans="1:24" ht="14.25">
      <c r="A171" s="89"/>
      <c r="B171" s="90"/>
      <c r="C171" s="90"/>
      <c r="D171" s="90"/>
      <c r="E171" s="91"/>
      <c r="F171" s="91"/>
      <c r="G171" s="604"/>
      <c r="H171" s="90"/>
      <c r="I171" s="9"/>
      <c r="K171" s="89"/>
      <c r="L171" s="90"/>
      <c r="M171" s="90"/>
      <c r="N171" s="90"/>
      <c r="O171" s="91"/>
      <c r="P171" s="91"/>
      <c r="Q171" s="604"/>
      <c r="R171" s="90"/>
      <c r="S171" s="9"/>
      <c r="U171" s="91"/>
      <c r="V171" s="91"/>
      <c r="W171" s="604"/>
      <c r="X171" s="90"/>
    </row>
    <row r="172" spans="1:24">
      <c r="A172" s="123"/>
      <c r="B172" s="124" t="s">
        <v>1</v>
      </c>
      <c r="C172" s="124"/>
      <c r="D172" s="124"/>
      <c r="E172" s="125">
        <f>E132+E135+E139+E150+E155+E164+E167</f>
        <v>0.82</v>
      </c>
      <c r="F172" s="125">
        <f>F132+F135+F139+F150+F155+F164+F167</f>
        <v>0.82</v>
      </c>
      <c r="G172" s="605">
        <f>G132+G135+G139+G150+G155+G164+G167</f>
        <v>0</v>
      </c>
      <c r="H172" s="126">
        <f>H132+H135+H139+H150+H155+H164+H167</f>
        <v>0</v>
      </c>
      <c r="I172" s="122">
        <f>IFERROR(H172/'OSNOVNI PODATKI'!$E$329,0)</f>
        <v>0</v>
      </c>
      <c r="K172" s="123"/>
      <c r="L172" s="124" t="s">
        <v>0</v>
      </c>
      <c r="M172" s="124"/>
      <c r="N172" s="124"/>
      <c r="O172" s="125">
        <f>O132+O135+O139+O150+O155+O164+O167</f>
        <v>0.18000000000000002</v>
      </c>
      <c r="P172" s="125">
        <f>P132+P135+P139+P150+P155+P164+P167</f>
        <v>0.18000000000000002</v>
      </c>
      <c r="Q172" s="605">
        <f>Q132+Q135+Q139+Q150+Q155+Q164+Q167</f>
        <v>0</v>
      </c>
      <c r="R172" s="126">
        <f>R132+R135+R139+R150+R155+R164+R167</f>
        <v>0</v>
      </c>
      <c r="S172" s="122">
        <f>IFERROR(R172/'OSNOVNI PODATKI'!$E$329,0)</f>
        <v>0</v>
      </c>
      <c r="U172" s="125">
        <f>U132+U135+U139+U150+U155+U164+U167</f>
        <v>1.0000000000000002</v>
      </c>
      <c r="V172" s="125">
        <f>V132+V135+V139+V150+V155+V164+V167</f>
        <v>1.0000000000000002</v>
      </c>
      <c r="W172" s="605">
        <f>W132+W135+W139+W150+W155+W164+W167</f>
        <v>0</v>
      </c>
      <c r="X172" s="126">
        <f>X132+X135+X139+X150+X155+X164+X167</f>
        <v>0</v>
      </c>
    </row>
    <row r="180" spans="3:11">
      <c r="I180" s="231">
        <f t="shared" ref="I180:J180" si="45">SUM(I181:I188)</f>
        <v>0.26</v>
      </c>
      <c r="J180" s="231">
        <f t="shared" si="45"/>
        <v>0.04</v>
      </c>
      <c r="K180" s="231">
        <f>SUM(K181:K188)</f>
        <v>0.30000000000000004</v>
      </c>
    </row>
    <row r="181" spans="3:11">
      <c r="C181" s="71">
        <f>1+52.5+1+26+1.5</f>
        <v>82</v>
      </c>
      <c r="E181" s="701">
        <v>9.5000000000000001E-2</v>
      </c>
      <c r="F181" s="701">
        <v>5.0000000000000001E-3</v>
      </c>
      <c r="G181" s="706">
        <f>SUM(E181:F181)</f>
        <v>0.1</v>
      </c>
      <c r="I181" s="707">
        <v>0</v>
      </c>
      <c r="J181" s="707">
        <v>0.01</v>
      </c>
      <c r="K181" s="708">
        <f>SUM(I181:J181)</f>
        <v>0.01</v>
      </c>
    </row>
    <row r="182" spans="3:11">
      <c r="E182" s="702">
        <v>0.14249999999999999</v>
      </c>
      <c r="F182" s="702">
        <v>7.4999999999999997E-3</v>
      </c>
      <c r="G182" s="706">
        <f t="shared" ref="G182:G188" si="46">SUM(E182:F182)</f>
        <v>0.15</v>
      </c>
      <c r="I182" s="702">
        <v>5.5E-2</v>
      </c>
      <c r="J182" s="702">
        <v>5.0000000000000001E-3</v>
      </c>
      <c r="K182" s="708">
        <f>SUM(I182:J182)</f>
        <v>0.06</v>
      </c>
    </row>
    <row r="183" spans="3:11">
      <c r="E183" s="703">
        <v>0</v>
      </c>
      <c r="F183" s="703">
        <v>0.03</v>
      </c>
      <c r="G183" s="706">
        <f t="shared" si="46"/>
        <v>0.03</v>
      </c>
      <c r="I183" s="705">
        <v>0.16500000000000001</v>
      </c>
      <c r="J183" s="705">
        <v>1.4999999999999999E-2</v>
      </c>
      <c r="K183" s="709">
        <f>SUM(I183:J183)</f>
        <v>0.18</v>
      </c>
    </row>
    <row r="184" spans="3:11">
      <c r="E184" s="704">
        <v>0</v>
      </c>
      <c r="F184" s="704">
        <v>0.02</v>
      </c>
      <c r="G184" s="706">
        <f t="shared" si="46"/>
        <v>0.02</v>
      </c>
      <c r="I184" s="702">
        <v>4.0000000000000001E-3</v>
      </c>
      <c r="J184" s="702">
        <v>1E-3</v>
      </c>
      <c r="K184" s="708">
        <v>5.0000000000000001E-3</v>
      </c>
    </row>
    <row r="185" spans="3:11">
      <c r="E185" s="702">
        <v>0.23499999999999999</v>
      </c>
      <c r="F185" s="702">
        <v>1.4999999999999999E-2</v>
      </c>
      <c r="G185" s="706">
        <f t="shared" si="46"/>
        <v>0.25</v>
      </c>
      <c r="I185" s="705">
        <v>3.5000000000000001E-3</v>
      </c>
      <c r="J185" s="705">
        <v>1.5E-3</v>
      </c>
      <c r="K185" s="709">
        <v>5.0000000000000001E-3</v>
      </c>
    </row>
    <row r="186" spans="3:11">
      <c r="E186" s="702">
        <v>3.7499999999999999E-2</v>
      </c>
      <c r="F186" s="702">
        <v>2.5000000000000001E-3</v>
      </c>
      <c r="G186" s="706">
        <f t="shared" si="46"/>
        <v>0.04</v>
      </c>
      <c r="I186" s="702">
        <v>4.0000000000000001E-3</v>
      </c>
      <c r="J186" s="702">
        <v>1E-3</v>
      </c>
      <c r="K186" s="708">
        <v>1.4999999999999999E-2</v>
      </c>
    </row>
    <row r="187" spans="3:11">
      <c r="E187" s="705">
        <v>1.4999999999999999E-2</v>
      </c>
      <c r="F187" s="704">
        <v>0</v>
      </c>
      <c r="G187" s="706">
        <f t="shared" si="46"/>
        <v>1.4999999999999999E-2</v>
      </c>
      <c r="I187" s="705">
        <v>3.5000000000000001E-3</v>
      </c>
      <c r="J187" s="705">
        <v>1.5E-3</v>
      </c>
      <c r="K187" s="709">
        <v>5.0000000000000001E-3</v>
      </c>
    </row>
    <row r="188" spans="3:11">
      <c r="E188" s="704">
        <v>0</v>
      </c>
      <c r="F188" s="705">
        <v>1.4999999999999999E-2</v>
      </c>
      <c r="G188" s="706">
        <f t="shared" si="46"/>
        <v>1.4999999999999999E-2</v>
      </c>
      <c r="I188" s="702">
        <v>2.5000000000000001E-2</v>
      </c>
      <c r="J188" s="702">
        <v>5.0000000000000001E-3</v>
      </c>
      <c r="K188" s="708">
        <v>0.02</v>
      </c>
    </row>
    <row r="189" spans="3:11">
      <c r="E189" s="706">
        <f>SUM(E181:E188)</f>
        <v>0.52500000000000002</v>
      </c>
      <c r="F189" s="706">
        <f>SUM(F181:F188)</f>
        <v>9.5000000000000001E-2</v>
      </c>
    </row>
  </sheetData>
  <sheetProtection algorithmName="SHA-512" hashValue="XXCIIU3GKReIQ8dP1AACUanG7gxeVbgAphp9GUb01G7HcBwM7nECWHDKrm/h6StTjJYpBLjLDyGKTJlgsHjYpw==" saltValue="xAGs3Q+EMYuruTi9QXZR4A=="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Q178"/>
  <sheetViews>
    <sheetView topLeftCell="A112" workbookViewId="0">
      <selection activeCell="J136" sqref="J136:J147"/>
    </sheetView>
    <sheetView workbookViewId="1"/>
  </sheetViews>
  <sheetFormatPr defaultColWidth="9.140625" defaultRowHeight="12.75"/>
  <cols>
    <col min="1" max="1" width="8.140625" style="71" customWidth="1"/>
    <col min="2" max="2" width="26.28515625" style="71" customWidth="1"/>
    <col min="3" max="8" width="13.5703125" style="71" customWidth="1"/>
    <col min="9" max="9" width="14.85546875" style="71" customWidth="1"/>
    <col min="10" max="12" width="13.5703125" style="71" customWidth="1"/>
    <col min="13" max="16384" width="9.140625" style="71"/>
  </cols>
  <sheetData>
    <row r="1" spans="1:17" ht="26.25">
      <c r="B1" s="711" t="s">
        <v>953</v>
      </c>
      <c r="C1" s="4"/>
      <c r="D1" s="4"/>
      <c r="E1" s="4"/>
      <c r="F1" s="4"/>
      <c r="G1" s="4"/>
      <c r="H1" s="4"/>
      <c r="I1"/>
      <c r="J1"/>
      <c r="K1"/>
      <c r="L1"/>
      <c r="Q1" s="5"/>
    </row>
    <row r="2" spans="1:17" ht="15" thickBot="1">
      <c r="B2" s="7"/>
    </row>
    <row r="3" spans="1:17" s="73" customFormat="1" ht="18.75">
      <c r="A3" s="786" t="s">
        <v>779</v>
      </c>
      <c r="B3" s="786"/>
      <c r="C3" s="786"/>
      <c r="D3" s="786"/>
      <c r="E3" s="786"/>
      <c r="F3" s="786"/>
      <c r="G3" s="786"/>
      <c r="H3" s="786"/>
      <c r="I3" s="786"/>
    </row>
    <row r="4" spans="1:17" s="73" customFormat="1" ht="18.75">
      <c r="A4" s="834"/>
      <c r="B4" s="834"/>
      <c r="C4" s="834"/>
      <c r="D4" s="834"/>
      <c r="E4" s="834"/>
      <c r="F4" s="834"/>
      <c r="G4" s="834"/>
      <c r="H4" s="834"/>
      <c r="I4" s="834"/>
    </row>
    <row r="5" spans="1:17" s="73" customFormat="1">
      <c r="A5" s="76"/>
      <c r="B5" s="530" t="s">
        <v>786</v>
      </c>
      <c r="C5" s="631">
        <f>'OSNOVNI PODATKI'!H11</f>
        <v>2</v>
      </c>
      <c r="D5" s="530" t="str">
        <f>IF(C5=1,'OSNOVNI PODATKI'!B11,'OSNOVNI PODATKI'!B12)</f>
        <v>ENA STAVBA ALI VEČ RAZLIČNIH STAVB (PRI IZRAČUNU POTREBNIH NU SE VSAKA STAVBA IZRAČUNAVA LOČENO)</v>
      </c>
      <c r="E5" s="489"/>
      <c r="F5" s="489"/>
      <c r="G5" s="202"/>
      <c r="H5" s="202"/>
      <c r="I5" s="202"/>
    </row>
    <row r="6" spans="1:17" s="73" customFormat="1">
      <c r="A6" s="76"/>
      <c r="B6" s="530" t="s">
        <v>787</v>
      </c>
      <c r="C6" s="612">
        <f>'OSNOVNI PODATKI'!E308</f>
        <v>0</v>
      </c>
      <c r="D6" s="530"/>
      <c r="E6" s="489"/>
      <c r="F6" s="489"/>
      <c r="G6" s="202"/>
      <c r="H6" s="202"/>
      <c r="I6" s="202"/>
    </row>
    <row r="7" spans="1:17" s="73" customFormat="1">
      <c r="A7" s="76"/>
      <c r="D7" s="203"/>
      <c r="E7" s="203"/>
      <c r="F7" s="203"/>
    </row>
    <row r="8" spans="1:17" s="73" customFormat="1">
      <c r="A8" s="76"/>
      <c r="B8" s="203" t="str">
        <f>'OSNOVNI PODATKI'!A15</f>
        <v>STAVBA 1 / DEL 1</v>
      </c>
      <c r="C8" s="533">
        <f>'OSNOVNI PODATKI'!E15</f>
        <v>0</v>
      </c>
      <c r="D8" s="203"/>
      <c r="E8" s="203"/>
      <c r="F8" s="203"/>
    </row>
    <row r="9" spans="1:17" s="73" customFormat="1">
      <c r="A9" s="76"/>
      <c r="B9" s="198" t="s">
        <v>617</v>
      </c>
      <c r="C9" s="81" t="str">
        <f>'OSNOVNI PODATKI'!E16</f>
        <v>5. Nepodkletene eno in dvostanovanjske stavbe, nižji standard</v>
      </c>
      <c r="D9" s="489"/>
      <c r="E9" s="489"/>
      <c r="F9" s="489"/>
      <c r="G9" s="489"/>
      <c r="H9" s="489"/>
      <c r="I9" s="489"/>
    </row>
    <row r="10" spans="1:17" s="73" customFormat="1">
      <c r="A10" s="76"/>
      <c r="B10" s="198" t="s">
        <v>788</v>
      </c>
      <c r="C10" s="81">
        <f>'OSNOVNI PODATKI'!E17</f>
        <v>0</v>
      </c>
      <c r="D10" s="489"/>
      <c r="E10" s="489"/>
      <c r="F10" s="489"/>
      <c r="G10" s="489"/>
      <c r="H10" s="489"/>
      <c r="I10" s="489"/>
    </row>
    <row r="11" spans="1:17" s="73" customFormat="1">
      <c r="A11" s="76"/>
      <c r="B11" s="198" t="s">
        <v>789</v>
      </c>
      <c r="C11" s="81">
        <f>IF($C$5=1,$C$6,C10)</f>
        <v>0</v>
      </c>
      <c r="D11" s="489"/>
      <c r="E11" s="489"/>
      <c r="F11" s="489"/>
      <c r="G11" s="489"/>
      <c r="H11" s="489"/>
      <c r="I11" s="489"/>
    </row>
    <row r="12" spans="1:17" s="73" customFormat="1">
      <c r="A12" s="76"/>
      <c r="B12" s="530" t="s">
        <v>729</v>
      </c>
      <c r="C12" s="529">
        <f>'OSNOVNI PODATKI'!E27</f>
        <v>-105.40000000000009</v>
      </c>
      <c r="D12" s="489"/>
      <c r="E12" s="489"/>
      <c r="F12" s="489"/>
      <c r="G12" s="489"/>
      <c r="H12" s="489"/>
      <c r="I12" s="489"/>
    </row>
    <row r="13" spans="1:17" s="73" customFormat="1">
      <c r="A13" s="76"/>
      <c r="B13" s="198" t="s">
        <v>100</v>
      </c>
      <c r="C13" s="81" t="str">
        <f>'OSNOVNI PODATKI'!E19</f>
        <v>Cenovni razred III</v>
      </c>
      <c r="D13" s="489"/>
      <c r="E13" s="489"/>
      <c r="F13" s="489"/>
      <c r="G13" s="489"/>
      <c r="H13" s="489"/>
      <c r="I13" s="489"/>
    </row>
    <row r="14" spans="1:17" s="73" customFormat="1">
      <c r="A14" s="76"/>
      <c r="B14" s="522" t="s">
        <v>70</v>
      </c>
      <c r="C14" s="523">
        <f>IFERROR(0.0132*POWER((45%*C20+10%)*C11*(1000+C12),0.7854)/C11,0)</f>
        <v>0</v>
      </c>
      <c r="D14" s="524" t="s">
        <v>722</v>
      </c>
      <c r="E14" s="203"/>
      <c r="F14" s="203"/>
    </row>
    <row r="15" spans="1:17" s="73" customFormat="1">
      <c r="A15" s="76"/>
      <c r="B15" s="525" t="s">
        <v>71</v>
      </c>
      <c r="C15" s="526">
        <f>IFERROR(0.0147*POWER((45%*C20+10%)*C11*(1000+C12),0.7854)/C11,0)</f>
        <v>0</v>
      </c>
      <c r="D15" s="488" t="s">
        <v>722</v>
      </c>
      <c r="E15" s="203"/>
      <c r="F15" s="203"/>
    </row>
    <row r="16" spans="1:17" s="73" customFormat="1">
      <c r="A16" s="76"/>
      <c r="B16" s="525" t="s">
        <v>72</v>
      </c>
      <c r="C16" s="526">
        <f>IFERROR(0.019*POWER((45%*C20+10%)*C11*(1000+C12),0.7841)/C11,0)</f>
        <v>0</v>
      </c>
      <c r="D16" s="488" t="s">
        <v>722</v>
      </c>
      <c r="E16" s="203"/>
      <c r="F16" s="203"/>
    </row>
    <row r="17" spans="1:9" s="73" customFormat="1">
      <c r="A17" s="76"/>
      <c r="B17" s="525" t="s">
        <v>73</v>
      </c>
      <c r="C17" s="526">
        <f>IFERROR(0.0232*POWER((45%*C20+10%)*C11*(1000+C12),0.7856)/C11,0)</f>
        <v>0</v>
      </c>
      <c r="D17" s="488" t="s">
        <v>722</v>
      </c>
      <c r="E17" s="203"/>
      <c r="F17" s="203"/>
    </row>
    <row r="18" spans="1:9" s="73" customFormat="1">
      <c r="A18" s="76"/>
      <c r="B18" s="525" t="s">
        <v>74</v>
      </c>
      <c r="C18" s="526">
        <f>IFERROR(0.0277*POWER((45%*C20+10%)*C11*(1000+C12),0.7843)/C11,0)</f>
        <v>0</v>
      </c>
      <c r="D18" s="488" t="s">
        <v>722</v>
      </c>
      <c r="E18" s="203"/>
      <c r="F18" s="203"/>
    </row>
    <row r="19" spans="1:9" s="73" customFormat="1">
      <c r="A19" s="76"/>
      <c r="B19" s="527" t="s">
        <v>728</v>
      </c>
      <c r="C19" s="528">
        <f>IFERROR(0.0291*POWER((45%*C20+10%)*C11*(1000+C12),0.7843)/C11,0)</f>
        <v>0</v>
      </c>
      <c r="D19" s="486" t="s">
        <v>722</v>
      </c>
      <c r="E19" s="203"/>
      <c r="F19" s="203"/>
    </row>
    <row r="20" spans="1:9" s="73" customFormat="1">
      <c r="A20" s="76"/>
      <c r="B20" s="525" t="str">
        <f>'OSNOVNI PODATKI'!B59</f>
        <v>GRADBENO OBRTNIŠKA DELA (GO)</v>
      </c>
      <c r="C20" s="625">
        <f>'OSNOVNI PODATKI'!D33</f>
        <v>0.81699999999999995</v>
      </c>
      <c r="D20" s="623"/>
      <c r="E20" s="831">
        <f>C20*$C$11*(1000+$C$12)</f>
        <v>0</v>
      </c>
      <c r="F20" s="203"/>
      <c r="I20" s="624">
        <f>+E20*0.55+(E21+E22+E23)*0.1</f>
        <v>0</v>
      </c>
    </row>
    <row r="21" spans="1:9" s="73" customFormat="1">
      <c r="A21" s="76"/>
      <c r="B21" s="525" t="str">
        <f>'OSNOVNI PODATKI'!B60</f>
        <v>ELEKTRIČNE INŠTALACIJE (EI)</v>
      </c>
      <c r="C21" s="625">
        <f>'OSNOVNI PODATKI'!D34</f>
        <v>3.4554399999999999E-2</v>
      </c>
      <c r="D21" s="623"/>
      <c r="E21" s="831">
        <f t="shared" ref="E21:E23" si="0">C21*$C$11*(1000+$C$12)</f>
        <v>0</v>
      </c>
      <c r="F21" s="203"/>
      <c r="I21" s="1266">
        <f>45%*C20+10%</f>
        <v>0.46765000000000001</v>
      </c>
    </row>
    <row r="22" spans="1:9" s="73" customFormat="1">
      <c r="A22" s="76"/>
      <c r="B22" s="525" t="str">
        <f>'OSNOVNI PODATKI'!B61</f>
        <v>STROJNE INŠTALACIJE (SI)</v>
      </c>
      <c r="C22" s="625">
        <f>'OSNOVNI PODATKI'!D35</f>
        <v>0.14823000000000003</v>
      </c>
      <c r="D22" s="623"/>
      <c r="E22" s="831">
        <f t="shared" si="0"/>
        <v>0</v>
      </c>
      <c r="F22" s="203"/>
    </row>
    <row r="23" spans="1:9" s="73" customFormat="1">
      <c r="A23" s="76"/>
      <c r="B23" s="525" t="str">
        <f>'OSNOVNI PODATKI'!B62</f>
        <v>TEHNOLOGIJA (TH)</v>
      </c>
      <c r="C23" s="625">
        <f>'OSNOVNI PODATKI'!D36</f>
        <v>0</v>
      </c>
      <c r="D23" s="623"/>
      <c r="E23" s="831">
        <f t="shared" si="0"/>
        <v>0</v>
      </c>
      <c r="F23" s="203"/>
    </row>
    <row r="24" spans="1:9" s="73" customFormat="1">
      <c r="A24" s="76"/>
      <c r="C24" s="81"/>
      <c r="D24" s="489"/>
      <c r="E24" s="489"/>
      <c r="F24" s="489"/>
      <c r="G24" s="489"/>
      <c r="H24" s="489"/>
      <c r="I24" s="489"/>
    </row>
    <row r="25" spans="1:9" s="73" customFormat="1" ht="14.25">
      <c r="B25" s="81" t="s">
        <v>730</v>
      </c>
      <c r="C25" s="507">
        <f>IFERROR(LOOKUP(C13,B14:C18),"/")</f>
        <v>0</v>
      </c>
      <c r="D25" s="378" t="s">
        <v>721</v>
      </c>
      <c r="E25" s="489"/>
      <c r="F25" s="489"/>
      <c r="G25" s="489"/>
      <c r="H25" s="489"/>
      <c r="I25" s="489"/>
    </row>
    <row r="26" spans="1:9" s="73" customFormat="1" ht="14.25">
      <c r="B26" s="81" t="s">
        <v>731</v>
      </c>
      <c r="C26" s="507" cm="1">
        <f t="array" ref="C26">IFERROR(INDEX(C14:C19,MATCH(C13,B14:B18)+1),"/")</f>
        <v>0</v>
      </c>
      <c r="D26" s="378" t="s">
        <v>721</v>
      </c>
      <c r="E26" s="489"/>
      <c r="F26" s="489"/>
      <c r="G26" s="489"/>
      <c r="H26" s="489"/>
      <c r="I26" s="489"/>
    </row>
    <row r="27" spans="1:9" s="73" customFormat="1">
      <c r="B27" s="81" t="s">
        <v>618</v>
      </c>
      <c r="C27" s="531">
        <f>IFERROR(C25*C10,0)</f>
        <v>0</v>
      </c>
      <c r="D27" s="378" t="s">
        <v>723</v>
      </c>
      <c r="E27" s="489"/>
      <c r="F27" s="489"/>
      <c r="G27" s="489"/>
      <c r="H27" s="489"/>
      <c r="I27" s="489"/>
    </row>
    <row r="28" spans="1:9" s="73" customFormat="1">
      <c r="B28" s="81" t="s">
        <v>619</v>
      </c>
      <c r="C28" s="531">
        <f>IFERROR(C26*C10,0)</f>
        <v>0</v>
      </c>
      <c r="D28" s="378" t="s">
        <v>723</v>
      </c>
      <c r="E28" s="489"/>
      <c r="F28" s="489"/>
      <c r="G28" s="489"/>
      <c r="H28" s="489"/>
      <c r="I28" s="489"/>
    </row>
    <row r="29" spans="1:9" s="73" customFormat="1">
      <c r="A29" s="76"/>
      <c r="C29" s="291"/>
      <c r="D29" s="203"/>
      <c r="E29" s="203"/>
      <c r="F29" s="203"/>
    </row>
    <row r="30" spans="1:9" s="73" customFormat="1">
      <c r="A30" s="76"/>
      <c r="B30" s="203" t="str">
        <f>'OSNOVNI PODATKI'!A41</f>
        <v>STAVBA 2 / DEL 2</v>
      </c>
      <c r="C30" s="533">
        <f>'OSNOVNI PODATKI'!E41</f>
        <v>0</v>
      </c>
      <c r="D30" s="203"/>
      <c r="E30" s="203"/>
      <c r="F30" s="203"/>
    </row>
    <row r="31" spans="1:9" s="73" customFormat="1">
      <c r="A31" s="76"/>
      <c r="B31" s="198" t="s">
        <v>617</v>
      </c>
      <c r="C31" s="81" t="str">
        <f>'OSNOVNI PODATKI'!E42</f>
        <v>6. Nepodkletene eno in dvostanovanjske stavbe, srednji standard</v>
      </c>
      <c r="D31" s="489"/>
      <c r="E31" s="489"/>
      <c r="F31" s="489"/>
      <c r="G31" s="489"/>
      <c r="H31" s="489"/>
      <c r="I31" s="489"/>
    </row>
    <row r="32" spans="1:9" s="73" customFormat="1">
      <c r="A32" s="76"/>
      <c r="B32" s="198" t="s">
        <v>788</v>
      </c>
      <c r="C32" s="81">
        <f>'OSNOVNI PODATKI'!E43</f>
        <v>0</v>
      </c>
      <c r="D32" s="489"/>
      <c r="E32" s="489"/>
      <c r="F32" s="489"/>
      <c r="G32" s="489"/>
      <c r="H32" s="489"/>
      <c r="I32" s="489"/>
    </row>
    <row r="33" spans="1:9" s="73" customFormat="1">
      <c r="A33" s="76"/>
      <c r="B33" s="198" t="s">
        <v>789</v>
      </c>
      <c r="C33" s="81">
        <f>IF($C$5=1,$C$6,C32)</f>
        <v>0</v>
      </c>
      <c r="D33" s="489"/>
      <c r="E33" s="489"/>
      <c r="F33" s="489"/>
      <c r="G33" s="489"/>
      <c r="H33" s="489"/>
      <c r="I33" s="489"/>
    </row>
    <row r="34" spans="1:9" s="73" customFormat="1">
      <c r="A34" s="76"/>
      <c r="B34" s="530" t="s">
        <v>729</v>
      </c>
      <c r="C34" s="529">
        <f>'OSNOVNI PODATKI'!E53</f>
        <v>230.59999999999991</v>
      </c>
      <c r="D34" s="489"/>
      <c r="E34" s="489"/>
      <c r="F34" s="489"/>
      <c r="G34" s="489"/>
      <c r="H34" s="489"/>
      <c r="I34" s="489"/>
    </row>
    <row r="35" spans="1:9" s="73" customFormat="1">
      <c r="A35" s="76"/>
      <c r="B35" s="198" t="s">
        <v>100</v>
      </c>
      <c r="C35" s="81" t="str">
        <f>'OSNOVNI PODATKI'!E45</f>
        <v>Cenovni razred III</v>
      </c>
      <c r="D35" s="489"/>
      <c r="E35" s="489"/>
      <c r="F35" s="489"/>
      <c r="G35" s="489"/>
      <c r="H35" s="489"/>
      <c r="I35" s="489"/>
    </row>
    <row r="36" spans="1:9" s="73" customFormat="1">
      <c r="A36" s="76"/>
      <c r="B36" s="522" t="s">
        <v>70</v>
      </c>
      <c r="C36" s="523">
        <f>IFERROR(0.0132*POWER((45%*C42+10%)*C33*(1000+C34),0.7854)/C33,0)</f>
        <v>0</v>
      </c>
      <c r="D36" s="524" t="s">
        <v>722</v>
      </c>
      <c r="E36" s="203"/>
      <c r="F36" s="203"/>
    </row>
    <row r="37" spans="1:9" s="73" customFormat="1">
      <c r="A37" s="76"/>
      <c r="B37" s="525" t="s">
        <v>71</v>
      </c>
      <c r="C37" s="526">
        <f>IFERROR(0.0147*POWER((45%*C42+10%)*C33*(1000+C34),0.7854)/C33,0)</f>
        <v>0</v>
      </c>
      <c r="D37" s="488" t="s">
        <v>722</v>
      </c>
      <c r="E37" s="203"/>
      <c r="F37" s="203"/>
    </row>
    <row r="38" spans="1:9" s="73" customFormat="1">
      <c r="A38" s="76"/>
      <c r="B38" s="525" t="s">
        <v>72</v>
      </c>
      <c r="C38" s="526">
        <f>IFERROR(0.019*POWER((45%*C42+10%)*C33*(1000+C34),0.7841)/C33,0)</f>
        <v>0</v>
      </c>
      <c r="D38" s="488" t="s">
        <v>722</v>
      </c>
      <c r="E38" s="203"/>
      <c r="F38" s="203"/>
    </row>
    <row r="39" spans="1:9" s="73" customFormat="1">
      <c r="A39" s="76"/>
      <c r="B39" s="525" t="s">
        <v>73</v>
      </c>
      <c r="C39" s="526">
        <f>IFERROR(0.0232*POWER((45%*C42+10%)*C33*(1000+C34),0.7856)/C33,0)</f>
        <v>0</v>
      </c>
      <c r="D39" s="488" t="s">
        <v>722</v>
      </c>
      <c r="E39" s="203"/>
      <c r="F39" s="203"/>
    </row>
    <row r="40" spans="1:9" s="73" customFormat="1">
      <c r="A40" s="76"/>
      <c r="B40" s="525" t="s">
        <v>74</v>
      </c>
      <c r="C40" s="526">
        <f>IFERROR(0.0277*POWER((45%*C42+10%)*C33*(1000+C34),0.7843)/C33,0)</f>
        <v>0</v>
      </c>
      <c r="D40" s="488" t="s">
        <v>722</v>
      </c>
      <c r="E40" s="203"/>
      <c r="F40" s="203"/>
    </row>
    <row r="41" spans="1:9" s="73" customFormat="1">
      <c r="A41" s="76"/>
      <c r="B41" s="527" t="s">
        <v>728</v>
      </c>
      <c r="C41" s="528">
        <f>IFERROR(0.0291*POWER((45%*C42+10%)*C33*(1000+C34),0.7843)/C33,0)</f>
        <v>0</v>
      </c>
      <c r="D41" s="486" t="s">
        <v>722</v>
      </c>
      <c r="E41" s="203"/>
      <c r="F41" s="203"/>
    </row>
    <row r="42" spans="1:9" s="73" customFormat="1">
      <c r="A42" s="76"/>
      <c r="B42" s="525" t="str">
        <f>'OSNOVNI PODATKI'!B59</f>
        <v>GRADBENO OBRTNIŠKA DELA (GO)</v>
      </c>
      <c r="C42" s="625">
        <f>'OSNOVNI PODATKI'!D59</f>
        <v>0.80800000000000005</v>
      </c>
      <c r="D42" s="623"/>
      <c r="E42" s="831">
        <f>C42*$C$11*(1000+$C$12)</f>
        <v>0</v>
      </c>
      <c r="F42" s="203"/>
      <c r="I42" s="624">
        <f>+E42*0.55+(E43+E44+E45)*0.1</f>
        <v>0</v>
      </c>
    </row>
    <row r="43" spans="1:9" s="73" customFormat="1">
      <c r="A43" s="76"/>
      <c r="B43" s="525" t="str">
        <f>'OSNOVNI PODATKI'!B60</f>
        <v>ELEKTRIČNE INŠTALACIJE (EI)</v>
      </c>
      <c r="C43" s="625">
        <f>'OSNOVNI PODATKI'!D60</f>
        <v>4.4544000000000007E-2</v>
      </c>
      <c r="D43" s="623"/>
      <c r="E43" s="831">
        <f t="shared" ref="E43:E45" si="1">C43*$C$11*(1000+$C$12)</f>
        <v>0</v>
      </c>
      <c r="F43" s="203"/>
      <c r="I43" s="1266">
        <f>45%*C42+10%</f>
        <v>0.46360000000000001</v>
      </c>
    </row>
    <row r="44" spans="1:9" s="73" customFormat="1">
      <c r="A44" s="76"/>
      <c r="B44" s="525" t="str">
        <f>'OSNOVNI PODATKI'!B61</f>
        <v>STROJNE INŠTALACIJE (SI)</v>
      </c>
      <c r="C44" s="625">
        <f>'OSNOVNI PODATKI'!D61</f>
        <v>0.14764799999999997</v>
      </c>
      <c r="D44" s="623"/>
      <c r="E44" s="831">
        <f t="shared" si="1"/>
        <v>0</v>
      </c>
      <c r="F44" s="203"/>
    </row>
    <row r="45" spans="1:9" s="73" customFormat="1">
      <c r="A45" s="76"/>
      <c r="B45" s="525" t="str">
        <f>'OSNOVNI PODATKI'!B62</f>
        <v>TEHNOLOGIJA (TH)</v>
      </c>
      <c r="C45" s="625">
        <f>'OSNOVNI PODATKI'!D62</f>
        <v>0</v>
      </c>
      <c r="D45" s="623"/>
      <c r="E45" s="831">
        <f t="shared" si="1"/>
        <v>0</v>
      </c>
      <c r="F45" s="203"/>
    </row>
    <row r="46" spans="1:9" s="73" customFormat="1">
      <c r="A46" s="76"/>
      <c r="C46" s="81"/>
      <c r="D46" s="489"/>
      <c r="E46" s="489"/>
      <c r="F46" s="489"/>
      <c r="G46" s="489"/>
      <c r="H46" s="489"/>
      <c r="I46" s="489"/>
    </row>
    <row r="47" spans="1:9" s="73" customFormat="1" ht="14.25">
      <c r="B47" s="81" t="s">
        <v>730</v>
      </c>
      <c r="C47" s="507">
        <f>IFERROR(LOOKUP(C35,B36:C40),"/")</f>
        <v>0</v>
      </c>
      <c r="D47" s="378" t="s">
        <v>721</v>
      </c>
      <c r="E47" s="489"/>
      <c r="F47" s="489"/>
      <c r="G47" s="489"/>
      <c r="H47" s="489"/>
      <c r="I47" s="489"/>
    </row>
    <row r="48" spans="1:9" s="73" customFormat="1" ht="14.25">
      <c r="B48" s="81" t="s">
        <v>731</v>
      </c>
      <c r="C48" s="507" cm="1">
        <f t="array" ref="C48">IFERROR(INDEX(C36:C41,MATCH(C35,B36:B40)+1),"/")</f>
        <v>0</v>
      </c>
      <c r="D48" s="378" t="s">
        <v>721</v>
      </c>
      <c r="E48" s="489"/>
      <c r="F48" s="489"/>
      <c r="G48" s="489"/>
      <c r="H48" s="489"/>
      <c r="I48" s="489"/>
    </row>
    <row r="49" spans="1:9" s="73" customFormat="1">
      <c r="B49" s="81" t="s">
        <v>618</v>
      </c>
      <c r="C49" s="531">
        <f>IFERROR(C47*C32,0)</f>
        <v>0</v>
      </c>
      <c r="D49" s="378" t="s">
        <v>723</v>
      </c>
      <c r="E49" s="489"/>
      <c r="F49" s="489"/>
      <c r="G49" s="489"/>
      <c r="H49" s="489"/>
      <c r="I49" s="489"/>
    </row>
    <row r="50" spans="1:9" s="73" customFormat="1">
      <c r="B50" s="81" t="s">
        <v>619</v>
      </c>
      <c r="C50" s="531">
        <f>IFERROR(C48*C32,0)</f>
        <v>0</v>
      </c>
      <c r="D50" s="378" t="s">
        <v>723</v>
      </c>
      <c r="E50" s="489"/>
      <c r="F50" s="489"/>
      <c r="G50" s="489"/>
      <c r="H50" s="489"/>
      <c r="I50" s="489"/>
    </row>
    <row r="51" spans="1:9" s="73" customFormat="1">
      <c r="A51" s="76"/>
      <c r="C51" s="203"/>
      <c r="D51" s="203"/>
      <c r="E51" s="203"/>
      <c r="F51" s="203"/>
    </row>
    <row r="52" spans="1:9" s="73" customFormat="1">
      <c r="A52" s="76"/>
      <c r="B52" s="203" t="str">
        <f>'OSNOVNI PODATKI'!A67</f>
        <v>STAVBA 3 / DEL 3</v>
      </c>
      <c r="C52" s="533">
        <f>'OSNOVNI PODATKI'!E67</f>
        <v>0</v>
      </c>
      <c r="D52" s="203"/>
      <c r="E52" s="203"/>
      <c r="F52" s="203"/>
    </row>
    <row r="53" spans="1:9" s="73" customFormat="1">
      <c r="A53" s="76"/>
      <c r="B53" s="198" t="s">
        <v>617</v>
      </c>
      <c r="C53" s="81" t="str">
        <f>'OSNOVNI PODATKI'!E68</f>
        <v>47. Hoteli, moteli</v>
      </c>
      <c r="D53" s="489"/>
      <c r="E53" s="489"/>
      <c r="F53" s="489"/>
      <c r="G53" s="489"/>
      <c r="H53" s="489"/>
      <c r="I53" s="489"/>
    </row>
    <row r="54" spans="1:9" s="73" customFormat="1">
      <c r="A54" s="76"/>
      <c r="B54" s="198" t="s">
        <v>788</v>
      </c>
      <c r="C54" s="81">
        <f>'OSNOVNI PODATKI'!E69</f>
        <v>0</v>
      </c>
      <c r="D54" s="489"/>
      <c r="E54" s="489"/>
      <c r="F54" s="489"/>
      <c r="G54" s="489"/>
      <c r="H54" s="489"/>
      <c r="I54" s="489"/>
    </row>
    <row r="55" spans="1:9" s="73" customFormat="1">
      <c r="A55" s="76"/>
      <c r="B55" s="198" t="s">
        <v>789</v>
      </c>
      <c r="C55" s="81">
        <f>IF($C$5=1,$C$6,C54)</f>
        <v>0</v>
      </c>
      <c r="D55" s="489"/>
      <c r="E55" s="489"/>
      <c r="F55" s="489"/>
      <c r="G55" s="489"/>
      <c r="H55" s="489"/>
      <c r="I55" s="489"/>
    </row>
    <row r="56" spans="1:9" s="73" customFormat="1">
      <c r="A56" s="76"/>
      <c r="B56" s="530" t="s">
        <v>729</v>
      </c>
      <c r="C56" s="529">
        <f>'OSNOVNI PODATKI'!E79</f>
        <v>646.40000000000009</v>
      </c>
      <c r="D56" s="489"/>
      <c r="E56" s="489"/>
      <c r="F56" s="489"/>
      <c r="G56" s="489"/>
      <c r="H56" s="489"/>
      <c r="I56" s="489"/>
    </row>
    <row r="57" spans="1:9" s="73" customFormat="1">
      <c r="A57" s="76"/>
      <c r="B57" s="198" t="s">
        <v>100</v>
      </c>
      <c r="C57" s="81" t="str">
        <f>'OSNOVNI PODATKI'!E46</f>
        <v>Cenovni razred II</v>
      </c>
      <c r="D57" s="489"/>
      <c r="E57" s="489"/>
      <c r="F57" s="489"/>
      <c r="G57" s="489"/>
      <c r="H57" s="489"/>
      <c r="I57" s="489"/>
    </row>
    <row r="58" spans="1:9" s="73" customFormat="1">
      <c r="A58" s="76"/>
      <c r="B58" s="522" t="s">
        <v>70</v>
      </c>
      <c r="C58" s="523">
        <f>IFERROR(0.0132*POWER((45%*C64+10%)*C55*(1000+C56),0.7854)/C55,0)</f>
        <v>0</v>
      </c>
      <c r="D58" s="524" t="s">
        <v>722</v>
      </c>
      <c r="E58" s="203"/>
      <c r="F58" s="203"/>
    </row>
    <row r="59" spans="1:9" s="73" customFormat="1">
      <c r="A59" s="76"/>
      <c r="B59" s="525" t="s">
        <v>71</v>
      </c>
      <c r="C59" s="526">
        <f>IFERROR(0.0147*POWER((45%*C64+10%)*C55*(1000+C56),0.7854)/C55,0)</f>
        <v>0</v>
      </c>
      <c r="D59" s="488" t="s">
        <v>722</v>
      </c>
      <c r="E59" s="203"/>
      <c r="F59" s="203"/>
    </row>
    <row r="60" spans="1:9" s="73" customFormat="1">
      <c r="A60" s="76"/>
      <c r="B60" s="525" t="s">
        <v>72</v>
      </c>
      <c r="C60" s="526">
        <f>IFERROR(0.019*POWER((45%*C64+10%)*C55*(1000+C56),0.7841)/C55,0)</f>
        <v>0</v>
      </c>
      <c r="D60" s="488" t="s">
        <v>722</v>
      </c>
      <c r="E60" s="203"/>
      <c r="F60" s="203"/>
    </row>
    <row r="61" spans="1:9" s="73" customFormat="1">
      <c r="A61" s="76"/>
      <c r="B61" s="525" t="s">
        <v>73</v>
      </c>
      <c r="C61" s="526">
        <f>IFERROR(0.0232*POWER((45%*C64+10%)*C55*(1000+C56),0.7856)/C55,0)</f>
        <v>0</v>
      </c>
      <c r="D61" s="488" t="s">
        <v>722</v>
      </c>
      <c r="E61" s="203"/>
      <c r="F61" s="203"/>
    </row>
    <row r="62" spans="1:9" s="73" customFormat="1">
      <c r="A62" s="76"/>
      <c r="B62" s="525" t="s">
        <v>74</v>
      </c>
      <c r="C62" s="526">
        <f>IFERROR(0.0277*POWER((45%*C64+10%)*C55*(1000+C56),0.7843)/C55,0)</f>
        <v>0</v>
      </c>
      <c r="D62" s="488" t="s">
        <v>722</v>
      </c>
      <c r="E62" s="203"/>
      <c r="F62" s="203"/>
    </row>
    <row r="63" spans="1:9" s="73" customFormat="1">
      <c r="A63" s="76"/>
      <c r="B63" s="527" t="s">
        <v>728</v>
      </c>
      <c r="C63" s="528">
        <f>IFERROR(0.0291*POWER((45%*C64+10%)*C55*(1000+C56),0.7843)/C55,0)</f>
        <v>0</v>
      </c>
      <c r="D63" s="486" t="s">
        <v>722</v>
      </c>
      <c r="E63" s="203"/>
      <c r="F63" s="203"/>
    </row>
    <row r="64" spans="1:9" s="73" customFormat="1">
      <c r="A64" s="76"/>
      <c r="B64" s="525" t="str">
        <f>'OSNOVNI PODATKI'!B85</f>
        <v>GRADBENO OBRTNIŠKA DELA (GO)</v>
      </c>
      <c r="C64" s="625">
        <f>'OSNOVNI PODATKI'!D85</f>
        <v>0.70399999999999996</v>
      </c>
      <c r="D64" s="623"/>
      <c r="E64" s="831">
        <f>C64*$C$11*(1000+$C$12)</f>
        <v>0</v>
      </c>
      <c r="F64" s="203"/>
    </row>
    <row r="65" spans="1:9" s="73" customFormat="1">
      <c r="A65" s="76"/>
      <c r="B65" s="525" t="str">
        <f>'OSNOVNI PODATKI'!B86</f>
        <v>ELEKTRIČNE INŠTALACIJE (EI)</v>
      </c>
      <c r="C65" s="625">
        <f>'OSNOVNI PODATKI'!D86</f>
        <v>0.13506720000000003</v>
      </c>
      <c r="D65" s="623"/>
      <c r="E65" s="831">
        <f t="shared" ref="E65:E67" si="2">C65*$C$11*(1000+$C$12)</f>
        <v>0</v>
      </c>
      <c r="F65" s="203"/>
    </row>
    <row r="66" spans="1:9" s="73" customFormat="1">
      <c r="A66" s="76"/>
      <c r="B66" s="525" t="str">
        <f>'OSNOVNI PODATKI'!B87</f>
        <v>STROJNE INŠTALACIJE (SI)</v>
      </c>
      <c r="C66" s="625">
        <f>'OSNOVNI PODATKI'!D87</f>
        <v>0.118992</v>
      </c>
      <c r="D66" s="623"/>
      <c r="E66" s="831">
        <f t="shared" si="2"/>
        <v>0</v>
      </c>
      <c r="F66" s="203"/>
    </row>
    <row r="67" spans="1:9" s="73" customFormat="1">
      <c r="A67" s="76"/>
      <c r="B67" s="525" t="str">
        <f>'OSNOVNI PODATKI'!B88</f>
        <v>TEHNOLOGIJA (TH)</v>
      </c>
      <c r="C67" s="625">
        <f>'OSNOVNI PODATKI'!D88</f>
        <v>4.1736000000000002E-2</v>
      </c>
      <c r="D67" s="623"/>
      <c r="E67" s="831">
        <f t="shared" si="2"/>
        <v>0</v>
      </c>
      <c r="F67" s="203"/>
    </row>
    <row r="68" spans="1:9" s="73" customFormat="1">
      <c r="A68" s="76"/>
      <c r="C68" s="81"/>
      <c r="D68" s="489"/>
      <c r="E68" s="489"/>
      <c r="F68" s="489"/>
      <c r="G68" s="489"/>
      <c r="H68" s="489"/>
      <c r="I68" s="489"/>
    </row>
    <row r="69" spans="1:9" s="73" customFormat="1" ht="14.25">
      <c r="B69" s="81" t="s">
        <v>730</v>
      </c>
      <c r="C69" s="507">
        <f>IFERROR(LOOKUP(C57,B58:C62),"/")</f>
        <v>0</v>
      </c>
      <c r="D69" s="378" t="s">
        <v>721</v>
      </c>
      <c r="E69" s="489"/>
      <c r="F69" s="489"/>
      <c r="G69" s="489"/>
      <c r="H69" s="489"/>
      <c r="I69" s="489"/>
    </row>
    <row r="70" spans="1:9" s="73" customFormat="1" ht="14.25">
      <c r="B70" s="81" t="s">
        <v>731</v>
      </c>
      <c r="C70" s="507" cm="1">
        <f t="array" ref="C70">IFERROR(INDEX(C58:C63,MATCH(C57,B58:B62)+1),"/")</f>
        <v>0</v>
      </c>
      <c r="D70" s="378" t="s">
        <v>721</v>
      </c>
      <c r="E70" s="489"/>
      <c r="F70" s="489"/>
      <c r="G70" s="489"/>
      <c r="H70" s="489"/>
      <c r="I70" s="489"/>
    </row>
    <row r="71" spans="1:9" s="73" customFormat="1">
      <c r="B71" s="81" t="s">
        <v>618</v>
      </c>
      <c r="C71" s="531">
        <f>IFERROR(C69*C54,0)</f>
        <v>0</v>
      </c>
      <c r="D71" s="378" t="s">
        <v>723</v>
      </c>
      <c r="E71" s="489"/>
      <c r="F71" s="489"/>
      <c r="G71" s="489"/>
      <c r="H71" s="489"/>
      <c r="I71" s="489"/>
    </row>
    <row r="72" spans="1:9" s="73" customFormat="1">
      <c r="B72" s="81" t="s">
        <v>619</v>
      </c>
      <c r="C72" s="531">
        <f>IFERROR(C70*C54,0)</f>
        <v>0</v>
      </c>
      <c r="D72" s="378" t="s">
        <v>723</v>
      </c>
      <c r="E72" s="489"/>
      <c r="F72" s="489"/>
      <c r="G72" s="489"/>
      <c r="H72" s="489"/>
      <c r="I72" s="489"/>
    </row>
    <row r="73" spans="1:9" s="73" customFormat="1">
      <c r="A73" s="76"/>
      <c r="C73" s="203"/>
      <c r="D73" s="203"/>
      <c r="E73" s="203"/>
      <c r="F73" s="203"/>
    </row>
    <row r="74" spans="1:9" s="73" customFormat="1">
      <c r="A74" s="76"/>
      <c r="B74" s="203" t="str">
        <f>'OSNOVNI PODATKI'!A93</f>
        <v>STAVBA 4 / DEL 4</v>
      </c>
      <c r="C74" s="533">
        <f>'OSNOVNI PODATKI'!E93</f>
        <v>0</v>
      </c>
      <c r="D74" s="203"/>
      <c r="E74" s="203"/>
      <c r="F74" s="203"/>
    </row>
    <row r="75" spans="1:9" s="73" customFormat="1">
      <c r="A75" s="76"/>
      <c r="B75" s="198" t="s">
        <v>617</v>
      </c>
      <c r="C75" s="81" t="str">
        <f>'OSNOVNI PODATKI'!E94</f>
        <v>17. Šole z nadpovprečnimi načrtovalskimi potrebami - izobraževalni centri, visoke šole, univerze, akademije</v>
      </c>
      <c r="D75" s="489"/>
      <c r="E75" s="489"/>
      <c r="F75" s="489"/>
      <c r="G75" s="489"/>
      <c r="H75" s="489"/>
      <c r="I75" s="489"/>
    </row>
    <row r="76" spans="1:9" s="73" customFormat="1">
      <c r="A76" s="76"/>
      <c r="B76" s="198" t="s">
        <v>788</v>
      </c>
      <c r="C76" s="81">
        <f>'OSNOVNI PODATKI'!E95</f>
        <v>0</v>
      </c>
      <c r="D76" s="489"/>
      <c r="E76" s="489"/>
      <c r="F76" s="489"/>
      <c r="G76" s="489"/>
      <c r="H76" s="489"/>
      <c r="I76" s="489"/>
    </row>
    <row r="77" spans="1:9" s="73" customFormat="1">
      <c r="A77" s="76"/>
      <c r="B77" s="198" t="s">
        <v>789</v>
      </c>
      <c r="C77" s="81">
        <f>IF($C$5=1,$C$6,C76)</f>
        <v>0</v>
      </c>
      <c r="D77" s="489"/>
      <c r="E77" s="489"/>
      <c r="F77" s="489"/>
      <c r="G77" s="489"/>
      <c r="H77" s="489"/>
      <c r="I77" s="489"/>
    </row>
    <row r="78" spans="1:9" s="73" customFormat="1">
      <c r="A78" s="76"/>
      <c r="B78" s="530" t="s">
        <v>729</v>
      </c>
      <c r="C78" s="529">
        <f>'OSNOVNI PODATKI'!E105</f>
        <v>785</v>
      </c>
      <c r="D78" s="489"/>
      <c r="E78" s="489"/>
      <c r="F78" s="489"/>
      <c r="G78" s="489"/>
      <c r="H78" s="489"/>
      <c r="I78" s="489"/>
    </row>
    <row r="79" spans="1:9" s="73" customFormat="1">
      <c r="A79" s="76"/>
      <c r="B79" s="198" t="s">
        <v>100</v>
      </c>
      <c r="C79" s="81" t="str">
        <f>'OSNOVNI PODATKI'!E97</f>
        <v>Cenovni razred III</v>
      </c>
      <c r="D79" s="489"/>
      <c r="E79" s="489"/>
      <c r="F79" s="489"/>
      <c r="G79" s="489"/>
      <c r="H79" s="489"/>
      <c r="I79" s="489"/>
    </row>
    <row r="80" spans="1:9" s="73" customFormat="1">
      <c r="A80" s="76"/>
      <c r="B80" s="522" t="s">
        <v>70</v>
      </c>
      <c r="C80" s="523">
        <f>IFERROR(0.0132*POWER((45%*C86+10%)*C77*(1000+C78),0.7854)/C77,0)</f>
        <v>0</v>
      </c>
      <c r="D80" s="524" t="s">
        <v>722</v>
      </c>
      <c r="E80" s="203"/>
      <c r="F80" s="203"/>
    </row>
    <row r="81" spans="1:9" s="73" customFormat="1">
      <c r="A81" s="76"/>
      <c r="B81" s="525" t="s">
        <v>71</v>
      </c>
      <c r="C81" s="526">
        <f>IFERROR(0.0147*POWER((45%*C86+10%)*C77*(1000+C78),0.7854)/C77,0)</f>
        <v>0</v>
      </c>
      <c r="D81" s="488" t="s">
        <v>722</v>
      </c>
      <c r="E81" s="203"/>
      <c r="F81" s="203"/>
    </row>
    <row r="82" spans="1:9" s="73" customFormat="1">
      <c r="A82" s="76"/>
      <c r="B82" s="525" t="s">
        <v>72</v>
      </c>
      <c r="C82" s="526">
        <f>IFERROR(0.019*POWER((45%*C86+10%)*C77*(1000+C78),0.7841)/C77,0)</f>
        <v>0</v>
      </c>
      <c r="D82" s="488" t="s">
        <v>722</v>
      </c>
      <c r="E82" s="203"/>
      <c r="F82" s="203"/>
    </row>
    <row r="83" spans="1:9" s="73" customFormat="1">
      <c r="A83" s="76"/>
      <c r="B83" s="525" t="s">
        <v>73</v>
      </c>
      <c r="C83" s="526">
        <f>IFERROR(0.0232*POWER((45%*C86+10%)*C77*(1000+C78),0.7856)/C77,0)</f>
        <v>0</v>
      </c>
      <c r="D83" s="488" t="s">
        <v>722</v>
      </c>
      <c r="E83" s="203"/>
      <c r="F83" s="203"/>
    </row>
    <row r="84" spans="1:9" s="73" customFormat="1">
      <c r="A84" s="76"/>
      <c r="B84" s="525" t="s">
        <v>74</v>
      </c>
      <c r="C84" s="526">
        <f>IFERROR(0.0277*POWER((45%*C86+10%)*C77*(1000+C78),0.7843)/C77,0)</f>
        <v>0</v>
      </c>
      <c r="D84" s="488" t="s">
        <v>722</v>
      </c>
      <c r="E84" s="203"/>
      <c r="F84" s="203"/>
    </row>
    <row r="85" spans="1:9" s="73" customFormat="1">
      <c r="A85" s="76"/>
      <c r="B85" s="527" t="s">
        <v>728</v>
      </c>
      <c r="C85" s="528">
        <f>IFERROR(0.0291*POWER((45%*C86+10%)*C77*(1000+C78),0.7843)/C77,0)</f>
        <v>0</v>
      </c>
      <c r="D85" s="486" t="s">
        <v>722</v>
      </c>
      <c r="E85" s="203"/>
      <c r="F85" s="203"/>
    </row>
    <row r="86" spans="1:9" s="73" customFormat="1">
      <c r="A86" s="76"/>
      <c r="B86" s="525" t="str">
        <f>'OSNOVNI PODATKI'!B111</f>
        <v>GRADBENO OBRTNIŠKA DELA (GO)</v>
      </c>
      <c r="C86" s="625">
        <f>'OSNOVNI PODATKI'!D111</f>
        <v>0.76200000000000001</v>
      </c>
      <c r="D86" s="623"/>
      <c r="E86" s="831">
        <f>C86*$C$11*(1000+$C$12)</f>
        <v>0</v>
      </c>
      <c r="F86" s="203"/>
    </row>
    <row r="87" spans="1:9" s="73" customFormat="1">
      <c r="A87" s="76"/>
      <c r="B87" s="525" t="str">
        <f>'OSNOVNI PODATKI'!B112</f>
        <v>ELEKTRIČNE INŠTALACIJE (EI)</v>
      </c>
      <c r="C87" s="625">
        <f>'OSNOVNI PODATKI'!D112</f>
        <v>7.9730000000000009E-2</v>
      </c>
      <c r="D87" s="623"/>
      <c r="E87" s="831">
        <f t="shared" ref="E87:E89" si="3">C87*$C$11*(1000+$C$12)</f>
        <v>0</v>
      </c>
      <c r="F87" s="203"/>
    </row>
    <row r="88" spans="1:9" s="73" customFormat="1">
      <c r="A88" s="76"/>
      <c r="B88" s="525" t="str">
        <f>'OSNOVNI PODATKI'!B113</f>
        <v>STROJNE INŠTALACIJE (SI)</v>
      </c>
      <c r="C88" s="625">
        <f>'OSNOVNI PODATKI'!D113</f>
        <v>0.11876200000000001</v>
      </c>
      <c r="D88" s="623"/>
      <c r="E88" s="831">
        <f t="shared" si="3"/>
        <v>0</v>
      </c>
      <c r="F88" s="203"/>
    </row>
    <row r="89" spans="1:9" s="73" customFormat="1">
      <c r="A89" s="76"/>
      <c r="B89" s="525" t="str">
        <f>'OSNOVNI PODATKI'!B114</f>
        <v>TEHNOLOGIJA (TH)</v>
      </c>
      <c r="C89" s="625">
        <f>'OSNOVNI PODATKI'!D114</f>
        <v>3.9508000000000008E-2</v>
      </c>
      <c r="D89" s="623"/>
      <c r="E89" s="831">
        <f t="shared" si="3"/>
        <v>0</v>
      </c>
      <c r="F89" s="203"/>
    </row>
    <row r="90" spans="1:9" s="73" customFormat="1">
      <c r="A90" s="76"/>
      <c r="C90" s="81"/>
      <c r="D90" s="489"/>
      <c r="E90" s="489"/>
      <c r="F90" s="489"/>
      <c r="G90" s="489"/>
      <c r="H90" s="489"/>
      <c r="I90" s="489"/>
    </row>
    <row r="91" spans="1:9" s="73" customFormat="1" ht="14.25">
      <c r="B91" s="81" t="s">
        <v>730</v>
      </c>
      <c r="C91" s="507">
        <f>IFERROR(LOOKUP(C79,B80:C84),"/")</f>
        <v>0</v>
      </c>
      <c r="D91" s="378" t="s">
        <v>721</v>
      </c>
      <c r="E91" s="489"/>
      <c r="F91" s="489"/>
      <c r="G91" s="489"/>
      <c r="H91" s="489"/>
      <c r="I91" s="489"/>
    </row>
    <row r="92" spans="1:9" s="73" customFormat="1" ht="14.25">
      <c r="B92" s="81" t="s">
        <v>731</v>
      </c>
      <c r="C92" s="507" cm="1">
        <f t="array" ref="C92">IFERROR(INDEX(C80:C85,MATCH(C79,B80:B84)+1),"/")</f>
        <v>0</v>
      </c>
      <c r="D92" s="378" t="s">
        <v>721</v>
      </c>
      <c r="E92" s="489"/>
      <c r="F92" s="489"/>
      <c r="G92" s="489"/>
      <c r="H92" s="489"/>
      <c r="I92" s="489"/>
    </row>
    <row r="93" spans="1:9" s="73" customFormat="1">
      <c r="B93" s="81" t="s">
        <v>618</v>
      </c>
      <c r="C93" s="531">
        <f>IFERROR(C91*C76,0)</f>
        <v>0</v>
      </c>
      <c r="D93" s="378" t="s">
        <v>723</v>
      </c>
      <c r="E93" s="489"/>
      <c r="F93" s="489"/>
      <c r="G93" s="489"/>
      <c r="H93" s="489"/>
      <c r="I93" s="489"/>
    </row>
    <row r="94" spans="1:9" s="73" customFormat="1">
      <c r="B94" s="81" t="s">
        <v>619</v>
      </c>
      <c r="C94" s="531">
        <f>IFERROR(C92*C76,0)</f>
        <v>0</v>
      </c>
      <c r="D94" s="378" t="s">
        <v>723</v>
      </c>
      <c r="E94" s="489"/>
      <c r="F94" s="489"/>
      <c r="G94" s="489"/>
      <c r="H94" s="489"/>
      <c r="I94" s="489"/>
    </row>
    <row r="95" spans="1:9" s="73" customFormat="1">
      <c r="A95" s="76"/>
      <c r="C95" s="203"/>
      <c r="D95" s="203"/>
      <c r="E95" s="203"/>
      <c r="F95" s="203"/>
    </row>
    <row r="96" spans="1:9" s="73" customFormat="1">
      <c r="A96" s="76"/>
      <c r="B96" s="203" t="str">
        <f>'OSNOVNI PODATKI'!A119</f>
        <v>STAVBA 5 / DEL 5</v>
      </c>
      <c r="C96" s="533">
        <f>'OSNOVNI PODATKI'!E119</f>
        <v>0</v>
      </c>
      <c r="D96" s="203"/>
      <c r="E96" s="203"/>
      <c r="F96" s="203"/>
    </row>
    <row r="97" spans="1:9" s="73" customFormat="1">
      <c r="A97" s="76"/>
      <c r="B97" s="198" t="s">
        <v>617</v>
      </c>
      <c r="C97" s="81" t="str">
        <f>'OSNOVNI PODATKI'!E120</f>
        <v>22. Pisarniške in upravne stavbe, višji standard</v>
      </c>
      <c r="D97" s="489"/>
      <c r="E97" s="489"/>
      <c r="F97" s="489"/>
      <c r="G97" s="489"/>
      <c r="H97" s="489"/>
      <c r="I97" s="489"/>
    </row>
    <row r="98" spans="1:9" s="73" customFormat="1">
      <c r="A98" s="76"/>
      <c r="B98" s="198" t="s">
        <v>788</v>
      </c>
      <c r="C98" s="81">
        <f>'OSNOVNI PODATKI'!E121</f>
        <v>0</v>
      </c>
      <c r="D98" s="489"/>
      <c r="E98" s="489"/>
      <c r="F98" s="489"/>
      <c r="G98" s="489"/>
      <c r="H98" s="489"/>
      <c r="I98" s="489"/>
    </row>
    <row r="99" spans="1:9" s="73" customFormat="1">
      <c r="A99" s="76"/>
      <c r="B99" s="198" t="s">
        <v>789</v>
      </c>
      <c r="C99" s="81">
        <f>IF($C$5=1,$C$6,C98)</f>
        <v>0</v>
      </c>
      <c r="D99" s="489"/>
      <c r="E99" s="489"/>
      <c r="F99" s="489"/>
      <c r="G99" s="489"/>
      <c r="H99" s="489"/>
      <c r="I99" s="489"/>
    </row>
    <row r="100" spans="1:9" s="73" customFormat="1">
      <c r="A100" s="76"/>
      <c r="B100" s="530" t="s">
        <v>729</v>
      </c>
      <c r="C100" s="529">
        <f>'OSNOVNI PODATKI'!E131</f>
        <v>990.8</v>
      </c>
      <c r="D100" s="489"/>
      <c r="E100" s="489"/>
      <c r="F100" s="489"/>
      <c r="G100" s="489"/>
      <c r="H100" s="489"/>
      <c r="I100" s="489"/>
    </row>
    <row r="101" spans="1:9" s="73" customFormat="1">
      <c r="A101" s="76"/>
      <c r="B101" s="198" t="s">
        <v>100</v>
      </c>
      <c r="C101" s="81" t="str">
        <f>'OSNOVNI PODATKI'!E123</f>
        <v>Cenovni razred III</v>
      </c>
      <c r="D101" s="489"/>
      <c r="E101" s="489"/>
      <c r="F101" s="489"/>
      <c r="G101" s="489"/>
      <c r="H101" s="489"/>
      <c r="I101" s="489"/>
    </row>
    <row r="102" spans="1:9" s="73" customFormat="1">
      <c r="A102" s="76"/>
      <c r="B102" s="522" t="s">
        <v>70</v>
      </c>
      <c r="C102" s="523">
        <f>IFERROR(0.0132*POWER((45%*C108+10%)*C99*(1000+C100),0.7854)/C99,0)</f>
        <v>0</v>
      </c>
      <c r="D102" s="524" t="s">
        <v>722</v>
      </c>
      <c r="E102" s="203"/>
      <c r="F102" s="203"/>
    </row>
    <row r="103" spans="1:9" s="73" customFormat="1">
      <c r="A103" s="76"/>
      <c r="B103" s="525" t="s">
        <v>71</v>
      </c>
      <c r="C103" s="526">
        <f>IFERROR(0.0147*POWER((45%*C108+10%)*C99*(1000+C100),0.7854)/C99,0)</f>
        <v>0</v>
      </c>
      <c r="D103" s="488" t="s">
        <v>722</v>
      </c>
      <c r="E103" s="203"/>
      <c r="F103" s="203"/>
    </row>
    <row r="104" spans="1:9" s="73" customFormat="1">
      <c r="A104" s="76"/>
      <c r="B104" s="525" t="s">
        <v>72</v>
      </c>
      <c r="C104" s="526">
        <f>IFERROR(0.019*POWER((45%*C108+10%)*C99*(1000+C100),0.7841)/C99,0)</f>
        <v>0</v>
      </c>
      <c r="D104" s="488" t="s">
        <v>722</v>
      </c>
      <c r="E104" s="203"/>
      <c r="F104" s="203"/>
    </row>
    <row r="105" spans="1:9" s="73" customFormat="1">
      <c r="A105" s="76"/>
      <c r="B105" s="525" t="s">
        <v>73</v>
      </c>
      <c r="C105" s="526">
        <f>IFERROR(0.0232*POWER((45%*C108+10%)*C99*(1000+C100),0.7856)/C99,0)</f>
        <v>0</v>
      </c>
      <c r="D105" s="488" t="s">
        <v>722</v>
      </c>
      <c r="E105" s="203"/>
      <c r="F105" s="203"/>
    </row>
    <row r="106" spans="1:9" s="73" customFormat="1">
      <c r="A106" s="76"/>
      <c r="B106" s="525" t="s">
        <v>74</v>
      </c>
      <c r="C106" s="526">
        <f>IFERROR(0.0277*POWER((45%*C108+10%)*C99*(1000+C100),0.7843)/C99,0)</f>
        <v>0</v>
      </c>
      <c r="D106" s="488" t="s">
        <v>722</v>
      </c>
      <c r="E106" s="203"/>
      <c r="F106" s="203"/>
    </row>
    <row r="107" spans="1:9" s="73" customFormat="1">
      <c r="A107" s="76"/>
      <c r="B107" s="527" t="s">
        <v>728</v>
      </c>
      <c r="C107" s="528">
        <f>IFERROR(0.0291*POWER((45%*C108+10%)*C99*(1000+C100),0.7843)/C99,0)</f>
        <v>0</v>
      </c>
      <c r="D107" s="486" t="s">
        <v>722</v>
      </c>
      <c r="E107" s="203"/>
      <c r="F107" s="203"/>
    </row>
    <row r="108" spans="1:9" s="73" customFormat="1">
      <c r="A108" s="76"/>
      <c r="B108" s="525" t="str">
        <f>'OSNOVNI PODATKI'!B137</f>
        <v>GRADBENO OBRTNIŠKA DELA (GO)</v>
      </c>
      <c r="C108" s="625">
        <f>'OSNOVNI PODATKI'!D137</f>
        <v>0.73699999999999999</v>
      </c>
      <c r="D108" s="623"/>
      <c r="E108" s="831">
        <f>C108*$C$11*(1000+$C$12)</f>
        <v>0</v>
      </c>
      <c r="F108" s="203"/>
    </row>
    <row r="109" spans="1:9" s="73" customFormat="1">
      <c r="A109" s="76"/>
      <c r="B109" s="525" t="str">
        <f>'OSNOVNI PODATKI'!B133</f>
        <v>INFORMATIVNA OCENA STROŠKOV GRADNJE</v>
      </c>
      <c r="C109" s="625">
        <f>'OSNOVNI PODATKI'!D138</f>
        <v>0.11230100000000003</v>
      </c>
      <c r="D109" s="623"/>
      <c r="E109" s="831">
        <f t="shared" ref="E109:E111" si="4">C109*$C$11*(1000+$C$12)</f>
        <v>0</v>
      </c>
      <c r="F109" s="203"/>
    </row>
    <row r="110" spans="1:9" s="73" customFormat="1">
      <c r="A110" s="76"/>
      <c r="B110" s="525" t="str">
        <f>'OSNOVNI PODATKI'!B134</f>
        <v>INFORMATIVNA VREDNOST STROŠKOV GRADNJE EUR/m2 BTP</v>
      </c>
      <c r="C110" s="625">
        <f>'OSNOVNI PODATKI'!D139</f>
        <v>0.124399</v>
      </c>
      <c r="D110" s="623"/>
      <c r="E110" s="831">
        <f t="shared" si="4"/>
        <v>0</v>
      </c>
      <c r="F110" s="203"/>
    </row>
    <row r="111" spans="1:9" s="73" customFormat="1">
      <c r="A111" s="76"/>
      <c r="B111" s="525" t="str">
        <f>'OSNOVNI PODATKI'!B135</f>
        <v>IZBRANA VREDNOST STROŠKOV GRADNJE EUR/m2 BEP</v>
      </c>
      <c r="C111" s="625">
        <f>'OSNOVNI PODATKI'!D140</f>
        <v>2.6300000000000004E-2</v>
      </c>
      <c r="D111" s="623"/>
      <c r="E111" s="831">
        <f t="shared" si="4"/>
        <v>0</v>
      </c>
      <c r="F111" s="203"/>
    </row>
    <row r="112" spans="1:9" s="73" customFormat="1">
      <c r="A112" s="76"/>
      <c r="C112" s="81"/>
      <c r="D112" s="489"/>
      <c r="E112" s="489"/>
      <c r="F112" s="489"/>
      <c r="G112" s="489"/>
      <c r="H112" s="489"/>
      <c r="I112" s="489"/>
    </row>
    <row r="113" spans="1:9" s="73" customFormat="1" ht="14.25">
      <c r="B113" s="81" t="s">
        <v>730</v>
      </c>
      <c r="C113" s="507">
        <f>IFERROR(LOOKUP(C101,B102:C106),"/")</f>
        <v>0</v>
      </c>
      <c r="D113" s="378" t="s">
        <v>721</v>
      </c>
      <c r="E113" s="489"/>
      <c r="F113" s="489"/>
      <c r="G113" s="489"/>
      <c r="H113" s="489"/>
      <c r="I113" s="489"/>
    </row>
    <row r="114" spans="1:9" s="73" customFormat="1" ht="14.25">
      <c r="B114" s="81" t="s">
        <v>731</v>
      </c>
      <c r="C114" s="507" cm="1">
        <f t="array" ref="C114">IFERROR(INDEX(C102:C107,MATCH(C101,B102:B106)+1),"/")</f>
        <v>0</v>
      </c>
      <c r="D114" s="378" t="s">
        <v>721</v>
      </c>
      <c r="E114" s="489"/>
      <c r="F114" s="489"/>
      <c r="G114" s="489"/>
      <c r="H114" s="489"/>
      <c r="I114" s="489"/>
    </row>
    <row r="115" spans="1:9" s="73" customFormat="1">
      <c r="B115" s="81" t="s">
        <v>618</v>
      </c>
      <c r="C115" s="531">
        <f>IFERROR(C113*C98,0)</f>
        <v>0</v>
      </c>
      <c r="D115" s="378" t="s">
        <v>723</v>
      </c>
      <c r="E115" s="489"/>
      <c r="F115" s="489"/>
      <c r="G115" s="489"/>
      <c r="H115" s="489"/>
      <c r="I115" s="489"/>
    </row>
    <row r="116" spans="1:9" s="73" customFormat="1">
      <c r="B116" s="81" t="s">
        <v>619</v>
      </c>
      <c r="C116" s="531">
        <f>IFERROR(C114*C98,0)</f>
        <v>0</v>
      </c>
      <c r="D116" s="378" t="s">
        <v>723</v>
      </c>
      <c r="E116" s="489"/>
      <c r="F116" s="489"/>
      <c r="G116" s="489"/>
      <c r="H116" s="489"/>
      <c r="I116" s="489"/>
    </row>
    <row r="117" spans="1:9" s="73" customFormat="1">
      <c r="A117" s="76"/>
      <c r="C117" s="203"/>
      <c r="D117" s="203"/>
      <c r="E117" s="203"/>
      <c r="F117" s="203"/>
    </row>
    <row r="118" spans="1:9" s="73" customFormat="1" ht="13.5" thickBot="1">
      <c r="B118" s="74"/>
      <c r="D118" s="74"/>
      <c r="E118" s="74"/>
      <c r="F118" s="79"/>
    </row>
    <row r="119" spans="1:9" s="73" customFormat="1" ht="18.75">
      <c r="A119" s="786" t="s">
        <v>931</v>
      </c>
      <c r="B119" s="786"/>
      <c r="C119" s="786"/>
      <c r="D119" s="786"/>
      <c r="E119" s="786"/>
      <c r="F119" s="786"/>
      <c r="G119" s="786"/>
      <c r="H119" s="786"/>
    </row>
    <row r="120" spans="1:9" s="73" customFormat="1">
      <c r="A120" s="203"/>
      <c r="B120" s="203"/>
      <c r="C120" s="717"/>
      <c r="D120" s="717"/>
      <c r="E120" s="717"/>
      <c r="F120" s="615"/>
      <c r="G120" s="717"/>
      <c r="H120" s="717"/>
    </row>
    <row r="121" spans="1:9" s="73" customFormat="1">
      <c r="A121" s="203"/>
      <c r="B121" s="81" t="s">
        <v>719</v>
      </c>
      <c r="C121" s="203"/>
      <c r="D121" s="203"/>
      <c r="E121" s="203"/>
      <c r="F121" s="487">
        <f>'OSNOVNI PODATKI'!G364</f>
        <v>0</v>
      </c>
      <c r="G121" s="203"/>
      <c r="H121" s="203"/>
    </row>
    <row r="122" spans="1:9" s="73" customFormat="1">
      <c r="A122" s="203"/>
      <c r="B122" s="81" t="s">
        <v>720</v>
      </c>
      <c r="C122" s="202"/>
      <c r="D122" s="80"/>
      <c r="E122" s="80"/>
      <c r="F122" s="473">
        <f>'ARHIGRAM 6'!I16</f>
        <v>62</v>
      </c>
      <c r="G122" s="202"/>
      <c r="H122" s="202"/>
    </row>
    <row r="123" spans="1:9" s="73" customFormat="1">
      <c r="A123" s="203"/>
      <c r="B123" s="203"/>
      <c r="C123" s="203"/>
      <c r="D123" s="203"/>
      <c r="E123" s="203"/>
      <c r="G123" s="203"/>
      <c r="H123" s="203"/>
    </row>
    <row r="124" spans="1:9" s="73" customFormat="1">
      <c r="B124" s="81" t="str">
        <f>'OSNOVNI PODATKI'!B376</f>
        <v>PRIBITEK ZA PRENOVO</v>
      </c>
      <c r="C124" s="202"/>
      <c r="D124" s="80"/>
      <c r="E124" s="80"/>
      <c r="F124" s="301">
        <f>'OSNOVNI PODATKI'!F376</f>
        <v>0</v>
      </c>
      <c r="G124" s="202" t="str">
        <f>+'OSNOVNI PODATKI'!G376</f>
        <v>Upošteva se v fazah od 1 do 4., samo za storitve projektiranja. Če dogovor o povečanju potrebnega števila NU ni bil dosežen, se upošteva 18 % povečanje števila NU glede na vsaj povprečno zahtevnost.
Če gre za prenovo notranje opreme lahko znaša povečanje do 50 %.</v>
      </c>
      <c r="H124" s="202"/>
    </row>
    <row r="125" spans="1:9" s="73" customFormat="1" ht="27" customHeight="1">
      <c r="B125" s="1330" t="str">
        <f>'OSNOVNI PODATKI'!B380</f>
        <v>AB KONSTRUKCIJA BREZ OPAŽNIH NAČRTOV ALI ENOSTAVNA LESENA KONSTRUKCIJA</v>
      </c>
      <c r="C125" s="1330"/>
      <c r="D125" s="1330"/>
      <c r="E125" s="1330"/>
      <c r="F125" s="635" t="str">
        <f>IF('OSNOVNI PODATKI'!F380=TRUE,"DA","NE")</f>
        <v>DA</v>
      </c>
      <c r="G125" s="202" t="str">
        <f>+'OSNOVNI PODATKI'!G380</f>
        <v>Če je opcija izbrana, se v fazi 2.4 GK upošteva odbitek 30 %.</v>
      </c>
      <c r="H125" s="202"/>
    </row>
    <row r="126" spans="1:9" s="73" customFormat="1">
      <c r="A126" s="203"/>
      <c r="B126" s="81"/>
      <c r="C126" s="202"/>
      <c r="D126" s="80"/>
      <c r="E126" s="80"/>
      <c r="F126" s="635"/>
      <c r="G126" s="202"/>
      <c r="H126" s="489"/>
    </row>
    <row r="127" spans="1:9" s="2" customFormat="1">
      <c r="A127" s="73"/>
      <c r="B127" s="203"/>
      <c r="C127" s="203"/>
      <c r="D127" s="203"/>
      <c r="E127" s="203"/>
      <c r="F127" s="203"/>
      <c r="G127" s="203"/>
    </row>
    <row r="128" spans="1:9" s="2" customFormat="1">
      <c r="A128" s="73"/>
      <c r="B128" s="203"/>
      <c r="C128" s="203"/>
      <c r="D128" s="203"/>
      <c r="E128" s="203"/>
      <c r="F128" s="203"/>
      <c r="G128" s="203"/>
    </row>
    <row r="129" spans="1:11" s="2" customFormat="1">
      <c r="A129" s="73"/>
      <c r="B129" s="203"/>
      <c r="C129" s="203"/>
      <c r="D129" s="203"/>
      <c r="E129" s="203"/>
      <c r="F129" s="203"/>
      <c r="G129" s="203"/>
    </row>
    <row r="130" spans="1:11" s="2" customFormat="1">
      <c r="A130" s="73"/>
      <c r="B130" s="203"/>
      <c r="C130" s="203"/>
      <c r="D130" s="203"/>
      <c r="E130" s="203"/>
      <c r="F130" s="203"/>
      <c r="G130" s="203"/>
    </row>
    <row r="131" spans="1:11" s="8" customFormat="1" ht="26.25">
      <c r="A131" s="102"/>
      <c r="B131" s="103"/>
      <c r="C131" s="103"/>
      <c r="D131" s="103"/>
      <c r="E131" s="104" t="s">
        <v>25</v>
      </c>
      <c r="F131" s="294" t="s">
        <v>379</v>
      </c>
      <c r="G131" s="600" t="s">
        <v>54</v>
      </c>
      <c r="H131" s="105" t="s">
        <v>67</v>
      </c>
      <c r="I131" s="121" t="s">
        <v>757</v>
      </c>
    </row>
    <row r="132" spans="1:11" s="9" customFormat="1" ht="14.25">
      <c r="A132" s="98" t="s">
        <v>26</v>
      </c>
      <c r="B132" s="99" t="s">
        <v>27</v>
      </c>
      <c r="C132" s="99"/>
      <c r="D132" s="99"/>
      <c r="E132" s="100"/>
      <c r="F132" s="100"/>
      <c r="G132" s="601"/>
      <c r="H132" s="101"/>
    </row>
    <row r="133" spans="1:11" s="9" customFormat="1" ht="14.25">
      <c r="A133" s="82" t="s">
        <v>28</v>
      </c>
      <c r="B133" s="94" t="s">
        <v>62</v>
      </c>
      <c r="C133" s="94"/>
      <c r="D133" s="94"/>
      <c r="E133" s="83"/>
      <c r="F133" s="83"/>
      <c r="G133" s="602"/>
      <c r="H133" s="84" t="str">
        <f>IF(I133=TRUE,G133*'VREDNOST NU'!#REF!,"")</f>
        <v/>
      </c>
    </row>
    <row r="134" spans="1:11" s="9" customFormat="1" ht="14.25">
      <c r="A134" s="107" t="s">
        <v>29</v>
      </c>
      <c r="B134" s="108" t="s">
        <v>63</v>
      </c>
      <c r="C134" s="108"/>
      <c r="D134" s="108"/>
      <c r="E134" s="109"/>
      <c r="F134" s="109"/>
      <c r="G134" s="603"/>
      <c r="H134" s="88" t="str">
        <f>IF(I134=TRUE,G134*'VREDNOST NU'!#REF!,"")</f>
        <v/>
      </c>
    </row>
    <row r="135" spans="1:11" s="9" customFormat="1" ht="14.25">
      <c r="A135" s="106" t="s">
        <v>30</v>
      </c>
      <c r="B135" s="99" t="s">
        <v>31</v>
      </c>
      <c r="C135" s="99"/>
      <c r="D135" s="99"/>
      <c r="E135" s="100">
        <f>SUM(E136:E138)</f>
        <v>0.03</v>
      </c>
      <c r="F135" s="100">
        <f>SUM(F136:F138)</f>
        <v>0.03</v>
      </c>
      <c r="G135" s="607">
        <f>SUM(G136:G138)</f>
        <v>0</v>
      </c>
      <c r="H135" s="101">
        <f>SUM(H136:H138)</f>
        <v>0</v>
      </c>
      <c r="I135" s="122">
        <f>IFERROR(H135/'OSNOVNI PODATKI'!$E$311,0)</f>
        <v>0</v>
      </c>
    </row>
    <row r="136" spans="1:11" s="9" customFormat="1" ht="14.25">
      <c r="A136" s="85" t="s">
        <v>32</v>
      </c>
      <c r="B136" s="93" t="s">
        <v>64</v>
      </c>
      <c r="C136" s="93"/>
      <c r="D136" s="93"/>
      <c r="E136" s="83">
        <v>1.4999999999999999E-2</v>
      </c>
      <c r="F136" s="83">
        <f>E136*(100%+$F$124)</f>
        <v>1.4999999999999999E-2</v>
      </c>
      <c r="G136" s="608">
        <f>ROUND(F136*$F$121,1)</f>
        <v>0</v>
      </c>
      <c r="H136" s="84">
        <f>+G136*'ARHIGRAM 6'!$I$16</f>
        <v>0</v>
      </c>
    </row>
    <row r="137" spans="1:11" s="9" customFormat="1" ht="14.25">
      <c r="A137" s="85" t="s">
        <v>33</v>
      </c>
      <c r="B137" s="93" t="s">
        <v>65</v>
      </c>
      <c r="C137" s="93"/>
      <c r="D137" s="93"/>
      <c r="E137" s="83">
        <v>1.4999999999999999E-2</v>
      </c>
      <c r="F137" s="83">
        <f t="shared" ref="F137" si="5">E137*(100%+$F$124)</f>
        <v>1.4999999999999999E-2</v>
      </c>
      <c r="G137" s="608">
        <f>ROUND(F137*$F$121,1)</f>
        <v>0</v>
      </c>
      <c r="H137" s="84">
        <f>+G137*'ARHIGRAM 6'!$I$16</f>
        <v>0</v>
      </c>
    </row>
    <row r="138" spans="1:11" s="9" customFormat="1" ht="14.25">
      <c r="A138" s="111" t="s">
        <v>34</v>
      </c>
      <c r="B138" s="112" t="s">
        <v>695</v>
      </c>
      <c r="C138" s="112"/>
      <c r="D138" s="112"/>
      <c r="E138" s="109"/>
      <c r="F138" s="109"/>
      <c r="G138" s="609"/>
      <c r="H138" s="88"/>
    </row>
    <row r="139" spans="1:11" s="9" customFormat="1" ht="14.25">
      <c r="A139" s="110">
        <v>2</v>
      </c>
      <c r="B139" s="99" t="s">
        <v>35</v>
      </c>
      <c r="C139" s="99"/>
      <c r="D139" s="99"/>
      <c r="E139" s="100">
        <f>+E140+E141+E142+E143+E144</f>
        <v>0.97</v>
      </c>
      <c r="F139" s="100">
        <f>+F140+F141+F142+F143+F144</f>
        <v>0.66999999999999993</v>
      </c>
      <c r="G139" s="610">
        <f>SUM(G140:G144)</f>
        <v>0</v>
      </c>
      <c r="H139" s="101">
        <f>SUM(H140:H144)</f>
        <v>0</v>
      </c>
      <c r="I139" s="122">
        <f>IFERROR(H139/'OSNOVNI PODATKI'!$E$311,0)</f>
        <v>0</v>
      </c>
    </row>
    <row r="140" spans="1:11" s="9" customFormat="1" ht="14.25">
      <c r="A140" s="85" t="s">
        <v>48</v>
      </c>
      <c r="B140" s="93" t="s">
        <v>78</v>
      </c>
      <c r="C140" s="93"/>
      <c r="D140" s="93"/>
      <c r="E140" s="96">
        <v>0.15</v>
      </c>
      <c r="F140" s="83">
        <f>E140*(100%+$F$124)</f>
        <v>0.15</v>
      </c>
      <c r="G140" s="608">
        <f t="shared" ref="G140:G141" si="6">ROUND(F140*$F$121,1)</f>
        <v>0</v>
      </c>
      <c r="H140" s="84">
        <f>+G140*'ARHIGRAM 6'!$I$16</f>
        <v>0</v>
      </c>
    </row>
    <row r="141" spans="1:11" s="9" customFormat="1" ht="14.25">
      <c r="A141" s="86" t="s">
        <v>49</v>
      </c>
      <c r="B141" s="97" t="s">
        <v>624</v>
      </c>
      <c r="C141" s="97"/>
      <c r="D141" s="97"/>
      <c r="E141" s="96">
        <v>0.3</v>
      </c>
      <c r="F141" s="96">
        <f>E141*(100%+$F$124)</f>
        <v>0.3</v>
      </c>
      <c r="G141" s="608">
        <f t="shared" si="6"/>
        <v>0</v>
      </c>
      <c r="H141" s="84">
        <f>+G141*'ARHIGRAM 6'!$I$16</f>
        <v>0</v>
      </c>
    </row>
    <row r="142" spans="1:11" s="9" customFormat="1" ht="14.25">
      <c r="A142" s="86" t="s">
        <v>50</v>
      </c>
      <c r="B142" s="97" t="s">
        <v>699</v>
      </c>
      <c r="C142" s="97"/>
      <c r="D142" s="97"/>
      <c r="E142" s="96"/>
      <c r="F142" s="96"/>
      <c r="G142" s="608"/>
      <c r="H142" s="84"/>
    </row>
    <row r="143" spans="1:11" s="9" customFormat="1" ht="14.25">
      <c r="A143" s="86" t="s">
        <v>79</v>
      </c>
      <c r="B143" s="97" t="s">
        <v>625</v>
      </c>
      <c r="C143" s="97"/>
      <c r="D143" s="97"/>
      <c r="E143" s="96">
        <f>52%</f>
        <v>0.52</v>
      </c>
      <c r="F143" s="96">
        <f>(E143+IF(F125="DA",-30%,0%))*(100%+$F$124)</f>
        <v>0.22000000000000003</v>
      </c>
      <c r="G143" s="608">
        <f>ROUND(F143*$F$121,1)</f>
        <v>0</v>
      </c>
      <c r="H143" s="84">
        <f>+G143*'ARHIGRAM 6'!$I$16</f>
        <v>0</v>
      </c>
      <c r="K143" s="835"/>
    </row>
    <row r="144" spans="1:11" s="9" customFormat="1" ht="14.25">
      <c r="A144" s="114" t="s">
        <v>80</v>
      </c>
      <c r="B144" s="115" t="s">
        <v>696</v>
      </c>
      <c r="C144" s="115"/>
      <c r="D144" s="115"/>
      <c r="E144" s="116"/>
      <c r="F144" s="116"/>
      <c r="G144" s="609"/>
      <c r="H144" s="88"/>
    </row>
    <row r="145" spans="1:9" s="9" customFormat="1" ht="14.25">
      <c r="A145" s="113" t="s">
        <v>36</v>
      </c>
      <c r="B145" s="99" t="s">
        <v>101</v>
      </c>
      <c r="C145" s="99"/>
      <c r="D145" s="99"/>
      <c r="E145" s="100">
        <f>SUM(E146:E147)</f>
        <v>0</v>
      </c>
      <c r="F145" s="100">
        <f>SUM(F146:F147)</f>
        <v>0</v>
      </c>
      <c r="G145" s="607">
        <f>SUM(G146:G147)</f>
        <v>0</v>
      </c>
      <c r="H145" s="101">
        <f>SUM(H146:H147)</f>
        <v>0</v>
      </c>
      <c r="I145" s="122">
        <f>IFERROR(H145/'OSNOVNI PODATKI'!$E$311,0)</f>
        <v>0</v>
      </c>
    </row>
    <row r="146" spans="1:9" s="9" customFormat="1" ht="14.25">
      <c r="A146" s="86" t="s">
        <v>37</v>
      </c>
      <c r="B146" s="92" t="s">
        <v>697</v>
      </c>
      <c r="C146" s="92"/>
      <c r="D146" s="92"/>
      <c r="E146" s="83"/>
      <c r="F146" s="83"/>
      <c r="G146" s="608"/>
      <c r="H146" s="84"/>
    </row>
    <row r="147" spans="1:9" s="9" customFormat="1" ht="14.25">
      <c r="A147" s="114" t="s">
        <v>38</v>
      </c>
      <c r="B147" s="87" t="s">
        <v>180</v>
      </c>
      <c r="C147" s="87"/>
      <c r="D147" s="87"/>
      <c r="E147" s="109"/>
      <c r="F147" s="109"/>
      <c r="G147" s="609"/>
      <c r="H147" s="88"/>
    </row>
    <row r="148" spans="1:9" s="9" customFormat="1" ht="14.25">
      <c r="A148" s="117">
        <v>4</v>
      </c>
      <c r="B148" s="99" t="s">
        <v>57</v>
      </c>
      <c r="C148" s="99"/>
      <c r="D148" s="99"/>
      <c r="E148" s="100">
        <f>SUM(E149:E153)</f>
        <v>0</v>
      </c>
      <c r="F148" s="100">
        <f>SUM(F149:F153)</f>
        <v>0</v>
      </c>
      <c r="G148" s="607">
        <f>SUM(G149:G153)</f>
        <v>0</v>
      </c>
      <c r="H148" s="101">
        <f>SUM(H149:H153)</f>
        <v>0</v>
      </c>
      <c r="I148" s="122">
        <f>IFERROR(H148/'OSNOVNI PODATKI'!$E$311,0)</f>
        <v>0</v>
      </c>
    </row>
    <row r="149" spans="1:9" s="9" customFormat="1" ht="14.25">
      <c r="A149" s="86" t="s">
        <v>39</v>
      </c>
      <c r="B149" s="92" t="s">
        <v>181</v>
      </c>
      <c r="C149" s="92"/>
      <c r="D149" s="92"/>
      <c r="E149" s="83"/>
      <c r="F149" s="83"/>
      <c r="G149" s="608"/>
      <c r="H149" s="84"/>
    </row>
    <row r="150" spans="1:9" s="9" customFormat="1" ht="14.25">
      <c r="A150" s="86" t="s">
        <v>40</v>
      </c>
      <c r="B150" s="92" t="s">
        <v>712</v>
      </c>
      <c r="C150" s="92"/>
      <c r="D150" s="92"/>
      <c r="E150" s="83"/>
      <c r="F150" s="83"/>
      <c r="G150" s="608"/>
      <c r="H150" s="84"/>
    </row>
    <row r="151" spans="1:9" s="9" customFormat="1" ht="14.25">
      <c r="A151" s="86" t="s">
        <v>41</v>
      </c>
      <c r="B151" s="92" t="s">
        <v>796</v>
      </c>
      <c r="C151" s="92"/>
      <c r="D151" s="92"/>
      <c r="E151" s="83"/>
      <c r="F151" s="83"/>
      <c r="G151" s="608"/>
      <c r="H151" s="84"/>
    </row>
    <row r="152" spans="1:9" s="9" customFormat="1" ht="14.25">
      <c r="A152" s="86" t="s">
        <v>42</v>
      </c>
      <c r="B152" s="92" t="s">
        <v>713</v>
      </c>
      <c r="C152" s="92"/>
      <c r="D152" s="92"/>
      <c r="E152" s="83"/>
      <c r="F152" s="83"/>
      <c r="G152" s="608"/>
      <c r="H152" s="84"/>
    </row>
    <row r="153" spans="1:9" s="9" customFormat="1" ht="14.25">
      <c r="A153" s="114" t="s">
        <v>43</v>
      </c>
      <c r="B153" s="87" t="s">
        <v>698</v>
      </c>
      <c r="C153" s="87"/>
      <c r="D153" s="87"/>
      <c r="E153" s="109"/>
      <c r="F153" s="109"/>
      <c r="G153" s="609"/>
      <c r="H153" s="88"/>
    </row>
    <row r="154" spans="1:9" s="9" customFormat="1" ht="14.25">
      <c r="A154" s="118">
        <v>5</v>
      </c>
      <c r="B154" s="99" t="s">
        <v>44</v>
      </c>
      <c r="C154" s="99"/>
      <c r="D154" s="99"/>
      <c r="E154" s="100">
        <f>SUM(E155:E156)</f>
        <v>0</v>
      </c>
      <c r="F154" s="100">
        <f>SUM(F155:F156)</f>
        <v>0</v>
      </c>
      <c r="G154" s="607">
        <f>SUM(G155:G156)</f>
        <v>0</v>
      </c>
      <c r="H154" s="101">
        <f>SUM(H155:H156)</f>
        <v>0</v>
      </c>
      <c r="I154" s="122">
        <f>IFERROR(H154/'OSNOVNI PODATKI'!$E$311,0)</f>
        <v>0</v>
      </c>
    </row>
    <row r="155" spans="1:9" s="9" customFormat="1" ht="14.25">
      <c r="A155" s="86" t="s">
        <v>45</v>
      </c>
      <c r="B155" s="95" t="s">
        <v>183</v>
      </c>
      <c r="C155" s="95"/>
      <c r="D155" s="95"/>
      <c r="E155" s="83"/>
      <c r="F155" s="83"/>
      <c r="G155" s="608"/>
      <c r="H155" s="84"/>
    </row>
    <row r="156" spans="1:9" s="9" customFormat="1" ht="14.25">
      <c r="A156" s="114" t="s">
        <v>46</v>
      </c>
      <c r="B156" s="120" t="s">
        <v>184</v>
      </c>
      <c r="C156" s="120"/>
      <c r="D156" s="120"/>
      <c r="E156" s="109"/>
      <c r="F156" s="109"/>
      <c r="G156" s="609"/>
      <c r="H156" s="88"/>
    </row>
    <row r="157" spans="1:9" s="9" customFormat="1" ht="14.25">
      <c r="A157" s="119">
        <v>6</v>
      </c>
      <c r="B157" s="99" t="s">
        <v>47</v>
      </c>
      <c r="C157" s="99"/>
      <c r="D157" s="99"/>
      <c r="E157" s="100"/>
      <c r="F157" s="100"/>
      <c r="G157" s="601"/>
      <c r="H157" s="101"/>
    </row>
    <row r="158" spans="1:9" s="9" customFormat="1" ht="14.25">
      <c r="A158" s="86" t="s">
        <v>51</v>
      </c>
      <c r="B158" s="95" t="s">
        <v>185</v>
      </c>
      <c r="C158" s="95"/>
      <c r="D158" s="95"/>
      <c r="E158" s="83"/>
      <c r="F158" s="83"/>
      <c r="G158" s="602"/>
      <c r="H158" s="84"/>
    </row>
    <row r="159" spans="1:9" s="9" customFormat="1" ht="14.25">
      <c r="A159" s="86" t="s">
        <v>52</v>
      </c>
      <c r="B159" s="95" t="s">
        <v>186</v>
      </c>
      <c r="C159" s="95"/>
      <c r="D159" s="95"/>
      <c r="E159" s="83"/>
      <c r="F159" s="83"/>
      <c r="G159" s="602"/>
      <c r="H159" s="84"/>
    </row>
    <row r="160" spans="1:9" s="9" customFormat="1" ht="14.25">
      <c r="A160" s="114" t="s">
        <v>53</v>
      </c>
      <c r="B160" s="120" t="s">
        <v>187</v>
      </c>
      <c r="C160" s="120"/>
      <c r="D160" s="120"/>
      <c r="E160" s="109"/>
      <c r="F160" s="109"/>
      <c r="G160" s="603"/>
      <c r="H160" s="88"/>
    </row>
    <row r="161" spans="1:9" s="9" customFormat="1" ht="14.25">
      <c r="A161" s="89"/>
      <c r="B161" s="90"/>
      <c r="C161" s="90"/>
      <c r="D161" s="90"/>
      <c r="E161" s="91"/>
      <c r="F161" s="91"/>
      <c r="G161" s="604"/>
      <c r="H161" s="90"/>
    </row>
    <row r="162" spans="1:9" s="9" customFormat="1" ht="14.25">
      <c r="A162" s="123"/>
      <c r="B162" s="124" t="s">
        <v>1</v>
      </c>
      <c r="C162" s="124"/>
      <c r="D162" s="124"/>
      <c r="E162" s="125">
        <f>E132+E135+E139+E145+E148+E154+E157</f>
        <v>1</v>
      </c>
      <c r="F162" s="125">
        <f>F132+F135+F139+F145+F148+F154+F157</f>
        <v>0.7</v>
      </c>
      <c r="G162" s="605">
        <f>G132+G135+G139+G145+G148+G154+G157</f>
        <v>0</v>
      </c>
      <c r="H162" s="126">
        <f>H132+H135+H139+H145+H148+H154+H157</f>
        <v>0</v>
      </c>
      <c r="I162" s="122">
        <f>IFERROR(H162/'OSNOVNI PODATKI'!$E$311,0)</f>
        <v>0</v>
      </c>
    </row>
    <row r="163" spans="1:9" s="9" customFormat="1" ht="14.25">
      <c r="A163" s="25"/>
      <c r="B163" s="121"/>
      <c r="E163" s="26"/>
      <c r="G163" s="26"/>
      <c r="H163" s="122"/>
    </row>
    <row r="164" spans="1:9" ht="14.25">
      <c r="A164" s="25"/>
      <c r="B164" s="121"/>
      <c r="C164" s="9"/>
      <c r="D164" s="9"/>
      <c r="E164" s="26"/>
      <c r="G164" s="26"/>
      <c r="H164" s="122"/>
    </row>
    <row r="167" spans="1:9">
      <c r="G167" s="597"/>
    </row>
    <row r="168" spans="1:9">
      <c r="G168" s="597"/>
    </row>
    <row r="169" spans="1:9">
      <c r="G169" s="597"/>
    </row>
    <row r="170" spans="1:9">
      <c r="G170" s="597"/>
    </row>
    <row r="171" spans="1:9">
      <c r="G171" s="597"/>
    </row>
    <row r="172" spans="1:9">
      <c r="G172" s="597"/>
    </row>
    <row r="173" spans="1:9">
      <c r="G173" s="597"/>
    </row>
    <row r="174" spans="1:9">
      <c r="G174" s="597"/>
    </row>
    <row r="175" spans="1:9">
      <c r="G175" s="597"/>
    </row>
    <row r="176" spans="1:9">
      <c r="G176" s="597"/>
    </row>
    <row r="177" spans="7:7">
      <c r="G177" s="597"/>
    </row>
    <row r="178" spans="7:7">
      <c r="G178" s="597"/>
    </row>
  </sheetData>
  <sheetProtection algorithmName="SHA-512" hashValue="xpv1Phbo8j+xz1tvFx15k9EEJeyheJ1KyzbORgp7AzkRuOEZH0oo7laRXKN/Cmp07x6ppybg7ueu2RDq5E1ltw==" saltValue="lBl9SvRzimPH/pORNzMffw==" spinCount="100000" sheet="1" objects="1" scenarios="1"/>
  <mergeCells count="1">
    <mergeCell ref="B125:E12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AA272"/>
  <sheetViews>
    <sheetView topLeftCell="A148" workbookViewId="0">
      <selection activeCell="L184" sqref="L184"/>
    </sheetView>
    <sheetView topLeftCell="A221" workbookViewId="1">
      <selection activeCell="F245" sqref="F245"/>
    </sheetView>
  </sheetViews>
  <sheetFormatPr defaultColWidth="9.140625" defaultRowHeight="12.75"/>
  <cols>
    <col min="1" max="1" width="8.140625" style="71" customWidth="1"/>
    <col min="2" max="2" width="28.28515625" style="71" customWidth="1"/>
    <col min="3" max="3" width="13.5703125" style="71" customWidth="1"/>
    <col min="4" max="4" width="24.5703125" style="71" customWidth="1"/>
    <col min="5" max="5" width="13.5703125" style="71" customWidth="1"/>
    <col min="6" max="6" width="29.85546875" style="71" customWidth="1"/>
    <col min="7" max="9" width="13.5703125" style="71" customWidth="1"/>
    <col min="10" max="10" width="25.85546875" style="71" customWidth="1"/>
    <col min="11" max="12" width="13.5703125" style="71" customWidth="1"/>
    <col min="13" max="16384" width="9.140625" style="71"/>
  </cols>
  <sheetData>
    <row r="1" spans="1:22" ht="26.25">
      <c r="B1" s="711" t="s">
        <v>954</v>
      </c>
      <c r="C1" s="4"/>
      <c r="D1" s="4"/>
      <c r="E1" s="4"/>
      <c r="F1" s="4"/>
      <c r="G1" s="4"/>
      <c r="H1" s="4"/>
      <c r="I1"/>
      <c r="J1" s="5"/>
      <c r="K1" s="4"/>
      <c r="L1" s="4"/>
      <c r="M1" s="4"/>
      <c r="N1" s="4"/>
      <c r="R1" s="5"/>
      <c r="S1" s="4"/>
      <c r="T1" s="4"/>
      <c r="U1" s="4"/>
      <c r="V1" s="4"/>
    </row>
    <row r="2" spans="1:22" ht="15" thickBot="1">
      <c r="C2" s="7"/>
    </row>
    <row r="3" spans="1:22" s="73" customFormat="1" ht="18.75">
      <c r="A3" s="786" t="s">
        <v>781</v>
      </c>
      <c r="B3" s="786"/>
      <c r="C3" s="786"/>
      <c r="D3" s="786"/>
      <c r="E3" s="786" t="s">
        <v>782</v>
      </c>
      <c r="F3" s="786"/>
      <c r="G3" s="786"/>
      <c r="H3" s="786"/>
      <c r="I3" s="786" t="s">
        <v>783</v>
      </c>
      <c r="J3" s="786"/>
      <c r="K3" s="786"/>
      <c r="L3" s="786"/>
    </row>
    <row r="4" spans="1:22" s="73" customFormat="1" ht="18.75">
      <c r="A4" s="834"/>
      <c r="B4" s="834"/>
      <c r="C4" s="834"/>
      <c r="D4" s="834"/>
      <c r="E4" s="834"/>
      <c r="F4" s="834"/>
      <c r="G4" s="834"/>
      <c r="H4" s="834"/>
      <c r="I4" s="834"/>
      <c r="J4" s="834"/>
      <c r="K4" s="834"/>
      <c r="L4" s="834"/>
    </row>
    <row r="5" spans="1:22" s="73" customFormat="1">
      <c r="A5" s="76"/>
      <c r="B5" s="530" t="s">
        <v>786</v>
      </c>
      <c r="C5" s="631">
        <f>'OSNOVNI PODATKI'!H11</f>
        <v>2</v>
      </c>
      <c r="D5" s="530" t="str">
        <f>IF(C5=1,'OSNOVNI PODATKI'!B11,'OSNOVNI PODATKI'!B12)</f>
        <v>ENA STAVBA ALI VEČ RAZLIČNIH STAVB (PRI IZRAČUNU POTREBNIH NU SE VSAKA STAVBA IZRAČUNAVA LOČENO)</v>
      </c>
      <c r="E5" s="489"/>
      <c r="F5" s="489"/>
      <c r="G5" s="202"/>
      <c r="H5" s="202"/>
      <c r="I5" s="202"/>
    </row>
    <row r="6" spans="1:22" s="73" customFormat="1">
      <c r="A6" s="76"/>
      <c r="B6" s="530" t="s">
        <v>787</v>
      </c>
      <c r="C6" s="612">
        <f>'OSNOVNI PODATKI'!E308</f>
        <v>0</v>
      </c>
      <c r="D6" s="530"/>
      <c r="E6" s="489"/>
      <c r="F6" s="489"/>
      <c r="G6" s="202"/>
      <c r="H6" s="202"/>
      <c r="I6" s="202"/>
    </row>
    <row r="7" spans="1:22" s="73" customFormat="1">
      <c r="A7" s="76"/>
      <c r="D7" s="203"/>
      <c r="E7" s="203"/>
    </row>
    <row r="8" spans="1:22" s="73" customFormat="1">
      <c r="A8" s="76"/>
      <c r="B8" s="203" t="str">
        <f>'OSNOVNI PODATKI'!A15</f>
        <v>STAVBA 1 / DEL 1</v>
      </c>
      <c r="C8" s="533">
        <f>'OSNOVNI PODATKI'!E15</f>
        <v>0</v>
      </c>
      <c r="D8" s="203"/>
      <c r="E8" s="203"/>
      <c r="I8"/>
    </row>
    <row r="9" spans="1:22" s="73" customFormat="1">
      <c r="A9" s="76"/>
      <c r="B9" s="198" t="s">
        <v>617</v>
      </c>
      <c r="C9" s="81" t="str">
        <f>'OSNOVNI PODATKI'!E16</f>
        <v>5. Nepodkletene eno in dvostanovanjske stavbe, nižji standard</v>
      </c>
      <c r="D9" s="489"/>
      <c r="E9" s="203"/>
      <c r="I9"/>
    </row>
    <row r="10" spans="1:22" s="73" customFormat="1">
      <c r="A10" s="76"/>
      <c r="B10" s="198" t="s">
        <v>788</v>
      </c>
      <c r="C10" s="81">
        <f>'OSNOVNI PODATKI'!E17</f>
        <v>0</v>
      </c>
      <c r="D10" s="489"/>
      <c r="E10" s="203"/>
      <c r="F10" s="489"/>
      <c r="G10" s="489"/>
      <c r="H10" s="489"/>
      <c r="I10"/>
    </row>
    <row r="11" spans="1:22" s="73" customFormat="1">
      <c r="A11" s="76"/>
      <c r="B11" s="198" t="s">
        <v>789</v>
      </c>
      <c r="C11" s="81">
        <f>IF($C$5=1,$C$6,C10)</f>
        <v>0</v>
      </c>
      <c r="D11" s="489"/>
      <c r="E11" s="203"/>
      <c r="I11"/>
    </row>
    <row r="12" spans="1:22" s="73" customFormat="1">
      <c r="A12" s="76"/>
      <c r="B12" s="530" t="s">
        <v>729</v>
      </c>
      <c r="C12" s="529">
        <f>'OSNOVNI PODATKI'!E27</f>
        <v>-105.40000000000009</v>
      </c>
      <c r="D12" s="489"/>
      <c r="E12" s="203"/>
      <c r="F12" s="530"/>
      <c r="G12" s="571"/>
      <c r="I12"/>
      <c r="J12" s="530"/>
      <c r="K12" s="571"/>
    </row>
    <row r="13" spans="1:22" s="73" customFormat="1">
      <c r="A13" s="76"/>
      <c r="B13" s="198" t="s">
        <v>100</v>
      </c>
      <c r="C13" s="81" t="str">
        <f>'OSNOVNI PODATKI'!E20</f>
        <v>Cenovni razred II</v>
      </c>
      <c r="D13" s="489"/>
      <c r="E13" s="203"/>
      <c r="F13" s="198" t="s">
        <v>100</v>
      </c>
      <c r="G13" s="81" t="str">
        <f>'OSNOVNI PODATKI'!E21</f>
        <v>Cenovni razred II</v>
      </c>
      <c r="H13" s="489"/>
      <c r="I13"/>
      <c r="J13" s="198" t="s">
        <v>100</v>
      </c>
      <c r="K13" s="81" t="str">
        <f>'OSNOVNI PODATKI'!E22</f>
        <v>Cenovni razred II</v>
      </c>
      <c r="L13" s="489"/>
    </row>
    <row r="14" spans="1:22" s="73" customFormat="1">
      <c r="A14" s="76"/>
      <c r="B14" s="522" t="s">
        <v>70</v>
      </c>
      <c r="C14" s="523">
        <f>IFERROR((0.0331*POWER(C21*C11*(1000+C12),0.7868))/C11,0)</f>
        <v>0</v>
      </c>
      <c r="D14" s="524" t="s">
        <v>722</v>
      </c>
      <c r="E14" s="203"/>
      <c r="F14" s="522" t="s">
        <v>70</v>
      </c>
      <c r="G14" s="523">
        <f>IFERROR((0.0331*POWER(C22*C11*(1000+C12),0.7868))/C11,0)</f>
        <v>0</v>
      </c>
      <c r="H14" s="524" t="s">
        <v>722</v>
      </c>
      <c r="I14"/>
      <c r="J14" s="522" t="s">
        <v>70</v>
      </c>
      <c r="K14" s="523">
        <f>IFERROR((0.0331*POWER(C23*C11*(1000+C12),0.7868))/C11,0)</f>
        <v>0</v>
      </c>
      <c r="L14" s="524" t="s">
        <v>722</v>
      </c>
    </row>
    <row r="15" spans="1:22" s="73" customFormat="1">
      <c r="A15" s="76"/>
      <c r="B15" s="525" t="s">
        <v>71</v>
      </c>
      <c r="C15" s="526">
        <f>IFERROR((0.0392*POWER(C21*C11*(1000+C12),0.7872))/C11,0)</f>
        <v>0</v>
      </c>
      <c r="D15" s="488" t="s">
        <v>722</v>
      </c>
      <c r="E15" s="203"/>
      <c r="F15" s="525" t="s">
        <v>71</v>
      </c>
      <c r="G15" s="526">
        <f>IFERROR((0.0392*POWER(C22*C11*(1000+C12),0.7872))/C11,0)</f>
        <v>0</v>
      </c>
      <c r="H15" s="488" t="s">
        <v>722</v>
      </c>
      <c r="I15"/>
      <c r="J15" s="525" t="s">
        <v>71</v>
      </c>
      <c r="K15" s="526">
        <f>IFERROR((0.0392*POWER(C23*C11*(1000+C12),0.7872))/C11,0)</f>
        <v>0</v>
      </c>
      <c r="L15" s="488" t="s">
        <v>722</v>
      </c>
    </row>
    <row r="16" spans="1:22" s="73" customFormat="1">
      <c r="A16" s="76"/>
      <c r="B16" s="525" t="s">
        <v>72</v>
      </c>
      <c r="C16" s="526">
        <f>IFERROR((0.0458*POWER(C21*C11*(1000+C12),0.7877))/C11,0)</f>
        <v>0</v>
      </c>
      <c r="D16" s="488" t="s">
        <v>722</v>
      </c>
      <c r="E16" s="203"/>
      <c r="F16" s="525" t="s">
        <v>72</v>
      </c>
      <c r="G16" s="526">
        <f>IFERROR((0.0458*POWER(C22*C11*(1000+C12),0.7877))/C11,0)</f>
        <v>0</v>
      </c>
      <c r="H16" s="488" t="s">
        <v>722</v>
      </c>
      <c r="I16"/>
      <c r="J16" s="525" t="s">
        <v>72</v>
      </c>
      <c r="K16" s="526">
        <f>IFERROR((0.0458*POWER(C23*C11*(1000+C12),0.7877))/C11,0)</f>
        <v>0</v>
      </c>
      <c r="L16" s="488" t="s">
        <v>722</v>
      </c>
    </row>
    <row r="17" spans="1:12" s="73" customFormat="1">
      <c r="A17" s="76"/>
      <c r="B17" s="525" t="s">
        <v>73</v>
      </c>
      <c r="C17" s="526">
        <f>IFERROR((0.0528*POWER(C21*C11*(1000+C12),0.7867))/C11,0)</f>
        <v>0</v>
      </c>
      <c r="D17" s="488" t="s">
        <v>722</v>
      </c>
      <c r="E17" s="203"/>
      <c r="F17" s="525" t="s">
        <v>73</v>
      </c>
      <c r="G17" s="526">
        <f>IFERROR((0.0528*POWER(C22*C11*(1000+C12),0.7867))/C11,0)</f>
        <v>0</v>
      </c>
      <c r="H17" s="488" t="s">
        <v>722</v>
      </c>
      <c r="I17"/>
      <c r="J17" s="525" t="s">
        <v>73</v>
      </c>
      <c r="K17" s="526">
        <f>IFERROR((0.0528*POWER(C23*C11*(1000+C12),0.7867))/C11,0)</f>
        <v>0</v>
      </c>
      <c r="L17" s="488" t="s">
        <v>722</v>
      </c>
    </row>
    <row r="18" spans="1:12" s="73" customFormat="1">
      <c r="A18" s="76"/>
      <c r="B18" s="525"/>
      <c r="C18" s="526"/>
      <c r="D18" s="488"/>
      <c r="E18" s="203"/>
      <c r="F18" s="525"/>
      <c r="G18" s="526"/>
      <c r="H18" s="488"/>
      <c r="I18"/>
      <c r="J18" s="525"/>
      <c r="K18" s="526"/>
      <c r="L18" s="488"/>
    </row>
    <row r="19" spans="1:12" s="73" customFormat="1">
      <c r="A19" s="76"/>
      <c r="B19" s="525"/>
      <c r="C19" s="526"/>
      <c r="D19" s="488"/>
      <c r="E19" s="203"/>
      <c r="F19" s="525"/>
      <c r="G19" s="526"/>
      <c r="H19" s="488"/>
      <c r="I19"/>
      <c r="J19" s="525"/>
      <c r="K19" s="488"/>
      <c r="L19" s="488"/>
    </row>
    <row r="20" spans="1:12" s="73" customFormat="1">
      <c r="A20" s="76"/>
      <c r="B20" s="525" t="str">
        <f>'OSNOVNI PODATKI'!B59</f>
        <v>GRADBENO OBRTNIŠKA DELA (GO)</v>
      </c>
      <c r="C20" s="625">
        <f>'OSNOVNI PODATKI'!D33</f>
        <v>0.81699999999999995</v>
      </c>
      <c r="D20" s="623"/>
      <c r="E20" s="628"/>
      <c r="F20" s="203"/>
      <c r="J20" s="627"/>
      <c r="K20" s="621"/>
      <c r="L20" s="621"/>
    </row>
    <row r="21" spans="1:12" s="73" customFormat="1">
      <c r="A21" s="76"/>
      <c r="B21" s="525" t="str">
        <f>'OSNOVNI PODATKI'!B60</f>
        <v>ELEKTRIČNE INŠTALACIJE (EI)</v>
      </c>
      <c r="C21" s="625">
        <f>'OSNOVNI PODATKI'!D34</f>
        <v>3.4554399999999999E-2</v>
      </c>
      <c r="D21" s="623"/>
      <c r="E21" s="628"/>
      <c r="F21" s="203"/>
      <c r="K21" s="621"/>
      <c r="L21" s="621"/>
    </row>
    <row r="22" spans="1:12" s="73" customFormat="1">
      <c r="A22" s="76"/>
      <c r="B22" s="525" t="str">
        <f>'OSNOVNI PODATKI'!B61</f>
        <v>STROJNE INŠTALACIJE (SI)</v>
      </c>
      <c r="C22" s="625">
        <f>'OSNOVNI PODATKI'!D35</f>
        <v>0.14823000000000003</v>
      </c>
      <c r="D22" s="623"/>
      <c r="E22" s="628"/>
      <c r="F22" s="203"/>
      <c r="J22" s="627"/>
      <c r="K22" s="621"/>
      <c r="L22" s="621"/>
    </row>
    <row r="23" spans="1:12" s="73" customFormat="1">
      <c r="A23" s="76"/>
      <c r="B23" s="525" t="str">
        <f>'OSNOVNI PODATKI'!B62</f>
        <v>TEHNOLOGIJA (TH)</v>
      </c>
      <c r="C23" s="625">
        <f>'OSNOVNI PODATKI'!D36</f>
        <v>0</v>
      </c>
      <c r="D23" s="623"/>
      <c r="E23" s="628"/>
      <c r="F23" s="203"/>
      <c r="J23" s="525"/>
      <c r="K23" s="620"/>
      <c r="L23" s="621"/>
    </row>
    <row r="24" spans="1:12" s="73" customFormat="1">
      <c r="A24" s="76"/>
      <c r="B24" s="525"/>
      <c r="C24" s="625"/>
      <c r="D24" s="623"/>
      <c r="E24" s="628"/>
      <c r="F24" s="203"/>
      <c r="J24" s="525"/>
      <c r="K24" s="620"/>
      <c r="L24" s="621"/>
    </row>
    <row r="25" spans="1:12" s="73" customFormat="1" ht="14.25">
      <c r="B25" s="81" t="s">
        <v>730</v>
      </c>
      <c r="C25" s="507">
        <f>IFERROR(LOOKUP(C13,B14:C17),0)</f>
        <v>0</v>
      </c>
      <c r="D25" s="378" t="s">
        <v>721</v>
      </c>
      <c r="E25" s="203"/>
      <c r="F25" s="81" t="s">
        <v>730</v>
      </c>
      <c r="G25" s="507">
        <f>IFERROR(LOOKUP(G13,F14:G17),0)</f>
        <v>0</v>
      </c>
      <c r="H25" s="378" t="s">
        <v>721</v>
      </c>
      <c r="I25"/>
      <c r="J25" s="81" t="s">
        <v>730</v>
      </c>
      <c r="K25" s="507">
        <f>IFERROR(LOOKUP(K13,J14:K17),0)</f>
        <v>0</v>
      </c>
      <c r="L25" s="378" t="s">
        <v>721</v>
      </c>
    </row>
    <row r="26" spans="1:12" s="73" customFormat="1" ht="14.25">
      <c r="B26" s="81" t="s">
        <v>731</v>
      </c>
      <c r="C26" s="507" cm="1">
        <f t="array" ref="C26">IFERROR(INDEX(C14:C17,MATCH(C13,B14:B17)+1),0)</f>
        <v>0</v>
      </c>
      <c r="D26" s="378" t="s">
        <v>721</v>
      </c>
      <c r="E26" s="203"/>
      <c r="F26" s="81" t="s">
        <v>731</v>
      </c>
      <c r="G26" s="507" cm="1">
        <f t="array" ref="G26">IFERROR(INDEX(G14:G17,MATCH(G13,F14:F17)+1),0)</f>
        <v>0</v>
      </c>
      <c r="H26" s="378" t="s">
        <v>721</v>
      </c>
      <c r="I26"/>
      <c r="J26" s="81" t="s">
        <v>731</v>
      </c>
      <c r="K26" s="507" cm="1">
        <f t="array" ref="K26">IFERROR(INDEX(K14:K17,MATCH(K13,J14:J17)+1),0)</f>
        <v>0</v>
      </c>
      <c r="L26" s="378" t="s">
        <v>721</v>
      </c>
    </row>
    <row r="27" spans="1:12" s="73" customFormat="1">
      <c r="B27" s="81" t="s">
        <v>618</v>
      </c>
      <c r="C27" s="531">
        <f>IFERROR(C25*$C10,0)</f>
        <v>0</v>
      </c>
      <c r="D27" s="378" t="s">
        <v>723</v>
      </c>
      <c r="E27" s="203"/>
      <c r="F27" s="81" t="s">
        <v>618</v>
      </c>
      <c r="G27" s="531">
        <f>IFERROR(G25*$C10,0)</f>
        <v>0</v>
      </c>
      <c r="H27" s="378" t="s">
        <v>723</v>
      </c>
      <c r="I27"/>
      <c r="J27" s="81" t="s">
        <v>618</v>
      </c>
      <c r="K27" s="531">
        <f>IFERROR(K25*$C10,0)</f>
        <v>0</v>
      </c>
      <c r="L27" s="378" t="s">
        <v>723</v>
      </c>
    </row>
    <row r="28" spans="1:12" s="73" customFormat="1">
      <c r="B28" s="81" t="s">
        <v>619</v>
      </c>
      <c r="C28" s="531">
        <f>IFERROR(C26*$C10,0)</f>
        <v>0</v>
      </c>
      <c r="D28" s="378" t="s">
        <v>723</v>
      </c>
      <c r="E28" s="203"/>
      <c r="F28" s="81" t="s">
        <v>619</v>
      </c>
      <c r="G28" s="531">
        <f>IFERROR(G26*$C10,0)</f>
        <v>0</v>
      </c>
      <c r="H28" s="378" t="s">
        <v>723</v>
      </c>
      <c r="I28"/>
      <c r="J28" s="81" t="s">
        <v>619</v>
      </c>
      <c r="K28" s="531">
        <f>IFERROR(K26*$C10,0)</f>
        <v>0</v>
      </c>
      <c r="L28" s="378" t="s">
        <v>723</v>
      </c>
    </row>
    <row r="29" spans="1:12" s="73" customFormat="1">
      <c r="A29" s="76"/>
      <c r="C29" s="291"/>
      <c r="D29" s="203"/>
      <c r="E29" s="203"/>
      <c r="I29"/>
    </row>
    <row r="30" spans="1:12" s="73" customFormat="1">
      <c r="A30" s="76"/>
      <c r="B30" s="203" t="str">
        <f>'OSNOVNI PODATKI'!A41</f>
        <v>STAVBA 2 / DEL 2</v>
      </c>
      <c r="C30" s="533">
        <f>'OSNOVNI PODATKI'!E41</f>
        <v>0</v>
      </c>
      <c r="D30" s="203"/>
      <c r="E30" s="203"/>
      <c r="I30"/>
    </row>
    <row r="31" spans="1:12" s="73" customFormat="1">
      <c r="A31" s="76"/>
      <c r="B31" s="198" t="s">
        <v>617</v>
      </c>
      <c r="C31" s="81" t="str">
        <f>'OSNOVNI PODATKI'!E42</f>
        <v>6. Nepodkletene eno in dvostanovanjske stavbe, srednji standard</v>
      </c>
      <c r="D31" s="489"/>
      <c r="E31" s="203"/>
      <c r="I31"/>
    </row>
    <row r="32" spans="1:12" s="73" customFormat="1">
      <c r="A32" s="76"/>
      <c r="B32" s="198" t="s">
        <v>788</v>
      </c>
      <c r="C32" s="81">
        <f>'OSNOVNI PODATKI'!E43</f>
        <v>0</v>
      </c>
      <c r="D32" s="489"/>
      <c r="E32" s="203"/>
      <c r="F32" s="489"/>
      <c r="G32" s="489"/>
      <c r="H32" s="489"/>
      <c r="I32"/>
    </row>
    <row r="33" spans="1:12" s="73" customFormat="1">
      <c r="A33" s="76"/>
      <c r="B33" s="198" t="s">
        <v>789</v>
      </c>
      <c r="C33" s="81">
        <f>IF($C$5=1,$C$6,C32)</f>
        <v>0</v>
      </c>
      <c r="D33" s="489"/>
      <c r="E33" s="203"/>
      <c r="I33"/>
    </row>
    <row r="34" spans="1:12" s="73" customFormat="1">
      <c r="A34" s="76"/>
      <c r="B34" s="530" t="s">
        <v>729</v>
      </c>
      <c r="C34" s="529">
        <f>'OSNOVNI PODATKI'!E53</f>
        <v>230.59999999999991</v>
      </c>
      <c r="D34" s="489"/>
      <c r="E34" s="203"/>
      <c r="F34" s="530"/>
      <c r="G34" s="571"/>
      <c r="I34"/>
      <c r="J34" s="530"/>
      <c r="K34" s="571"/>
    </row>
    <row r="35" spans="1:12" s="73" customFormat="1">
      <c r="A35" s="76"/>
      <c r="B35" s="198" t="s">
        <v>100</v>
      </c>
      <c r="C35" s="81" t="str">
        <f>'OSNOVNI PODATKI'!E46</f>
        <v>Cenovni razred II</v>
      </c>
      <c r="D35" s="489"/>
      <c r="E35" s="203"/>
      <c r="F35" s="198" t="s">
        <v>100</v>
      </c>
      <c r="G35" s="81" t="str">
        <f>'OSNOVNI PODATKI'!E47</f>
        <v>Cenovni razred II</v>
      </c>
      <c r="I35"/>
      <c r="J35" s="198" t="s">
        <v>100</v>
      </c>
      <c r="K35" s="81" t="str">
        <f>'OSNOVNI PODATKI'!E48</f>
        <v>Cenovni razred II</v>
      </c>
    </row>
    <row r="36" spans="1:12" s="73" customFormat="1">
      <c r="A36" s="76"/>
      <c r="B36" s="522" t="s">
        <v>70</v>
      </c>
      <c r="C36" s="523">
        <f>IFERROR((0.0331*POWER(C43*C33*(1000+C34),0.7868))/C33,0)</f>
        <v>0</v>
      </c>
      <c r="D36" s="524" t="s">
        <v>722</v>
      </c>
      <c r="E36" s="203"/>
      <c r="F36" s="522" t="s">
        <v>70</v>
      </c>
      <c r="G36" s="523">
        <f>IFERROR((0.0331*POWER(C44*C33*(1000+C34),0.7868))/C33,0)</f>
        <v>0</v>
      </c>
      <c r="H36" s="524" t="s">
        <v>722</v>
      </c>
      <c r="I36"/>
      <c r="J36" s="522" t="s">
        <v>70</v>
      </c>
      <c r="K36" s="523">
        <f>IFERROR((0.0331*POWER(C45*C33*(1000+C34),0.7868))/C33,0)</f>
        <v>0</v>
      </c>
      <c r="L36" s="524" t="s">
        <v>722</v>
      </c>
    </row>
    <row r="37" spans="1:12" s="73" customFormat="1">
      <c r="A37" s="76"/>
      <c r="B37" s="525" t="s">
        <v>71</v>
      </c>
      <c r="C37" s="526">
        <f>IFERROR((0.0392*POWER(C43*C33*(1000+C34),0.7872))/C33,0)</f>
        <v>0</v>
      </c>
      <c r="D37" s="488" t="s">
        <v>722</v>
      </c>
      <c r="E37" s="203"/>
      <c r="F37" s="525" t="s">
        <v>71</v>
      </c>
      <c r="G37" s="526">
        <f>IFERROR((0.0392*POWER(C44*C33*(1000+C34),0.7872))/C33,0)</f>
        <v>0</v>
      </c>
      <c r="H37" s="488" t="s">
        <v>722</v>
      </c>
      <c r="I37"/>
      <c r="J37" s="525" t="s">
        <v>71</v>
      </c>
      <c r="K37" s="526">
        <f>IFERROR((0.0392*POWER(C45*C33*(1000+C34),0.7872))/C33,0)</f>
        <v>0</v>
      </c>
      <c r="L37" s="488" t="s">
        <v>722</v>
      </c>
    </row>
    <row r="38" spans="1:12" s="73" customFormat="1">
      <c r="A38" s="76"/>
      <c r="B38" s="525" t="s">
        <v>72</v>
      </c>
      <c r="C38" s="526">
        <f>IFERROR((0.0458*POWER(C43*C33*(1000+C34),0.7877))/C33,0)</f>
        <v>0</v>
      </c>
      <c r="D38" s="488" t="s">
        <v>722</v>
      </c>
      <c r="E38" s="203"/>
      <c r="F38" s="525" t="s">
        <v>72</v>
      </c>
      <c r="G38" s="526">
        <f>IFERROR((0.0458*POWER(C44*C33*(1000+C34),0.7877))/C33,0)</f>
        <v>0</v>
      </c>
      <c r="H38" s="488" t="s">
        <v>722</v>
      </c>
      <c r="I38"/>
      <c r="J38" s="525" t="s">
        <v>72</v>
      </c>
      <c r="K38" s="526">
        <f>IFERROR((0.0458*POWER(C45*C33*(1000+C34),0.7877))/C33,0)</f>
        <v>0</v>
      </c>
      <c r="L38" s="488" t="s">
        <v>722</v>
      </c>
    </row>
    <row r="39" spans="1:12" s="73" customFormat="1">
      <c r="A39" s="76"/>
      <c r="B39" s="525" t="s">
        <v>73</v>
      </c>
      <c r="C39" s="526">
        <f>IFERROR((0.0528*POWER(C43*C33*(1000+C34),0.7867))/C33,0)</f>
        <v>0</v>
      </c>
      <c r="D39" s="488" t="s">
        <v>722</v>
      </c>
      <c r="E39" s="203"/>
      <c r="F39" s="525" t="s">
        <v>73</v>
      </c>
      <c r="G39" s="526">
        <f>IFERROR((0.0528*POWER(C44*C33*(1000+C34),0.7867))/C33,0)</f>
        <v>0</v>
      </c>
      <c r="H39" s="488" t="s">
        <v>722</v>
      </c>
      <c r="I39"/>
      <c r="J39" s="525" t="s">
        <v>73</v>
      </c>
      <c r="K39" s="526">
        <f>IFERROR((0.0528*POWER(C45*C33*(1000+C34),0.7867))/C33,0)</f>
        <v>0</v>
      </c>
      <c r="L39" s="488" t="s">
        <v>722</v>
      </c>
    </row>
    <row r="40" spans="1:12" s="73" customFormat="1">
      <c r="A40" s="76"/>
      <c r="B40" s="525"/>
      <c r="C40" s="526"/>
      <c r="D40" s="488"/>
      <c r="E40" s="203"/>
      <c r="F40" s="525"/>
      <c r="G40" s="526"/>
      <c r="H40" s="488"/>
      <c r="I40"/>
      <c r="J40" s="525"/>
      <c r="K40" s="526"/>
      <c r="L40" s="488"/>
    </row>
    <row r="41" spans="1:12" s="73" customFormat="1">
      <c r="A41" s="76"/>
      <c r="B41" s="525"/>
      <c r="C41" s="526"/>
      <c r="D41" s="488"/>
      <c r="E41" s="203"/>
      <c r="F41" s="525"/>
      <c r="G41" s="526"/>
      <c r="H41" s="488"/>
      <c r="I41"/>
      <c r="J41" s="525"/>
      <c r="K41" s="526"/>
      <c r="L41" s="488"/>
    </row>
    <row r="42" spans="1:12" s="73" customFormat="1">
      <c r="A42" s="76"/>
      <c r="B42" s="525" t="str">
        <f>'OSNOVNI PODATKI'!B59</f>
        <v>GRADBENO OBRTNIŠKA DELA (GO)</v>
      </c>
      <c r="C42" s="625">
        <f>'OSNOVNI PODATKI'!D59</f>
        <v>0.80800000000000005</v>
      </c>
      <c r="D42" s="623"/>
      <c r="E42" s="628"/>
      <c r="F42" s="203"/>
      <c r="J42" s="627"/>
      <c r="L42" s="621"/>
    </row>
    <row r="43" spans="1:12" s="73" customFormat="1">
      <c r="A43" s="76"/>
      <c r="B43" s="525" t="str">
        <f>'OSNOVNI PODATKI'!B60</f>
        <v>ELEKTRIČNE INŠTALACIJE (EI)</v>
      </c>
      <c r="C43" s="625">
        <f>'OSNOVNI PODATKI'!D60</f>
        <v>4.4544000000000007E-2</v>
      </c>
      <c r="D43" s="623"/>
      <c r="E43" s="628"/>
      <c r="F43" s="203"/>
      <c r="J43" s="628"/>
      <c r="K43" s="628"/>
      <c r="L43" s="621"/>
    </row>
    <row r="44" spans="1:12" s="73" customFormat="1">
      <c r="A44" s="76"/>
      <c r="B44" s="525" t="str">
        <f>'OSNOVNI PODATKI'!B61</f>
        <v>STROJNE INŠTALACIJE (SI)</v>
      </c>
      <c r="C44" s="625">
        <f>'OSNOVNI PODATKI'!D61</f>
        <v>0.14764799999999997</v>
      </c>
      <c r="D44" s="623"/>
      <c r="E44" s="628"/>
      <c r="F44" s="203"/>
      <c r="J44" s="627"/>
      <c r="K44" s="620"/>
      <c r="L44" s="621"/>
    </row>
    <row r="45" spans="1:12" s="73" customFormat="1">
      <c r="A45" s="76"/>
      <c r="B45" s="525" t="str">
        <f>'OSNOVNI PODATKI'!B62</f>
        <v>TEHNOLOGIJA (TH)</v>
      </c>
      <c r="C45" s="625">
        <f>'OSNOVNI PODATKI'!D62</f>
        <v>0</v>
      </c>
      <c r="D45" s="623"/>
      <c r="E45" s="628"/>
      <c r="F45" s="203"/>
      <c r="J45" s="525"/>
      <c r="K45" s="620"/>
      <c r="L45" s="621"/>
    </row>
    <row r="46" spans="1:12" s="73" customFormat="1">
      <c r="A46" s="76"/>
      <c r="B46" s="525"/>
      <c r="C46" s="526"/>
      <c r="D46" s="488"/>
      <c r="E46" s="203"/>
      <c r="F46" s="525"/>
      <c r="G46" s="526"/>
      <c r="H46" s="488"/>
      <c r="I46"/>
      <c r="J46" s="525"/>
      <c r="K46" s="526"/>
      <c r="L46" s="488"/>
    </row>
    <row r="47" spans="1:12" s="73" customFormat="1" ht="14.25">
      <c r="B47" s="81" t="s">
        <v>730</v>
      </c>
      <c r="C47" s="507">
        <f>IFERROR(LOOKUP(C35,B36:C39),0)</f>
        <v>0</v>
      </c>
      <c r="D47" s="378" t="s">
        <v>721</v>
      </c>
      <c r="E47" s="203"/>
      <c r="F47" s="81" t="s">
        <v>730</v>
      </c>
      <c r="G47" s="507">
        <f>IFERROR(LOOKUP(G35,F36:G39),0)</f>
        <v>0</v>
      </c>
      <c r="H47" s="378" t="s">
        <v>721</v>
      </c>
      <c r="I47"/>
      <c r="J47" s="81" t="s">
        <v>730</v>
      </c>
      <c r="K47" s="507">
        <f>IFERROR(LOOKUP(K35,J36:K39),0)</f>
        <v>0</v>
      </c>
      <c r="L47" s="378" t="s">
        <v>721</v>
      </c>
    </row>
    <row r="48" spans="1:12" s="73" customFormat="1" ht="14.25">
      <c r="B48" s="81" t="s">
        <v>731</v>
      </c>
      <c r="C48" s="507" cm="1">
        <f t="array" ref="C48">IFERROR(INDEX(C36:C39,MATCH(C35,B36:B39)+1),0)</f>
        <v>0</v>
      </c>
      <c r="D48" s="378" t="s">
        <v>721</v>
      </c>
      <c r="E48" s="203"/>
      <c r="F48" s="81" t="s">
        <v>731</v>
      </c>
      <c r="G48" s="507" cm="1">
        <f t="array" ref="G48">IFERROR(INDEX(G36:G39,MATCH(G35,F36:F39)+1),0)</f>
        <v>0</v>
      </c>
      <c r="H48" s="378" t="s">
        <v>721</v>
      </c>
      <c r="I48"/>
      <c r="J48" s="81" t="s">
        <v>731</v>
      </c>
      <c r="K48" s="507" cm="1">
        <f t="array" ref="K48">IFERROR(INDEX(K36:K39,MATCH(K35,J36:J39)+1),0)</f>
        <v>0</v>
      </c>
      <c r="L48" s="378" t="s">
        <v>721</v>
      </c>
    </row>
    <row r="49" spans="1:12" s="73" customFormat="1">
      <c r="B49" s="81" t="s">
        <v>618</v>
      </c>
      <c r="C49" s="531">
        <f>IFERROR(C47*$C32,0)</f>
        <v>0</v>
      </c>
      <c r="D49" s="378" t="s">
        <v>723</v>
      </c>
      <c r="E49" s="203"/>
      <c r="F49" s="81" t="s">
        <v>618</v>
      </c>
      <c r="G49" s="531">
        <f>IFERROR(G47*$C32,0)</f>
        <v>0</v>
      </c>
      <c r="H49" s="378" t="s">
        <v>723</v>
      </c>
      <c r="I49"/>
      <c r="J49" s="81" t="s">
        <v>618</v>
      </c>
      <c r="K49" s="531">
        <f>IFERROR(K47*$C32,0)</f>
        <v>0</v>
      </c>
      <c r="L49" s="378" t="s">
        <v>723</v>
      </c>
    </row>
    <row r="50" spans="1:12" s="73" customFormat="1">
      <c r="B50" s="81" t="s">
        <v>619</v>
      </c>
      <c r="C50" s="531">
        <f>IFERROR(C48*$C32,0)</f>
        <v>0</v>
      </c>
      <c r="D50" s="378" t="s">
        <v>723</v>
      </c>
      <c r="E50" s="203"/>
      <c r="F50" s="81" t="s">
        <v>619</v>
      </c>
      <c r="G50" s="531">
        <f>IFERROR(G48*$C32,0)</f>
        <v>0</v>
      </c>
      <c r="H50" s="378" t="s">
        <v>723</v>
      </c>
      <c r="I50"/>
      <c r="J50" s="81" t="s">
        <v>619</v>
      </c>
      <c r="K50" s="531">
        <f>IFERROR(K48*$C32,0)</f>
        <v>0</v>
      </c>
      <c r="L50" s="378" t="s">
        <v>723</v>
      </c>
    </row>
    <row r="51" spans="1:12" s="73" customFormat="1">
      <c r="A51" s="76"/>
      <c r="C51" s="203"/>
      <c r="D51" s="203"/>
      <c r="E51" s="203"/>
      <c r="I51"/>
    </row>
    <row r="52" spans="1:12" s="73" customFormat="1">
      <c r="A52" s="76"/>
      <c r="B52" s="203" t="str">
        <f>'OSNOVNI PODATKI'!A67</f>
        <v>STAVBA 3 / DEL 3</v>
      </c>
      <c r="C52" s="533">
        <f>'OSNOVNI PODATKI'!E67</f>
        <v>0</v>
      </c>
      <c r="D52" s="203"/>
      <c r="E52" s="203"/>
      <c r="I52"/>
    </row>
    <row r="53" spans="1:12" s="73" customFormat="1">
      <c r="A53" s="76"/>
      <c r="B53" s="198" t="s">
        <v>617</v>
      </c>
      <c r="C53" s="81" t="str">
        <f>'OSNOVNI PODATKI'!E68</f>
        <v>47. Hoteli, moteli</v>
      </c>
      <c r="D53" s="489"/>
      <c r="E53" s="203"/>
      <c r="I53"/>
    </row>
    <row r="54" spans="1:12" s="73" customFormat="1">
      <c r="A54" s="76"/>
      <c r="B54" s="198" t="s">
        <v>788</v>
      </c>
      <c r="C54" s="81">
        <f>'OSNOVNI PODATKI'!E69</f>
        <v>0</v>
      </c>
      <c r="D54" s="489"/>
      <c r="E54" s="203"/>
      <c r="F54" s="489"/>
      <c r="G54" s="489"/>
      <c r="H54" s="489"/>
      <c r="I54"/>
    </row>
    <row r="55" spans="1:12" s="73" customFormat="1">
      <c r="A55" s="76"/>
      <c r="B55" s="198" t="s">
        <v>789</v>
      </c>
      <c r="C55" s="81">
        <f>IF($C$5=1,$C$6,C54)</f>
        <v>0</v>
      </c>
      <c r="D55" s="489"/>
      <c r="E55" s="203"/>
      <c r="I55"/>
    </row>
    <row r="56" spans="1:12" s="73" customFormat="1">
      <c r="A56" s="76"/>
      <c r="B56" s="530" t="s">
        <v>729</v>
      </c>
      <c r="C56" s="529">
        <f>'OSNOVNI PODATKI'!E79</f>
        <v>646.40000000000009</v>
      </c>
      <c r="D56" s="489"/>
      <c r="E56" s="203"/>
      <c r="F56" s="530"/>
      <c r="G56" s="571"/>
      <c r="I56"/>
      <c r="J56" s="530"/>
      <c r="K56" s="571"/>
    </row>
    <row r="57" spans="1:12" s="73" customFormat="1">
      <c r="A57" s="76"/>
      <c r="B57" s="198" t="s">
        <v>100</v>
      </c>
      <c r="C57" s="81" t="str">
        <f>'OSNOVNI PODATKI'!E72</f>
        <v>Cenovni razred II</v>
      </c>
      <c r="D57" s="489"/>
      <c r="E57" s="203"/>
      <c r="F57" s="198" t="s">
        <v>100</v>
      </c>
      <c r="G57" s="81" t="str">
        <f>'OSNOVNI PODATKI'!E73</f>
        <v>Cenovni razred II</v>
      </c>
      <c r="I57"/>
      <c r="J57" s="198" t="s">
        <v>100</v>
      </c>
      <c r="K57" s="81" t="str">
        <f>'OSNOVNI PODATKI'!E74</f>
        <v>Cenovni razred II</v>
      </c>
    </row>
    <row r="58" spans="1:12" s="73" customFormat="1">
      <c r="A58" s="76"/>
      <c r="B58" s="522" t="s">
        <v>70</v>
      </c>
      <c r="C58" s="523">
        <f>IFERROR((0.0331*POWER(C65*C55*(1000+C56),0.7868))/C55,0)</f>
        <v>0</v>
      </c>
      <c r="D58" s="524" t="s">
        <v>722</v>
      </c>
      <c r="E58" s="203"/>
      <c r="F58" s="522" t="s">
        <v>70</v>
      </c>
      <c r="G58" s="523">
        <f>IFERROR((0.0331*POWER(C66*C55*(1000+C56),0.7868))/C55,0)</f>
        <v>0</v>
      </c>
      <c r="H58" s="524" t="s">
        <v>722</v>
      </c>
      <c r="I58"/>
      <c r="J58" s="522" t="s">
        <v>70</v>
      </c>
      <c r="K58" s="523">
        <f>IFERROR((0.0331*POWER(C67*C55*(1000+C56),0.7868))/C55,0)</f>
        <v>0</v>
      </c>
      <c r="L58" s="524" t="s">
        <v>722</v>
      </c>
    </row>
    <row r="59" spans="1:12" s="73" customFormat="1">
      <c r="A59" s="76"/>
      <c r="B59" s="525" t="s">
        <v>71</v>
      </c>
      <c r="C59" s="526">
        <f>IFERROR((0.0392*POWER(C65*C55*(1000+C56),0.7872))/C55,0)</f>
        <v>0</v>
      </c>
      <c r="D59" s="488" t="s">
        <v>722</v>
      </c>
      <c r="E59" s="203"/>
      <c r="F59" s="525" t="s">
        <v>71</v>
      </c>
      <c r="G59" s="526">
        <f>IFERROR((0.0392*POWER(C66*C55*(1000+C56),0.7872))/C55,0)</f>
        <v>0</v>
      </c>
      <c r="H59" s="488" t="s">
        <v>722</v>
      </c>
      <c r="I59"/>
      <c r="J59" s="525" t="s">
        <v>71</v>
      </c>
      <c r="K59" s="526">
        <f>IFERROR((0.0392*POWER(C67*C55*(1000+C56),0.7872))/C55,0)</f>
        <v>0</v>
      </c>
      <c r="L59" s="488" t="s">
        <v>722</v>
      </c>
    </row>
    <row r="60" spans="1:12" s="73" customFormat="1">
      <c r="A60" s="76"/>
      <c r="B60" s="525" t="s">
        <v>72</v>
      </c>
      <c r="C60" s="526">
        <f>IFERROR((0.0458*POWER(C65*C55*(1000+C56),0.7877))/C55,0)</f>
        <v>0</v>
      </c>
      <c r="D60" s="488" t="s">
        <v>722</v>
      </c>
      <c r="E60" s="203"/>
      <c r="F60" s="525" t="s">
        <v>72</v>
      </c>
      <c r="G60" s="526">
        <f>IFERROR((0.0458*POWER(C66*C55*(1000+C56),0.7877))/C55,0)</f>
        <v>0</v>
      </c>
      <c r="H60" s="488" t="s">
        <v>722</v>
      </c>
      <c r="I60"/>
      <c r="J60" s="525" t="s">
        <v>72</v>
      </c>
      <c r="K60" s="526">
        <f>IFERROR((0.0458*POWER(C67*C55*(1000+C56),0.7877))/C55,0)</f>
        <v>0</v>
      </c>
      <c r="L60" s="488" t="s">
        <v>722</v>
      </c>
    </row>
    <row r="61" spans="1:12" s="73" customFormat="1">
      <c r="A61" s="76"/>
      <c r="B61" s="525" t="s">
        <v>73</v>
      </c>
      <c r="C61" s="526">
        <f>IFERROR((0.0528*POWER(C65*C55*(1000+C56),0.7867))/C55,0)</f>
        <v>0</v>
      </c>
      <c r="D61" s="488" t="s">
        <v>722</v>
      </c>
      <c r="E61" s="203"/>
      <c r="F61" s="525" t="s">
        <v>73</v>
      </c>
      <c r="G61" s="526">
        <f>IFERROR((0.0528*POWER(C66*C55*(1000+C56),0.7867))/C55,0)</f>
        <v>0</v>
      </c>
      <c r="H61" s="488" t="s">
        <v>722</v>
      </c>
      <c r="I61"/>
      <c r="J61" s="525" t="s">
        <v>73</v>
      </c>
      <c r="K61" s="526">
        <f>IFERROR((0.0528*POWER(C67*C55*(1000+C56),0.7867))/C55,0)</f>
        <v>0</v>
      </c>
      <c r="L61" s="488" t="s">
        <v>722</v>
      </c>
    </row>
    <row r="62" spans="1:12" s="73" customFormat="1">
      <c r="A62" s="76"/>
      <c r="B62" s="525"/>
      <c r="C62" s="526"/>
      <c r="D62" s="488"/>
      <c r="E62" s="203"/>
      <c r="F62" s="525"/>
      <c r="G62" s="526"/>
      <c r="H62" s="488"/>
      <c r="I62"/>
      <c r="J62" s="525"/>
      <c r="K62" s="526"/>
      <c r="L62" s="488"/>
    </row>
    <row r="63" spans="1:12" s="73" customFormat="1">
      <c r="A63" s="76"/>
      <c r="B63" s="525"/>
      <c r="C63" s="526"/>
      <c r="D63" s="488"/>
      <c r="E63" s="203"/>
      <c r="F63" s="525"/>
      <c r="G63" s="526"/>
      <c r="H63" s="488"/>
      <c r="I63"/>
      <c r="J63" s="525"/>
      <c r="K63" s="526"/>
      <c r="L63" s="488"/>
    </row>
    <row r="64" spans="1:12" s="73" customFormat="1">
      <c r="A64" s="76"/>
      <c r="B64" s="525" t="str">
        <f>'OSNOVNI PODATKI'!B85</f>
        <v>GRADBENO OBRTNIŠKA DELA (GO)</v>
      </c>
      <c r="C64" s="625">
        <f>'OSNOVNI PODATKI'!D85</f>
        <v>0.70399999999999996</v>
      </c>
      <c r="D64" s="623"/>
      <c r="E64" s="628"/>
      <c r="F64" s="203"/>
      <c r="J64" s="627"/>
      <c r="L64" s="621"/>
    </row>
    <row r="65" spans="1:12" s="73" customFormat="1">
      <c r="A65" s="76"/>
      <c r="B65" s="525" t="str">
        <f>'OSNOVNI PODATKI'!B86</f>
        <v>ELEKTRIČNE INŠTALACIJE (EI)</v>
      </c>
      <c r="C65" s="625">
        <f>'OSNOVNI PODATKI'!D86</f>
        <v>0.13506720000000003</v>
      </c>
      <c r="D65" s="623"/>
      <c r="E65" s="628"/>
      <c r="F65" s="203"/>
      <c r="J65" s="628"/>
      <c r="K65" s="628"/>
      <c r="L65" s="621"/>
    </row>
    <row r="66" spans="1:12" s="73" customFormat="1">
      <c r="A66" s="76"/>
      <c r="B66" s="525" t="str">
        <f>'OSNOVNI PODATKI'!B87</f>
        <v>STROJNE INŠTALACIJE (SI)</v>
      </c>
      <c r="C66" s="625">
        <f>'OSNOVNI PODATKI'!D87</f>
        <v>0.118992</v>
      </c>
      <c r="D66" s="623"/>
      <c r="E66" s="628"/>
      <c r="F66" s="203"/>
      <c r="J66" s="627"/>
      <c r="K66" s="620"/>
      <c r="L66" s="621"/>
    </row>
    <row r="67" spans="1:12" s="73" customFormat="1">
      <c r="A67" s="76"/>
      <c r="B67" s="525" t="str">
        <f>'OSNOVNI PODATKI'!B88</f>
        <v>TEHNOLOGIJA (TH)</v>
      </c>
      <c r="C67" s="625">
        <f>'OSNOVNI PODATKI'!D88</f>
        <v>4.1736000000000002E-2</v>
      </c>
      <c r="D67" s="623"/>
      <c r="E67" s="628"/>
      <c r="F67" s="203"/>
      <c r="J67" s="525"/>
      <c r="K67" s="620"/>
      <c r="L67" s="621"/>
    </row>
    <row r="68" spans="1:12" s="73" customFormat="1">
      <c r="A68" s="76"/>
      <c r="B68" s="525"/>
      <c r="C68" s="526"/>
      <c r="D68" s="488"/>
      <c r="E68" s="203"/>
      <c r="F68" s="525"/>
      <c r="G68" s="526"/>
      <c r="H68" s="488"/>
      <c r="I68"/>
      <c r="J68" s="525"/>
      <c r="K68" s="526"/>
      <c r="L68" s="488"/>
    </row>
    <row r="69" spans="1:12" s="73" customFormat="1" ht="14.25">
      <c r="B69" s="81" t="s">
        <v>730</v>
      </c>
      <c r="C69" s="507">
        <f>IFERROR(LOOKUP(C57,B58:C61),0)</f>
        <v>0</v>
      </c>
      <c r="D69" s="378" t="s">
        <v>721</v>
      </c>
      <c r="E69" s="203"/>
      <c r="F69" s="81" t="s">
        <v>730</v>
      </c>
      <c r="G69" s="507">
        <f>IFERROR(LOOKUP(G57,F58:G61),0)</f>
        <v>0</v>
      </c>
      <c r="H69" s="378" t="s">
        <v>721</v>
      </c>
      <c r="I69"/>
      <c r="J69" s="81" t="s">
        <v>730</v>
      </c>
      <c r="K69" s="507">
        <f>IFERROR(LOOKUP(K57,J58:K61),0)</f>
        <v>0</v>
      </c>
      <c r="L69" s="378" t="s">
        <v>721</v>
      </c>
    </row>
    <row r="70" spans="1:12" s="73" customFormat="1" ht="14.25">
      <c r="B70" s="81" t="s">
        <v>731</v>
      </c>
      <c r="C70" s="507" cm="1">
        <f t="array" ref="C70">IFERROR(INDEX(C58:C61,MATCH(C57,B58:B61)+1),0)</f>
        <v>0</v>
      </c>
      <c r="D70" s="378" t="s">
        <v>721</v>
      </c>
      <c r="E70" s="203"/>
      <c r="F70" s="81" t="s">
        <v>731</v>
      </c>
      <c r="G70" s="507" cm="1">
        <f t="array" ref="G70">IFERROR(INDEX(G58:G61,MATCH(G57,F58:F61)+1),0)</f>
        <v>0</v>
      </c>
      <c r="H70" s="378" t="s">
        <v>721</v>
      </c>
      <c r="I70"/>
      <c r="J70" s="81" t="s">
        <v>731</v>
      </c>
      <c r="K70" s="507" cm="1">
        <f t="array" ref="K70">IFERROR(INDEX(K58:K61,MATCH(K57,J58:J61)+1),0)</f>
        <v>0</v>
      </c>
      <c r="L70" s="378" t="s">
        <v>721</v>
      </c>
    </row>
    <row r="71" spans="1:12" s="73" customFormat="1">
      <c r="B71" s="81" t="s">
        <v>618</v>
      </c>
      <c r="C71" s="531">
        <f>IFERROR(C69*$C54,0)</f>
        <v>0</v>
      </c>
      <c r="D71" s="378" t="s">
        <v>723</v>
      </c>
      <c r="E71" s="203"/>
      <c r="F71" s="81" t="s">
        <v>618</v>
      </c>
      <c r="G71" s="531">
        <f>IFERROR(G69*$C54,0)</f>
        <v>0</v>
      </c>
      <c r="H71" s="378" t="s">
        <v>723</v>
      </c>
      <c r="I71"/>
      <c r="J71" s="81" t="s">
        <v>618</v>
      </c>
      <c r="K71" s="531">
        <f>IFERROR(K69*$C54,0)</f>
        <v>0</v>
      </c>
      <c r="L71" s="378" t="s">
        <v>723</v>
      </c>
    </row>
    <row r="72" spans="1:12" s="73" customFormat="1">
      <c r="B72" s="81" t="s">
        <v>619</v>
      </c>
      <c r="C72" s="531">
        <f>IFERROR(C70*$C54,0)</f>
        <v>0</v>
      </c>
      <c r="D72" s="378" t="s">
        <v>723</v>
      </c>
      <c r="E72" s="203"/>
      <c r="F72" s="81" t="s">
        <v>619</v>
      </c>
      <c r="G72" s="531">
        <f>IFERROR(G70*$C54,0)</f>
        <v>0</v>
      </c>
      <c r="H72" s="378" t="s">
        <v>723</v>
      </c>
      <c r="I72"/>
      <c r="J72" s="81" t="s">
        <v>619</v>
      </c>
      <c r="K72" s="531">
        <f>IFERROR(K70*$C54,0)</f>
        <v>0</v>
      </c>
      <c r="L72" s="378" t="s">
        <v>723</v>
      </c>
    </row>
    <row r="73" spans="1:12" s="73" customFormat="1">
      <c r="A73" s="76"/>
      <c r="C73" s="203"/>
      <c r="D73" s="203"/>
      <c r="E73" s="203"/>
      <c r="I73"/>
    </row>
    <row r="74" spans="1:12" s="73" customFormat="1">
      <c r="A74" s="76"/>
      <c r="B74" s="203" t="str">
        <f>'OSNOVNI PODATKI'!A93</f>
        <v>STAVBA 4 / DEL 4</v>
      </c>
      <c r="C74" s="533">
        <f>'OSNOVNI PODATKI'!E93</f>
        <v>0</v>
      </c>
      <c r="D74" s="203"/>
      <c r="E74" s="203"/>
      <c r="I74"/>
    </row>
    <row r="75" spans="1:12" s="73" customFormat="1">
      <c r="A75" s="76"/>
      <c r="B75" s="198" t="s">
        <v>617</v>
      </c>
      <c r="C75" s="81" t="str">
        <f>'OSNOVNI PODATKI'!E94</f>
        <v>17. Šole z nadpovprečnimi načrtovalskimi potrebami - izobraževalni centri, visoke šole, univerze, akademije</v>
      </c>
      <c r="D75" s="489"/>
      <c r="E75" s="203"/>
      <c r="I75"/>
    </row>
    <row r="76" spans="1:12" s="73" customFormat="1">
      <c r="A76" s="76"/>
      <c r="B76" s="198" t="s">
        <v>788</v>
      </c>
      <c r="C76" s="81">
        <f>'OSNOVNI PODATKI'!E95</f>
        <v>0</v>
      </c>
      <c r="D76" s="489"/>
      <c r="E76" s="203"/>
      <c r="F76" s="489"/>
      <c r="G76" s="489"/>
      <c r="H76" s="489"/>
      <c r="I76"/>
    </row>
    <row r="77" spans="1:12" s="73" customFormat="1">
      <c r="A77" s="76"/>
      <c r="B77" s="198" t="s">
        <v>789</v>
      </c>
      <c r="C77" s="81">
        <f>IF($C$5=1,$C$6,C76)</f>
        <v>0</v>
      </c>
      <c r="D77" s="489"/>
      <c r="E77" s="203"/>
      <c r="I77"/>
    </row>
    <row r="78" spans="1:12" s="73" customFormat="1">
      <c r="A78" s="76"/>
      <c r="B78" s="530" t="s">
        <v>729</v>
      </c>
      <c r="C78" s="529">
        <f>'OSNOVNI PODATKI'!E105</f>
        <v>785</v>
      </c>
      <c r="D78" s="489"/>
      <c r="E78" s="203"/>
      <c r="F78" s="530"/>
      <c r="G78" s="571"/>
      <c r="I78"/>
      <c r="J78" s="530"/>
      <c r="K78" s="571"/>
    </row>
    <row r="79" spans="1:12" s="73" customFormat="1">
      <c r="A79" s="76"/>
      <c r="B79" s="198" t="s">
        <v>100</v>
      </c>
      <c r="C79" s="81" t="str">
        <f>'OSNOVNI PODATKI'!E98</f>
        <v>Cenovni razred II</v>
      </c>
      <c r="D79" s="489"/>
      <c r="E79" s="203"/>
      <c r="F79" s="198" t="s">
        <v>100</v>
      </c>
      <c r="G79" s="81" t="str">
        <f>'OSNOVNI PODATKI'!E99</f>
        <v>Cenovni razred II</v>
      </c>
      <c r="I79"/>
      <c r="J79" s="198" t="s">
        <v>100</v>
      </c>
      <c r="K79" s="81" t="str">
        <f>'OSNOVNI PODATKI'!E100</f>
        <v>Cenovni razred II</v>
      </c>
    </row>
    <row r="80" spans="1:12" s="73" customFormat="1">
      <c r="A80" s="76"/>
      <c r="B80" s="522" t="s">
        <v>70</v>
      </c>
      <c r="C80" s="523">
        <f>IFERROR((0.0331*POWER(C87*C77*(1000+C78),0.7868))/C77,0)</f>
        <v>0</v>
      </c>
      <c r="D80" s="524" t="s">
        <v>722</v>
      </c>
      <c r="E80" s="203"/>
      <c r="F80" s="522" t="s">
        <v>70</v>
      </c>
      <c r="G80" s="523">
        <f>IFERROR((0.0331*POWER(C88*C77*(1000+C78),0.7868))/C77,0)</f>
        <v>0</v>
      </c>
      <c r="H80" s="524" t="s">
        <v>722</v>
      </c>
      <c r="I80"/>
      <c r="J80" s="522" t="s">
        <v>70</v>
      </c>
      <c r="K80" s="523">
        <f>IFERROR((0.0331*POWER(C89*C77*(1000+C78),0.7868))/C77,0)</f>
        <v>0</v>
      </c>
      <c r="L80" s="524" t="s">
        <v>722</v>
      </c>
    </row>
    <row r="81" spans="1:12" s="73" customFormat="1">
      <c r="A81" s="76"/>
      <c r="B81" s="525" t="s">
        <v>71</v>
      </c>
      <c r="C81" s="526">
        <f>IFERROR((0.0392*POWER(C87*C77*(1000+C78),0.7872))/C77,0)</f>
        <v>0</v>
      </c>
      <c r="D81" s="488" t="s">
        <v>722</v>
      </c>
      <c r="E81" s="203"/>
      <c r="F81" s="525" t="s">
        <v>71</v>
      </c>
      <c r="G81" s="526">
        <f>IFERROR((0.0392*POWER(C88*C77*(1000+C78),0.7872))/C77,0)</f>
        <v>0</v>
      </c>
      <c r="H81" s="488" t="s">
        <v>722</v>
      </c>
      <c r="I81"/>
      <c r="J81" s="525" t="s">
        <v>71</v>
      </c>
      <c r="K81" s="526">
        <f>IFERROR((0.0392*POWER(C89*C77*(1000+C78),0.7872))/C77,0)</f>
        <v>0</v>
      </c>
      <c r="L81" s="488" t="s">
        <v>722</v>
      </c>
    </row>
    <row r="82" spans="1:12" s="73" customFormat="1">
      <c r="A82" s="76"/>
      <c r="B82" s="525" t="s">
        <v>72</v>
      </c>
      <c r="C82" s="526">
        <f>IFERROR((0.0458*POWER(C87*C77*(1000+C78),0.7877))/C77,0)</f>
        <v>0</v>
      </c>
      <c r="D82" s="488" t="s">
        <v>722</v>
      </c>
      <c r="E82" s="203"/>
      <c r="F82" s="525" t="s">
        <v>72</v>
      </c>
      <c r="G82" s="526">
        <f>IFERROR((0.0458*POWER(C88*C77*(1000+C78),0.7877))/C77,0)</f>
        <v>0</v>
      </c>
      <c r="H82" s="488" t="s">
        <v>722</v>
      </c>
      <c r="I82"/>
      <c r="J82" s="525" t="s">
        <v>72</v>
      </c>
      <c r="K82" s="526">
        <f>IFERROR((0.0458*POWER(C89*C77*(1000+C78),0.7877))/C77,0)</f>
        <v>0</v>
      </c>
      <c r="L82" s="488" t="s">
        <v>722</v>
      </c>
    </row>
    <row r="83" spans="1:12" s="73" customFormat="1">
      <c r="A83" s="76"/>
      <c r="B83" s="525" t="s">
        <v>73</v>
      </c>
      <c r="C83" s="526">
        <f>IFERROR((0.0528*POWER(C87*C77*(1000+C78),0.7867))/C77,0)</f>
        <v>0</v>
      </c>
      <c r="D83" s="488" t="s">
        <v>722</v>
      </c>
      <c r="E83" s="203"/>
      <c r="F83" s="525" t="s">
        <v>73</v>
      </c>
      <c r="G83" s="526">
        <f>IFERROR((0.0528*POWER(C88*C77*(1000+C78),0.7867))/C77,0)</f>
        <v>0</v>
      </c>
      <c r="H83" s="488" t="s">
        <v>722</v>
      </c>
      <c r="I83"/>
      <c r="J83" s="525" t="s">
        <v>73</v>
      </c>
      <c r="K83" s="526">
        <f>IFERROR((0.0528*POWER(C89*C77*(1000+C78),0.7867))/C77,0)</f>
        <v>0</v>
      </c>
      <c r="L83" s="488" t="s">
        <v>722</v>
      </c>
    </row>
    <row r="84" spans="1:12" s="73" customFormat="1">
      <c r="A84" s="76"/>
      <c r="B84" s="525"/>
      <c r="C84" s="526"/>
      <c r="D84" s="488"/>
      <c r="E84" s="203"/>
      <c r="F84" s="525"/>
      <c r="G84" s="526"/>
      <c r="H84" s="488"/>
      <c r="I84"/>
      <c r="J84" s="525"/>
      <c r="K84" s="526"/>
      <c r="L84" s="488"/>
    </row>
    <row r="85" spans="1:12" s="73" customFormat="1">
      <c r="A85" s="76"/>
      <c r="B85" s="525"/>
      <c r="C85" s="526"/>
      <c r="D85" s="488"/>
      <c r="E85" s="203"/>
      <c r="F85" s="525"/>
      <c r="G85" s="526"/>
      <c r="H85" s="488"/>
      <c r="I85"/>
      <c r="J85" s="525"/>
      <c r="K85" s="526"/>
      <c r="L85" s="488"/>
    </row>
    <row r="86" spans="1:12" s="73" customFormat="1">
      <c r="A86" s="76"/>
      <c r="B86" s="525" t="str">
        <f>'OSNOVNI PODATKI'!B111</f>
        <v>GRADBENO OBRTNIŠKA DELA (GO)</v>
      </c>
      <c r="C86" s="625">
        <f>'OSNOVNI PODATKI'!D111</f>
        <v>0.76200000000000001</v>
      </c>
      <c r="D86" s="623"/>
      <c r="E86" s="628"/>
      <c r="F86" s="203"/>
      <c r="J86" s="627"/>
      <c r="L86" s="621"/>
    </row>
    <row r="87" spans="1:12" s="73" customFormat="1">
      <c r="A87" s="76"/>
      <c r="B87" s="525" t="str">
        <f>'OSNOVNI PODATKI'!B112</f>
        <v>ELEKTRIČNE INŠTALACIJE (EI)</v>
      </c>
      <c r="C87" s="625">
        <f>'OSNOVNI PODATKI'!D112</f>
        <v>7.9730000000000009E-2</v>
      </c>
      <c r="D87" s="623"/>
      <c r="E87" s="628"/>
      <c r="F87" s="203"/>
      <c r="J87" s="628"/>
      <c r="K87" s="628"/>
      <c r="L87" s="621"/>
    </row>
    <row r="88" spans="1:12" s="73" customFormat="1">
      <c r="A88" s="76"/>
      <c r="B88" s="525" t="str">
        <f>'OSNOVNI PODATKI'!B113</f>
        <v>STROJNE INŠTALACIJE (SI)</v>
      </c>
      <c r="C88" s="625">
        <f>'OSNOVNI PODATKI'!D113</f>
        <v>0.11876200000000001</v>
      </c>
      <c r="D88" s="623"/>
      <c r="E88" s="628"/>
      <c r="F88" s="203"/>
      <c r="J88" s="627"/>
      <c r="K88" s="620"/>
      <c r="L88" s="621"/>
    </row>
    <row r="89" spans="1:12" s="73" customFormat="1">
      <c r="A89" s="76"/>
      <c r="B89" s="525" t="str">
        <f>'OSNOVNI PODATKI'!B114</f>
        <v>TEHNOLOGIJA (TH)</v>
      </c>
      <c r="C89" s="625">
        <f>'OSNOVNI PODATKI'!D114</f>
        <v>3.9508000000000008E-2</v>
      </c>
      <c r="D89" s="623"/>
      <c r="E89" s="628"/>
      <c r="F89" s="203"/>
      <c r="J89" s="525"/>
      <c r="K89" s="620"/>
      <c r="L89" s="621"/>
    </row>
    <row r="90" spans="1:12" s="73" customFormat="1">
      <c r="A90" s="76"/>
      <c r="B90" s="525"/>
      <c r="C90" s="526"/>
      <c r="D90" s="488"/>
      <c r="E90" s="203"/>
      <c r="F90" s="525"/>
      <c r="G90" s="526"/>
      <c r="H90" s="488"/>
      <c r="I90"/>
      <c r="J90" s="525"/>
      <c r="K90" s="526"/>
      <c r="L90" s="488"/>
    </row>
    <row r="91" spans="1:12" s="73" customFormat="1" ht="14.25">
      <c r="B91" s="81" t="s">
        <v>730</v>
      </c>
      <c r="C91" s="507">
        <f>IFERROR(LOOKUP(C79,B80:C83),0)</f>
        <v>0</v>
      </c>
      <c r="D91" s="378" t="s">
        <v>721</v>
      </c>
      <c r="E91" s="203"/>
      <c r="F91" s="81" t="s">
        <v>730</v>
      </c>
      <c r="G91" s="507">
        <f>IFERROR(LOOKUP(G79,F80:G83),0)</f>
        <v>0</v>
      </c>
      <c r="H91" s="378" t="s">
        <v>721</v>
      </c>
      <c r="I91"/>
      <c r="J91" s="81" t="s">
        <v>730</v>
      </c>
      <c r="K91" s="507">
        <f>IFERROR(LOOKUP(K79,J80:K83),0)</f>
        <v>0</v>
      </c>
      <c r="L91" s="378" t="s">
        <v>721</v>
      </c>
    </row>
    <row r="92" spans="1:12" s="73" customFormat="1" ht="14.25">
      <c r="B92" s="81" t="s">
        <v>731</v>
      </c>
      <c r="C92" s="507" cm="1">
        <f t="array" ref="C92">IFERROR(INDEX(C80:C83,MATCH(C79,B80:B83)+1),0)</f>
        <v>0</v>
      </c>
      <c r="D92" s="378" t="s">
        <v>721</v>
      </c>
      <c r="E92" s="203"/>
      <c r="F92" s="81" t="s">
        <v>731</v>
      </c>
      <c r="G92" s="507" cm="1">
        <f t="array" ref="G92">IFERROR(INDEX(G80:G83,MATCH(G79,F80:F83)+1),0)</f>
        <v>0</v>
      </c>
      <c r="H92" s="378" t="s">
        <v>721</v>
      </c>
      <c r="I92"/>
      <c r="J92" s="81" t="s">
        <v>731</v>
      </c>
      <c r="K92" s="507" cm="1">
        <f t="array" ref="K92">IFERROR(INDEX(K80:K83,MATCH(K79,J80:J83)+1),0)</f>
        <v>0</v>
      </c>
      <c r="L92" s="378" t="s">
        <v>721</v>
      </c>
    </row>
    <row r="93" spans="1:12" s="73" customFormat="1">
      <c r="B93" s="81" t="s">
        <v>618</v>
      </c>
      <c r="C93" s="531">
        <f>IFERROR(C91*$C76,0)</f>
        <v>0</v>
      </c>
      <c r="D93" s="378" t="s">
        <v>723</v>
      </c>
      <c r="E93" s="203"/>
      <c r="F93" s="81" t="s">
        <v>618</v>
      </c>
      <c r="G93" s="531">
        <f>IFERROR(G91*$C76,0)</f>
        <v>0</v>
      </c>
      <c r="H93" s="378" t="s">
        <v>723</v>
      </c>
      <c r="I93"/>
      <c r="J93" s="81" t="s">
        <v>618</v>
      </c>
      <c r="K93" s="531">
        <f>IFERROR(K91*$C76,0)</f>
        <v>0</v>
      </c>
      <c r="L93" s="378" t="s">
        <v>723</v>
      </c>
    </row>
    <row r="94" spans="1:12" s="73" customFormat="1">
      <c r="B94" s="81" t="s">
        <v>619</v>
      </c>
      <c r="C94" s="531">
        <f>IFERROR(C92*$C76,0)</f>
        <v>0</v>
      </c>
      <c r="D94" s="378" t="s">
        <v>723</v>
      </c>
      <c r="E94" s="203"/>
      <c r="F94" s="81" t="s">
        <v>619</v>
      </c>
      <c r="G94" s="531">
        <f>IFERROR(G92*$C76,0)</f>
        <v>0</v>
      </c>
      <c r="H94" s="378" t="s">
        <v>723</v>
      </c>
      <c r="I94"/>
      <c r="J94" s="81" t="s">
        <v>619</v>
      </c>
      <c r="K94" s="531">
        <f>IFERROR(K92*$C76,0)</f>
        <v>0</v>
      </c>
      <c r="L94" s="378" t="s">
        <v>723</v>
      </c>
    </row>
    <row r="95" spans="1:12" s="73" customFormat="1">
      <c r="A95" s="76"/>
      <c r="C95" s="203"/>
      <c r="D95" s="203"/>
      <c r="E95" s="203"/>
      <c r="I95"/>
    </row>
    <row r="96" spans="1:12" s="73" customFormat="1">
      <c r="A96" s="76"/>
      <c r="B96" s="203" t="str">
        <f>'OSNOVNI PODATKI'!A119</f>
        <v>STAVBA 5 / DEL 5</v>
      </c>
      <c r="C96" s="533">
        <f>'OSNOVNI PODATKI'!E119</f>
        <v>0</v>
      </c>
      <c r="D96" s="203"/>
      <c r="E96" s="203"/>
      <c r="I96"/>
    </row>
    <row r="97" spans="1:12" s="73" customFormat="1">
      <c r="A97" s="76"/>
      <c r="B97" s="198" t="s">
        <v>617</v>
      </c>
      <c r="C97" s="81" t="str">
        <f>'OSNOVNI PODATKI'!E120</f>
        <v>22. Pisarniške in upravne stavbe, višji standard</v>
      </c>
      <c r="D97" s="489"/>
      <c r="E97" s="203"/>
      <c r="I97"/>
    </row>
    <row r="98" spans="1:12" s="73" customFormat="1">
      <c r="A98" s="76"/>
      <c r="B98" s="198" t="s">
        <v>788</v>
      </c>
      <c r="C98" s="81">
        <f>'OSNOVNI PODATKI'!E121</f>
        <v>0</v>
      </c>
      <c r="D98" s="489"/>
      <c r="E98" s="203"/>
      <c r="F98" s="489"/>
      <c r="G98" s="489"/>
      <c r="H98" s="489"/>
      <c r="I98"/>
    </row>
    <row r="99" spans="1:12" s="73" customFormat="1">
      <c r="A99" s="76"/>
      <c r="B99" s="198" t="s">
        <v>789</v>
      </c>
      <c r="C99" s="81">
        <f>IF($C$5=1,$C$6,C98)</f>
        <v>0</v>
      </c>
      <c r="D99" s="489"/>
      <c r="E99" s="203"/>
      <c r="I99"/>
    </row>
    <row r="100" spans="1:12" s="73" customFormat="1">
      <c r="A100" s="76"/>
      <c r="B100" s="530" t="s">
        <v>729</v>
      </c>
      <c r="C100" s="529">
        <f>'OSNOVNI PODATKI'!E131</f>
        <v>990.8</v>
      </c>
      <c r="D100" s="489"/>
      <c r="E100" s="203"/>
      <c r="F100" s="530"/>
      <c r="G100" s="571"/>
      <c r="I100"/>
      <c r="J100" s="530"/>
      <c r="K100" s="571"/>
    </row>
    <row r="101" spans="1:12" s="73" customFormat="1">
      <c r="A101" s="76"/>
      <c r="B101" s="198" t="s">
        <v>100</v>
      </c>
      <c r="C101" s="81" t="str">
        <f>'OSNOVNI PODATKI'!E124</f>
        <v>Cenovni razred II</v>
      </c>
      <c r="D101" s="489"/>
      <c r="E101" s="203"/>
      <c r="F101" s="198" t="s">
        <v>100</v>
      </c>
      <c r="G101" s="81" t="str">
        <f>'OSNOVNI PODATKI'!E125</f>
        <v>Cenovni razred II</v>
      </c>
      <c r="I101"/>
      <c r="J101" s="198" t="s">
        <v>100</v>
      </c>
      <c r="K101" s="81" t="str">
        <f>'OSNOVNI PODATKI'!E126</f>
        <v>Cenovni razred II</v>
      </c>
    </row>
    <row r="102" spans="1:12" s="73" customFormat="1">
      <c r="A102" s="76"/>
      <c r="B102" s="522" t="s">
        <v>70</v>
      </c>
      <c r="C102" s="523">
        <f>IFERROR((0.0331*POWER(C109*C99*(1000+C100),0.7868))/C99,0)</f>
        <v>0</v>
      </c>
      <c r="D102" s="524" t="s">
        <v>722</v>
      </c>
      <c r="E102" s="203"/>
      <c r="F102" s="522" t="s">
        <v>70</v>
      </c>
      <c r="G102" s="523">
        <f>IFERROR((0.0331*POWER(C110*C99*(1000+C100),0.7868))/C99,0)</f>
        <v>0</v>
      </c>
      <c r="H102" s="524" t="s">
        <v>722</v>
      </c>
      <c r="I102"/>
      <c r="J102" s="522" t="s">
        <v>70</v>
      </c>
      <c r="K102" s="523">
        <f>IFERROR((0.0331*POWER(C111*C99*(1000+C100),0.7868))/C99,0)</f>
        <v>0</v>
      </c>
      <c r="L102" s="524" t="s">
        <v>722</v>
      </c>
    </row>
    <row r="103" spans="1:12" s="73" customFormat="1">
      <c r="A103" s="76"/>
      <c r="B103" s="525" t="s">
        <v>71</v>
      </c>
      <c r="C103" s="526">
        <f>IFERROR((0.0392*POWER(C109*C99*(1000+C100),0.7872))/C99,0)</f>
        <v>0</v>
      </c>
      <c r="D103" s="488" t="s">
        <v>722</v>
      </c>
      <c r="E103" s="203"/>
      <c r="F103" s="525" t="s">
        <v>71</v>
      </c>
      <c r="G103" s="526">
        <f>IFERROR((0.0392*POWER(C110*C99*(1000+C100),0.7872))/C99,0)</f>
        <v>0</v>
      </c>
      <c r="H103" s="488" t="s">
        <v>722</v>
      </c>
      <c r="I103"/>
      <c r="J103" s="525" t="s">
        <v>71</v>
      </c>
      <c r="K103" s="526">
        <f>IFERROR((0.0392*POWER(C111*C99*(1000+C100),0.7872))/C99,0)</f>
        <v>0</v>
      </c>
      <c r="L103" s="488" t="s">
        <v>722</v>
      </c>
    </row>
    <row r="104" spans="1:12" s="73" customFormat="1">
      <c r="A104" s="76"/>
      <c r="B104" s="525" t="s">
        <v>72</v>
      </c>
      <c r="C104" s="526">
        <f>IFERROR((0.0458*POWER(C109*C99*(1000+C100),0.7877))/C99,0)</f>
        <v>0</v>
      </c>
      <c r="D104" s="488" t="s">
        <v>722</v>
      </c>
      <c r="E104" s="203"/>
      <c r="F104" s="525" t="s">
        <v>72</v>
      </c>
      <c r="G104" s="526">
        <f>IFERROR((0.0458*POWER(C110*C99*(1000+C100),0.7877))/C99,0)</f>
        <v>0</v>
      </c>
      <c r="H104" s="488" t="s">
        <v>722</v>
      </c>
      <c r="I104"/>
      <c r="J104" s="525" t="s">
        <v>72</v>
      </c>
      <c r="K104" s="526">
        <f>IFERROR((0.0458*POWER(C111*C99*(1000+C100),0.7877))/C99,0)</f>
        <v>0</v>
      </c>
      <c r="L104" s="488" t="s">
        <v>722</v>
      </c>
    </row>
    <row r="105" spans="1:12" s="73" customFormat="1">
      <c r="A105" s="76"/>
      <c r="B105" s="525" t="s">
        <v>73</v>
      </c>
      <c r="C105" s="526">
        <f>IFERROR((0.0528*POWER(C109*C99*(1000+C100),0.7867))/C99,0)</f>
        <v>0</v>
      </c>
      <c r="D105" s="488" t="s">
        <v>722</v>
      </c>
      <c r="E105" s="203"/>
      <c r="F105" s="525" t="s">
        <v>73</v>
      </c>
      <c r="G105" s="526">
        <f>IFERROR((0.0528*POWER(C110*C99*(1000+C100),0.7867))/C99,0)</f>
        <v>0</v>
      </c>
      <c r="H105" s="488" t="s">
        <v>722</v>
      </c>
      <c r="I105"/>
      <c r="J105" s="525" t="s">
        <v>73</v>
      </c>
      <c r="K105" s="526">
        <f>IFERROR((0.0528*POWER(C111*C99*(1000+C100),0.7867))/C99,0)</f>
        <v>0</v>
      </c>
      <c r="L105" s="488" t="s">
        <v>722</v>
      </c>
    </row>
    <row r="106" spans="1:12" s="73" customFormat="1">
      <c r="A106" s="76"/>
      <c r="B106" s="525"/>
      <c r="C106" s="526"/>
      <c r="D106" s="488"/>
      <c r="E106" s="203"/>
      <c r="F106" s="525"/>
      <c r="G106" s="526"/>
      <c r="H106" s="488"/>
      <c r="I106"/>
      <c r="J106" s="525"/>
      <c r="K106" s="526"/>
      <c r="L106" s="488"/>
    </row>
    <row r="107" spans="1:12" s="73" customFormat="1">
      <c r="A107" s="76"/>
      <c r="B107" s="525"/>
      <c r="C107" s="526"/>
      <c r="D107" s="488"/>
      <c r="E107" s="203"/>
      <c r="F107" s="525"/>
      <c r="G107" s="526"/>
      <c r="H107" s="488"/>
      <c r="I107"/>
      <c r="J107" s="525"/>
      <c r="K107" s="526"/>
      <c r="L107" s="488"/>
    </row>
    <row r="108" spans="1:12" s="73" customFormat="1">
      <c r="A108" s="76"/>
      <c r="B108" s="525" t="str">
        <f>'OSNOVNI PODATKI'!B137</f>
        <v>GRADBENO OBRTNIŠKA DELA (GO)</v>
      </c>
      <c r="C108" s="625">
        <f>'OSNOVNI PODATKI'!D137</f>
        <v>0.73699999999999999</v>
      </c>
      <c r="D108" s="623"/>
      <c r="E108" s="628"/>
      <c r="F108" s="203"/>
      <c r="J108" s="627"/>
      <c r="L108" s="621"/>
    </row>
    <row r="109" spans="1:12" s="73" customFormat="1">
      <c r="A109" s="76"/>
      <c r="B109" s="525" t="str">
        <f>'OSNOVNI PODATKI'!B133</f>
        <v>INFORMATIVNA OCENA STROŠKOV GRADNJE</v>
      </c>
      <c r="C109" s="625">
        <f>'OSNOVNI PODATKI'!D138</f>
        <v>0.11230100000000003</v>
      </c>
      <c r="D109" s="623"/>
      <c r="E109" s="628"/>
      <c r="F109" s="203"/>
      <c r="J109" s="628"/>
      <c r="K109" s="628"/>
      <c r="L109" s="621"/>
    </row>
    <row r="110" spans="1:12" s="73" customFormat="1">
      <c r="A110" s="76"/>
      <c r="B110" s="525" t="str">
        <f>'OSNOVNI PODATKI'!B134</f>
        <v>INFORMATIVNA VREDNOST STROŠKOV GRADNJE EUR/m2 BTP</v>
      </c>
      <c r="C110" s="625">
        <f>'OSNOVNI PODATKI'!D139</f>
        <v>0.124399</v>
      </c>
      <c r="D110" s="623"/>
      <c r="E110" s="628"/>
      <c r="F110" s="203"/>
      <c r="J110" s="627"/>
      <c r="K110" s="620"/>
      <c r="L110" s="621"/>
    </row>
    <row r="111" spans="1:12" s="73" customFormat="1">
      <c r="A111" s="76"/>
      <c r="B111" s="525" t="str">
        <f>'OSNOVNI PODATKI'!B135</f>
        <v>IZBRANA VREDNOST STROŠKOV GRADNJE EUR/m2 BEP</v>
      </c>
      <c r="C111" s="625">
        <f>'OSNOVNI PODATKI'!D140</f>
        <v>2.6300000000000004E-2</v>
      </c>
      <c r="D111" s="623"/>
      <c r="E111" s="628"/>
      <c r="F111" s="203"/>
      <c r="J111" s="525"/>
      <c r="K111" s="620"/>
      <c r="L111" s="621"/>
    </row>
    <row r="112" spans="1:12" s="73" customFormat="1">
      <c r="A112" s="76"/>
      <c r="B112" s="525"/>
      <c r="C112" s="526"/>
      <c r="D112" s="488"/>
      <c r="E112" s="203"/>
      <c r="F112" s="525"/>
      <c r="G112" s="526"/>
      <c r="H112" s="488"/>
      <c r="I112"/>
      <c r="J112" s="525"/>
      <c r="K112" s="526"/>
      <c r="L112" s="488"/>
    </row>
    <row r="113" spans="1:26" s="73" customFormat="1" ht="14.25">
      <c r="B113" s="81" t="s">
        <v>730</v>
      </c>
      <c r="C113" s="507">
        <f>IFERROR(LOOKUP(C101,B102:C105),0)</f>
        <v>0</v>
      </c>
      <c r="D113" s="378" t="s">
        <v>721</v>
      </c>
      <c r="E113" s="203"/>
      <c r="F113" s="81" t="s">
        <v>730</v>
      </c>
      <c r="G113" s="507">
        <f>IFERROR(LOOKUP(G101,F102:G105),0)</f>
        <v>0</v>
      </c>
      <c r="H113" s="378" t="s">
        <v>721</v>
      </c>
      <c r="I113"/>
      <c r="J113" s="81" t="s">
        <v>730</v>
      </c>
      <c r="K113" s="507">
        <f>IFERROR(LOOKUP(K101,J102:K105),0)</f>
        <v>0</v>
      </c>
      <c r="L113" s="378" t="s">
        <v>721</v>
      </c>
    </row>
    <row r="114" spans="1:26" s="73" customFormat="1" ht="14.25">
      <c r="B114" s="81" t="s">
        <v>731</v>
      </c>
      <c r="C114" s="507" cm="1">
        <f t="array" ref="C114">IFERROR(INDEX(C102:C105,MATCH(C101,B102:B105)+1),0)</f>
        <v>0</v>
      </c>
      <c r="D114" s="378" t="s">
        <v>721</v>
      </c>
      <c r="E114" s="203"/>
      <c r="F114" s="81" t="s">
        <v>731</v>
      </c>
      <c r="G114" s="507" cm="1">
        <f t="array" ref="G114">IFERROR(INDEX(G102:G105,MATCH(G101,F102:F105)+1),0)</f>
        <v>0</v>
      </c>
      <c r="H114" s="378" t="s">
        <v>721</v>
      </c>
      <c r="I114"/>
      <c r="J114" s="81" t="s">
        <v>731</v>
      </c>
      <c r="K114" s="507" cm="1">
        <f t="array" ref="K114">IFERROR(INDEX(K102:K105,MATCH(K101,J102:J105)+1),0)</f>
        <v>0</v>
      </c>
      <c r="L114" s="378" t="s">
        <v>721</v>
      </c>
    </row>
    <row r="115" spans="1:26" s="73" customFormat="1">
      <c r="B115" s="81" t="s">
        <v>618</v>
      </c>
      <c r="C115" s="531">
        <f>IFERROR(C113*$C98,0)</f>
        <v>0</v>
      </c>
      <c r="D115" s="378" t="s">
        <v>723</v>
      </c>
      <c r="E115" s="203"/>
      <c r="F115" s="81" t="s">
        <v>618</v>
      </c>
      <c r="G115" s="531">
        <f>IFERROR(G113*$C98,0)</f>
        <v>0</v>
      </c>
      <c r="H115" s="378" t="s">
        <v>723</v>
      </c>
      <c r="I115"/>
      <c r="J115" s="81" t="s">
        <v>618</v>
      </c>
      <c r="K115" s="531">
        <f>IFERROR(K113*$C98,0)</f>
        <v>0</v>
      </c>
      <c r="L115" s="378" t="s">
        <v>723</v>
      </c>
    </row>
    <row r="116" spans="1:26" s="73" customFormat="1">
      <c r="B116" s="81" t="s">
        <v>619</v>
      </c>
      <c r="C116" s="531">
        <f>IFERROR(C114*$C98,0)</f>
        <v>0</v>
      </c>
      <c r="D116" s="378" t="s">
        <v>723</v>
      </c>
      <c r="E116" s="203"/>
      <c r="F116" s="81" t="s">
        <v>619</v>
      </c>
      <c r="G116" s="531">
        <f>IFERROR(G114*$C98,0)</f>
        <v>0</v>
      </c>
      <c r="H116" s="378" t="s">
        <v>723</v>
      </c>
      <c r="I116"/>
      <c r="J116" s="81" t="s">
        <v>619</v>
      </c>
      <c r="K116" s="531">
        <f>IFERROR(K114*$C98,0)</f>
        <v>0</v>
      </c>
      <c r="L116" s="378" t="s">
        <v>723</v>
      </c>
    </row>
    <row r="117" spans="1:26" s="73" customFormat="1">
      <c r="A117" s="76"/>
      <c r="C117" s="203"/>
      <c r="D117" s="203"/>
      <c r="E117" s="203"/>
      <c r="F117" s="203"/>
      <c r="I117"/>
    </row>
    <row r="118" spans="1:26" customFormat="1" ht="13.5" thickBot="1">
      <c r="T118" s="469"/>
      <c r="U118" s="469"/>
      <c r="V118" s="469"/>
      <c r="W118" s="469"/>
      <c r="X118" s="469"/>
      <c r="Y118" s="469"/>
      <c r="Z118" s="469"/>
    </row>
    <row r="119" spans="1:26" s="73" customFormat="1" ht="18.75">
      <c r="A119" s="786" t="s">
        <v>102</v>
      </c>
      <c r="B119" s="784"/>
      <c r="C119" s="785"/>
      <c r="D119" s="785"/>
      <c r="E119" s="785"/>
      <c r="F119" s="785"/>
      <c r="G119" s="785"/>
      <c r="H119" s="784"/>
      <c r="I119" s="784"/>
      <c r="J119" s="784"/>
    </row>
    <row r="120" spans="1:26" s="73" customFormat="1">
      <c r="A120" s="203"/>
      <c r="B120" s="203"/>
      <c r="C120" s="203"/>
      <c r="D120" s="203"/>
      <c r="E120" s="203"/>
      <c r="G120" s="203"/>
      <c r="H120" s="203"/>
    </row>
    <row r="121" spans="1:26" s="73" customFormat="1">
      <c r="A121" s="203"/>
      <c r="B121" s="81" t="s">
        <v>719</v>
      </c>
      <c r="C121" s="203"/>
      <c r="D121" s="203"/>
      <c r="E121" s="203"/>
      <c r="F121" s="487">
        <f>'OSNOVNI PODATKI'!G365</f>
        <v>0</v>
      </c>
      <c r="H121" s="203"/>
      <c r="I121" s="203"/>
      <c r="J121" s="203"/>
    </row>
    <row r="122" spans="1:26" s="73" customFormat="1">
      <c r="A122" s="203"/>
      <c r="B122" s="81" t="s">
        <v>720</v>
      </c>
      <c r="C122" s="202"/>
      <c r="D122" s="80"/>
      <c r="E122" s="80"/>
      <c r="F122" s="473">
        <f>'ARHIGRAM 6'!I16</f>
        <v>62</v>
      </c>
      <c r="G122" s="202"/>
      <c r="H122" s="202"/>
      <c r="I122" s="202"/>
      <c r="J122" s="202"/>
    </row>
    <row r="123" spans="1:26" s="73" customFormat="1">
      <c r="A123" s="203"/>
      <c r="B123" s="203"/>
      <c r="C123" s="203"/>
      <c r="D123" s="203"/>
      <c r="E123" s="203"/>
      <c r="G123" s="203"/>
      <c r="H123" s="203"/>
      <c r="I123" s="203"/>
      <c r="J123" s="203"/>
    </row>
    <row r="124" spans="1:26" s="73" customFormat="1">
      <c r="B124" s="81" t="str">
        <f>'OSNOVNI PODATKI'!$B$376</f>
        <v>PRIBITEK ZA PRENOVO</v>
      </c>
      <c r="C124" s="202"/>
      <c r="D124" s="80"/>
      <c r="E124" s="80"/>
      <c r="F124" s="301">
        <f>'OSNOVNI PODATKI'!$F$376</f>
        <v>0</v>
      </c>
      <c r="G124" s="202" t="str">
        <f>'OSNOVNI PODATKI'!G376</f>
        <v>Upošteva se v fazah od 1 do 4., samo za storitve projektiranja. Če dogovor o povečanju potrebnega števila NU ni bil dosežen, se upošteva 18 % povečanje števila NU glede na vsaj povprečno zahtevnost.
Če gre za prenovo notranje opreme lahko znaša povečanje do 50 %.</v>
      </c>
      <c r="H124" s="202"/>
      <c r="I124" s="202"/>
      <c r="J124" s="202"/>
    </row>
    <row r="125" spans="1:26">
      <c r="B125" s="81" t="str">
        <f>'OSNOVNI PODATKI'!B381</f>
        <v>BREZ NAČRTA UTOROV IN PREBOJEV V NAČRTIH INŠTALACIJ</v>
      </c>
      <c r="C125" s="202"/>
      <c r="D125" s="80"/>
      <c r="E125" s="80"/>
      <c r="F125" s="635" t="str">
        <f>IF('OSNOVNI PODATKI'!F381=TRUE,"DA","NE")</f>
        <v>DA</v>
      </c>
      <c r="G125" s="202" t="str">
        <f>+'OSNOVNI PODATKI'!G381</f>
        <v>Če je opcija izbrana, se v fazi 2.4 EI, SI, TH upošteva odbitek 4 %.</v>
      </c>
      <c r="H125" s="202"/>
      <c r="I125" s="202"/>
      <c r="J125" s="202"/>
    </row>
    <row r="126" spans="1:26">
      <c r="B126" s="81" t="str">
        <f>'OSNOVNI PODATKI'!B382</f>
        <v>BREZ PREVERJANJA MONTAŽNIH IN DELAVNIŠKIH NAČRTOV V TEHNIČNIH NAČRTIH</v>
      </c>
      <c r="C126" s="202"/>
      <c r="D126" s="80"/>
      <c r="E126" s="80"/>
      <c r="F126" s="635" t="str">
        <f>IF('OSNOVNI PODATKI'!F382=TRUE,"DA","NE")</f>
        <v>DA</v>
      </c>
      <c r="G126" s="202" t="str">
        <f>+'OSNOVNI PODATKI'!G382</f>
        <v>Če je opcija izbrana, se v fazi 2.4 EI, SI, TH upošteva odbitek 4 %.</v>
      </c>
      <c r="H126" s="202"/>
      <c r="I126" s="202"/>
      <c r="J126" s="202"/>
    </row>
    <row r="127" spans="1:26" s="73" customFormat="1">
      <c r="A127" s="203"/>
      <c r="B127" s="81"/>
      <c r="C127" s="202"/>
      <c r="D127" s="80"/>
      <c r="E127" s="80"/>
      <c r="F127" s="635"/>
      <c r="G127" s="202"/>
      <c r="H127" s="489"/>
    </row>
    <row r="128" spans="1:26" s="73" customFormat="1">
      <c r="B128" s="291"/>
      <c r="D128" s="293"/>
      <c r="E128" s="293"/>
      <c r="F128" s="826"/>
      <c r="G128" s="827"/>
    </row>
    <row r="129" spans="1:10" s="73" customFormat="1">
      <c r="B129" s="200"/>
      <c r="D129" s="74"/>
      <c r="E129" s="74"/>
      <c r="F129" s="826"/>
      <c r="G129" s="827"/>
    </row>
    <row r="130" spans="1:10" s="2" customFormat="1">
      <c r="A130" s="73"/>
      <c r="B130" s="204" t="s">
        <v>805</v>
      </c>
      <c r="C130" s="204"/>
      <c r="D130" s="204"/>
      <c r="E130" s="204"/>
      <c r="F130" s="204"/>
      <c r="G130" s="204"/>
      <c r="H130" s="204"/>
      <c r="I130" s="204"/>
      <c r="J130" s="204"/>
    </row>
    <row r="131" spans="1:10">
      <c r="A131" s="203"/>
      <c r="B131" s="205"/>
      <c r="C131" s="205"/>
      <c r="D131" s="205"/>
      <c r="E131" s="205"/>
      <c r="F131" s="205"/>
      <c r="G131" s="205"/>
      <c r="H131" s="205"/>
      <c r="I131" s="205"/>
      <c r="J131" s="205"/>
    </row>
    <row r="132" spans="1:10" ht="38.25">
      <c r="A132" s="102"/>
      <c r="B132" s="103"/>
      <c r="C132" s="103"/>
      <c r="D132" s="103"/>
      <c r="E132" s="104" t="s">
        <v>25</v>
      </c>
      <c r="F132" s="294" t="s">
        <v>379</v>
      </c>
      <c r="G132" s="600" t="s">
        <v>54</v>
      </c>
      <c r="H132" s="105" t="s">
        <v>67</v>
      </c>
      <c r="I132" s="405" t="s">
        <v>757</v>
      </c>
      <c r="J132" s="405" t="s">
        <v>759</v>
      </c>
    </row>
    <row r="133" spans="1:10" ht="14.25">
      <c r="A133" s="98" t="s">
        <v>26</v>
      </c>
      <c r="B133" s="99" t="s">
        <v>27</v>
      </c>
      <c r="C133" s="99"/>
      <c r="D133" s="99"/>
      <c r="E133" s="100"/>
      <c r="F133" s="100"/>
      <c r="G133" s="601"/>
      <c r="H133" s="101"/>
      <c r="I133" s="9"/>
    </row>
    <row r="134" spans="1:10" ht="14.25">
      <c r="A134" s="82" t="s">
        <v>28</v>
      </c>
      <c r="B134" s="94" t="s">
        <v>62</v>
      </c>
      <c r="C134" s="94"/>
      <c r="D134" s="94"/>
      <c r="E134" s="83"/>
      <c r="F134" s="83"/>
      <c r="G134" s="602"/>
      <c r="H134" s="84" t="str">
        <f>IF(J141=TRUE,G134*'VREDNOST NU'!#REF!,"")</f>
        <v/>
      </c>
      <c r="I134" s="9"/>
    </row>
    <row r="135" spans="1:10" ht="14.25">
      <c r="A135" s="107" t="s">
        <v>29</v>
      </c>
      <c r="B135" s="108" t="s">
        <v>63</v>
      </c>
      <c r="C135" s="108"/>
      <c r="D135" s="108"/>
      <c r="E135" s="109"/>
      <c r="F135" s="109"/>
      <c r="G135" s="603"/>
      <c r="H135" s="88" t="str">
        <f>IF(J142=TRUE,G135*'VREDNOST NU'!#REF!,"")</f>
        <v/>
      </c>
      <c r="I135" s="9"/>
    </row>
    <row r="136" spans="1:10">
      <c r="A136" s="106" t="s">
        <v>30</v>
      </c>
      <c r="B136" s="99" t="s">
        <v>31</v>
      </c>
      <c r="C136" s="99"/>
      <c r="D136" s="99"/>
      <c r="E136" s="100">
        <f>SUM(E137:E139)</f>
        <v>0.02</v>
      </c>
      <c r="F136" s="100">
        <f>SUM(F137:F139)</f>
        <v>0.02</v>
      </c>
      <c r="G136" s="607">
        <f>SUM(G137:G139)</f>
        <v>0</v>
      </c>
      <c r="H136" s="101">
        <f>SUM(H137:H139)</f>
        <v>0</v>
      </c>
      <c r="I136" s="122">
        <f>IFERROR(H136/'OSNOVNI PODATKI'!$E$311,0)</f>
        <v>0</v>
      </c>
      <c r="J136" s="122">
        <f>IFERROR(H136/'OSNOVNI PODATKI'!$E$313,0)</f>
        <v>0</v>
      </c>
    </row>
    <row r="137" spans="1:10" s="73" customFormat="1" ht="14.25">
      <c r="A137" s="85" t="s">
        <v>32</v>
      </c>
      <c r="B137" s="93" t="s">
        <v>64</v>
      </c>
      <c r="C137" s="93"/>
      <c r="D137" s="93"/>
      <c r="E137" s="83">
        <v>0.01</v>
      </c>
      <c r="F137" s="83">
        <f>E137*(100%+$F$124)</f>
        <v>0.01</v>
      </c>
      <c r="G137" s="608">
        <f>ROUND(F137*$F$121,1)</f>
        <v>0</v>
      </c>
      <c r="H137" s="84">
        <f>+G137*'ARHIGRAM 6'!$I$16</f>
        <v>0</v>
      </c>
      <c r="I137" s="9"/>
    </row>
    <row r="138" spans="1:10" s="2" customFormat="1" ht="14.25">
      <c r="A138" s="85" t="s">
        <v>33</v>
      </c>
      <c r="B138" s="93" t="s">
        <v>65</v>
      </c>
      <c r="C138" s="93"/>
      <c r="D138" s="93"/>
      <c r="E138" s="83">
        <v>0.01</v>
      </c>
      <c r="F138" s="83">
        <f>E138*(100%+$F$124)</f>
        <v>0.01</v>
      </c>
      <c r="G138" s="608">
        <f t="shared" ref="G138:G139" si="0">ROUND(F138*$F$121,1)</f>
        <v>0</v>
      </c>
      <c r="H138" s="84">
        <f>+G138*'ARHIGRAM 6'!$I$16</f>
        <v>0</v>
      </c>
      <c r="I138" s="9"/>
    </row>
    <row r="139" spans="1:10" s="8" customFormat="1" ht="14.25">
      <c r="A139" s="111" t="s">
        <v>34</v>
      </c>
      <c r="B139" s="112" t="s">
        <v>695</v>
      </c>
      <c r="C139" s="112"/>
      <c r="D139" s="112"/>
      <c r="E139" s="109">
        <v>0</v>
      </c>
      <c r="F139" s="109">
        <f>E139*(100%+$F$124)</f>
        <v>0</v>
      </c>
      <c r="G139" s="609">
        <f t="shared" si="0"/>
        <v>0</v>
      </c>
      <c r="H139" s="88">
        <f>+G139*'ARHIGRAM 6'!$I$16</f>
        <v>0</v>
      </c>
      <c r="I139" s="9"/>
    </row>
    <row r="140" spans="1:10" s="9" customFormat="1" ht="14.25">
      <c r="A140" s="110">
        <v>2</v>
      </c>
      <c r="B140" s="99" t="s">
        <v>35</v>
      </c>
      <c r="C140" s="99"/>
      <c r="D140" s="99"/>
      <c r="E140" s="100">
        <f>SUM(E141:E146)</f>
        <v>0.56999999999999995</v>
      </c>
      <c r="F140" s="100">
        <f>SUM(F141:F146)</f>
        <v>0.49000000000000005</v>
      </c>
      <c r="G140" s="610">
        <f>SUM(G141:G146)</f>
        <v>0</v>
      </c>
      <c r="H140" s="101">
        <f>SUM(H141:H146)</f>
        <v>0</v>
      </c>
      <c r="I140" s="122">
        <f>IFERROR(H140/'OSNOVNI PODATKI'!$E$311,0)</f>
        <v>0</v>
      </c>
      <c r="J140" s="122">
        <f>IFERROR(H140/'OSNOVNI PODATKI'!$E$313,0)</f>
        <v>0</v>
      </c>
    </row>
    <row r="141" spans="1:10" s="9" customFormat="1" ht="14.25">
      <c r="A141" s="85" t="s">
        <v>48</v>
      </c>
      <c r="B141" s="93" t="s">
        <v>78</v>
      </c>
      <c r="C141" s="93"/>
      <c r="D141" s="93"/>
      <c r="E141" s="96">
        <v>0.1</v>
      </c>
      <c r="F141" s="96">
        <f>E141*(100%+$F$124)</f>
        <v>0.1</v>
      </c>
      <c r="G141" s="608">
        <f t="shared" ref="G141:G142" si="1">ROUND(F141*$F$121,1)</f>
        <v>0</v>
      </c>
      <c r="H141" s="84">
        <f>+G141*'ARHIGRAM 6'!$I$16</f>
        <v>0</v>
      </c>
    </row>
    <row r="142" spans="1:10" s="9" customFormat="1" ht="14.25">
      <c r="A142" s="86" t="s">
        <v>49</v>
      </c>
      <c r="B142" s="97" t="s">
        <v>624</v>
      </c>
      <c r="C142" s="97"/>
      <c r="D142" s="97"/>
      <c r="E142" s="96">
        <v>0.2</v>
      </c>
      <c r="F142" s="96">
        <f>E142*(100%+$F$124)</f>
        <v>0.2</v>
      </c>
      <c r="G142" s="608">
        <f t="shared" si="1"/>
        <v>0</v>
      </c>
      <c r="H142" s="84">
        <f>+G142*'ARHIGRAM 6'!$I$16</f>
        <v>0</v>
      </c>
    </row>
    <row r="143" spans="1:10" s="9" customFormat="1" ht="14.25">
      <c r="A143" s="86" t="s">
        <v>50</v>
      </c>
      <c r="B143" s="97" t="s">
        <v>699</v>
      </c>
      <c r="C143" s="97"/>
      <c r="D143" s="97"/>
      <c r="E143" s="96"/>
      <c r="F143" s="96"/>
      <c r="G143" s="608"/>
      <c r="H143" s="84"/>
    </row>
    <row r="144" spans="1:10" s="9" customFormat="1" ht="14.25">
      <c r="A144" s="86" t="s">
        <v>79</v>
      </c>
      <c r="B144" s="97" t="s">
        <v>625</v>
      </c>
      <c r="C144" s="97"/>
      <c r="D144" s="97"/>
      <c r="E144" s="96">
        <v>0.25</v>
      </c>
      <c r="F144" s="96">
        <f>(E144+IF(F125="DA",-4%,0%)+IF(F126="DA",-4%,0%))*(100%+F124)</f>
        <v>0.16999999999999998</v>
      </c>
      <c r="G144" s="608">
        <f t="shared" ref="G144:G146" si="2">ROUND(F144*$F$121,1)</f>
        <v>0</v>
      </c>
      <c r="H144" s="84">
        <f>+G144*'ARHIGRAM 6'!$I$16</f>
        <v>0</v>
      </c>
    </row>
    <row r="145" spans="1:27" s="9" customFormat="1" ht="14.25">
      <c r="A145" s="86" t="s">
        <v>80</v>
      </c>
      <c r="B145" s="97" t="s">
        <v>696</v>
      </c>
      <c r="C145" s="97"/>
      <c r="D145" s="97"/>
      <c r="E145" s="471">
        <v>1.7500000000000002E-2</v>
      </c>
      <c r="F145" s="96">
        <f>E145*(100%+$F$124)</f>
        <v>1.7500000000000002E-2</v>
      </c>
      <c r="G145" s="608">
        <f t="shared" si="2"/>
        <v>0</v>
      </c>
      <c r="H145" s="84">
        <f>+G145*'ARHIGRAM 6'!$I$16</f>
        <v>0</v>
      </c>
    </row>
    <row r="146" spans="1:27" s="755" customFormat="1" ht="14.25">
      <c r="A146" s="807"/>
      <c r="B146" s="808" t="s">
        <v>797</v>
      </c>
      <c r="C146" s="808"/>
      <c r="D146" s="808"/>
      <c r="E146" s="809">
        <v>2.5000000000000001E-3</v>
      </c>
      <c r="F146" s="828">
        <f>E146*(100%+$F$124)</f>
        <v>2.5000000000000001E-3</v>
      </c>
      <c r="G146" s="829">
        <f t="shared" si="2"/>
        <v>0</v>
      </c>
      <c r="H146" s="812">
        <f t="shared" ref="H146" si="3">+G146*$F$122</f>
        <v>0</v>
      </c>
      <c r="K146" s="9"/>
      <c r="L146" s="9"/>
      <c r="M146" s="9"/>
      <c r="N146" s="9"/>
      <c r="O146" s="9"/>
      <c r="P146" s="9"/>
      <c r="Q146" s="9"/>
      <c r="R146" s="9"/>
      <c r="S146" s="9"/>
      <c r="T146" s="9"/>
      <c r="U146" s="9"/>
      <c r="V146" s="9"/>
      <c r="W146" s="9"/>
      <c r="X146" s="9"/>
      <c r="Y146" s="9"/>
      <c r="Z146" s="9"/>
      <c r="AA146" s="9"/>
    </row>
    <row r="147" spans="1:27" s="9" customFormat="1" ht="14.25">
      <c r="A147" s="113" t="s">
        <v>36</v>
      </c>
      <c r="B147" s="99" t="s">
        <v>101</v>
      </c>
      <c r="C147" s="99"/>
      <c r="D147" s="99"/>
      <c r="E147" s="100">
        <f>SUM(E148:E149)</f>
        <v>0.05</v>
      </c>
      <c r="F147" s="100">
        <f>SUM(F148:F149)</f>
        <v>0.05</v>
      </c>
      <c r="G147" s="607">
        <f>SUM(G148:G149)</f>
        <v>0</v>
      </c>
      <c r="H147" s="101">
        <f>SUM(H148:H149)</f>
        <v>0</v>
      </c>
      <c r="I147" s="122">
        <f>IFERROR(H147/'OSNOVNI PODATKI'!$E$311,0)</f>
        <v>0</v>
      </c>
      <c r="J147" s="122">
        <f>IFERROR(H147/'OSNOVNI PODATKI'!$E$313,0)</f>
        <v>0</v>
      </c>
    </row>
    <row r="148" spans="1:27" s="9" customFormat="1" ht="14.25">
      <c r="A148" s="86" t="s">
        <v>37</v>
      </c>
      <c r="B148" s="92" t="s">
        <v>697</v>
      </c>
      <c r="C148" s="92"/>
      <c r="D148" s="92"/>
      <c r="E148" s="83">
        <v>0.03</v>
      </c>
      <c r="F148" s="83">
        <f>E148*(100%+$F$124)</f>
        <v>0.03</v>
      </c>
      <c r="G148" s="608">
        <f t="shared" ref="G148:G149" si="4">ROUND(F148*$F$121,1)</f>
        <v>0</v>
      </c>
      <c r="H148" s="84">
        <f>+G148*'ARHIGRAM 6'!$I$16</f>
        <v>0</v>
      </c>
    </row>
    <row r="149" spans="1:27" s="9" customFormat="1" ht="14.25">
      <c r="A149" s="114" t="s">
        <v>38</v>
      </c>
      <c r="B149" s="87" t="s">
        <v>180</v>
      </c>
      <c r="C149" s="87"/>
      <c r="D149" s="87"/>
      <c r="E149" s="109">
        <v>0.02</v>
      </c>
      <c r="F149" s="109">
        <f>E149*(100%+$F$124)</f>
        <v>0.02</v>
      </c>
      <c r="G149" s="609">
        <f t="shared" si="4"/>
        <v>0</v>
      </c>
      <c r="H149" s="88">
        <f>+G149*'ARHIGRAM 6'!$I$16</f>
        <v>0</v>
      </c>
    </row>
    <row r="150" spans="1:27" s="9" customFormat="1" ht="14.25">
      <c r="A150" s="117">
        <v>4</v>
      </c>
      <c r="B150" s="99" t="s">
        <v>57</v>
      </c>
      <c r="C150" s="99"/>
      <c r="D150" s="99"/>
      <c r="E150" s="100">
        <f>SUM(E151:E158)</f>
        <v>0.35000000000000009</v>
      </c>
      <c r="F150" s="100">
        <f>SUM(F151:F158)</f>
        <v>0.35000000000000009</v>
      </c>
      <c r="G150" s="607">
        <f>SUM(G151:G158)</f>
        <v>0</v>
      </c>
      <c r="H150" s="101">
        <f>SUM(H151:H158)</f>
        <v>0</v>
      </c>
      <c r="I150" s="122">
        <f>IFERROR(H150/'OSNOVNI PODATKI'!$E$311,0)</f>
        <v>0</v>
      </c>
      <c r="J150" s="122">
        <f>IFERROR(H150/'OSNOVNI PODATKI'!$E$313,0)</f>
        <v>0</v>
      </c>
    </row>
    <row r="151" spans="1:27" s="9" customFormat="1" ht="14.25">
      <c r="A151" s="86" t="s">
        <v>39</v>
      </c>
      <c r="B151" s="92" t="s">
        <v>181</v>
      </c>
      <c r="C151" s="92"/>
      <c r="D151" s="92"/>
      <c r="E151" s="83">
        <v>0</v>
      </c>
      <c r="F151" s="83">
        <f>E151*(100%+$F$124)</f>
        <v>0</v>
      </c>
      <c r="G151" s="608">
        <f t="shared" ref="G151:G158" si="5">ROUND(F151*$F$121,1)</f>
        <v>0</v>
      </c>
      <c r="H151" s="84">
        <f>+G151*'ARHIGRAM 6'!$I$16</f>
        <v>0</v>
      </c>
    </row>
    <row r="152" spans="1:27" s="9" customFormat="1" ht="14.25">
      <c r="A152" s="86" t="s">
        <v>40</v>
      </c>
      <c r="B152" s="92" t="s">
        <v>712</v>
      </c>
      <c r="C152" s="92"/>
      <c r="D152" s="92"/>
      <c r="E152" s="83">
        <v>7.0000000000000007E-2</v>
      </c>
      <c r="F152" s="83">
        <f>E152*(100%+$F$124)</f>
        <v>7.0000000000000007E-2</v>
      </c>
      <c r="G152" s="608">
        <f t="shared" si="5"/>
        <v>0</v>
      </c>
      <c r="H152" s="84">
        <f>+G152*'ARHIGRAM 6'!$I$16</f>
        <v>0</v>
      </c>
    </row>
    <row r="153" spans="1:27" s="755" customFormat="1" ht="14.25">
      <c r="A153" s="750"/>
      <c r="B153" s="751" t="s">
        <v>400</v>
      </c>
      <c r="C153" s="751"/>
      <c r="D153" s="751"/>
      <c r="E153" s="749">
        <v>0.23</v>
      </c>
      <c r="F153" s="756">
        <f t="shared" ref="F153" si="6">E153*(100%+$F$124)</f>
        <v>0.23</v>
      </c>
      <c r="G153" s="801">
        <f t="shared" si="5"/>
        <v>0</v>
      </c>
      <c r="H153" s="758">
        <f t="shared" ref="H153" si="7">+G153*$F$122</f>
        <v>0</v>
      </c>
      <c r="K153" s="9"/>
      <c r="L153" s="9"/>
      <c r="M153" s="9"/>
      <c r="N153" s="9"/>
      <c r="O153" s="9"/>
      <c r="P153" s="9"/>
      <c r="Q153" s="9"/>
      <c r="R153" s="9"/>
      <c r="S153" s="9"/>
      <c r="T153" s="9"/>
      <c r="U153" s="9"/>
      <c r="V153" s="9"/>
      <c r="W153" s="9"/>
      <c r="X153" s="9"/>
      <c r="Y153" s="9"/>
      <c r="Z153" s="9"/>
      <c r="AA153" s="9"/>
    </row>
    <row r="154" spans="1:27" s="9" customFormat="1" ht="14.25">
      <c r="A154" s="86" t="s">
        <v>41</v>
      </c>
      <c r="B154" s="92" t="s">
        <v>796</v>
      </c>
      <c r="C154" s="92"/>
      <c r="D154" s="92"/>
      <c r="E154" s="83">
        <v>6.0000000000000001E-3</v>
      </c>
      <c r="F154" s="83">
        <f>E154*(100%+$F$124)</f>
        <v>6.0000000000000001E-3</v>
      </c>
      <c r="G154" s="608">
        <f t="shared" si="5"/>
        <v>0</v>
      </c>
      <c r="H154" s="84">
        <f>+G154*'ARHIGRAM 6'!$I$16</f>
        <v>0</v>
      </c>
    </row>
    <row r="155" spans="1:27" s="755" customFormat="1" ht="14.25">
      <c r="A155" s="750"/>
      <c r="B155" s="751" t="s">
        <v>400</v>
      </c>
      <c r="C155" s="751"/>
      <c r="D155" s="751"/>
      <c r="E155" s="749">
        <v>4.0000000000000001E-3</v>
      </c>
      <c r="F155" s="756">
        <f t="shared" ref="F155" si="8">E155*(100%+$F$124)</f>
        <v>4.0000000000000001E-3</v>
      </c>
      <c r="G155" s="801">
        <f t="shared" si="5"/>
        <v>0</v>
      </c>
      <c r="H155" s="758">
        <f t="shared" ref="H155" si="9">+G155*$F$122</f>
        <v>0</v>
      </c>
      <c r="K155" s="9"/>
      <c r="L155" s="9"/>
      <c r="M155" s="9"/>
      <c r="N155" s="9"/>
      <c r="O155" s="9"/>
      <c r="P155" s="9"/>
      <c r="Q155" s="9"/>
      <c r="R155" s="9"/>
      <c r="S155" s="9"/>
      <c r="T155" s="9"/>
      <c r="U155" s="9"/>
      <c r="V155" s="9"/>
      <c r="W155" s="9"/>
      <c r="X155" s="9"/>
      <c r="Y155" s="9"/>
      <c r="Z155" s="9"/>
      <c r="AA155" s="9"/>
    </row>
    <row r="156" spans="1:27" s="9" customFormat="1" ht="14.25">
      <c r="A156" s="86" t="s">
        <v>42</v>
      </c>
      <c r="B156" s="92" t="s">
        <v>713</v>
      </c>
      <c r="C156" s="92"/>
      <c r="D156" s="92"/>
      <c r="E156" s="83">
        <v>1.2E-2</v>
      </c>
      <c r="F156" s="83">
        <f>E156*(100%+$F$124)</f>
        <v>1.2E-2</v>
      </c>
      <c r="G156" s="608">
        <f t="shared" si="5"/>
        <v>0</v>
      </c>
      <c r="H156" s="84">
        <f>+G156*'ARHIGRAM 6'!$I$16</f>
        <v>0</v>
      </c>
    </row>
    <row r="157" spans="1:27" s="755" customFormat="1" ht="14.25">
      <c r="A157" s="750"/>
      <c r="B157" s="751" t="s">
        <v>400</v>
      </c>
      <c r="C157" s="751"/>
      <c r="D157" s="751"/>
      <c r="E157" s="749">
        <v>8.0000000000000002E-3</v>
      </c>
      <c r="F157" s="756">
        <f t="shared" ref="F157" si="10">E157*(100%+$F$124)</f>
        <v>8.0000000000000002E-3</v>
      </c>
      <c r="G157" s="801">
        <f t="shared" si="5"/>
        <v>0</v>
      </c>
      <c r="H157" s="758">
        <f t="shared" ref="H157" si="11">+G157*$F$122</f>
        <v>0</v>
      </c>
      <c r="K157" s="9"/>
      <c r="L157" s="9"/>
      <c r="M157" s="9"/>
      <c r="N157" s="9"/>
      <c r="O157" s="9"/>
      <c r="P157" s="9"/>
      <c r="Q157" s="9"/>
      <c r="R157" s="9"/>
      <c r="S157" s="9"/>
      <c r="T157" s="9"/>
      <c r="U157" s="9"/>
      <c r="V157" s="9"/>
      <c r="W157" s="9"/>
      <c r="X157" s="9"/>
      <c r="Y157" s="9"/>
      <c r="Z157" s="9"/>
      <c r="AA157" s="9"/>
    </row>
    <row r="158" spans="1:27" s="9" customFormat="1" ht="14.25">
      <c r="A158" s="114" t="s">
        <v>43</v>
      </c>
      <c r="B158" s="87" t="s">
        <v>698</v>
      </c>
      <c r="C158" s="87"/>
      <c r="D158" s="87"/>
      <c r="E158" s="109">
        <v>0.02</v>
      </c>
      <c r="F158" s="109">
        <f>E158*(100%+$F$124)</f>
        <v>0.02</v>
      </c>
      <c r="G158" s="609">
        <f t="shared" si="5"/>
        <v>0</v>
      </c>
      <c r="H158" s="88">
        <f>+G158*'ARHIGRAM 6'!$I$16</f>
        <v>0</v>
      </c>
    </row>
    <row r="159" spans="1:27" s="9" customFormat="1" ht="14.25">
      <c r="A159" s="118">
        <v>5</v>
      </c>
      <c r="B159" s="99" t="s">
        <v>44</v>
      </c>
      <c r="C159" s="99"/>
      <c r="D159" s="99"/>
      <c r="E159" s="100">
        <f>SUM(E160:E161)</f>
        <v>0.01</v>
      </c>
      <c r="F159" s="100">
        <f>SUM(F160:F161)</f>
        <v>0.01</v>
      </c>
      <c r="G159" s="607">
        <f>SUM(G160:G161)</f>
        <v>0</v>
      </c>
      <c r="H159" s="101">
        <f>SUM(H160:H161)</f>
        <v>0</v>
      </c>
      <c r="I159" s="122">
        <f>IFERROR(H159/'OSNOVNI PODATKI'!$E$311,0)</f>
        <v>0</v>
      </c>
      <c r="J159" s="122">
        <f>IFERROR(H159/'OSNOVNI PODATKI'!$E$313,0)</f>
        <v>0</v>
      </c>
    </row>
    <row r="160" spans="1:27" s="9" customFormat="1" ht="14.25">
      <c r="A160" s="86" t="s">
        <v>45</v>
      </c>
      <c r="B160" s="95" t="s">
        <v>183</v>
      </c>
      <c r="C160" s="95"/>
      <c r="D160" s="95"/>
      <c r="E160" s="83">
        <v>5.0000000000000001E-3</v>
      </c>
      <c r="F160" s="83">
        <f>E160</f>
        <v>5.0000000000000001E-3</v>
      </c>
      <c r="G160" s="608">
        <f t="shared" ref="G160:G161" si="12">ROUND(F160*$F$121,1)</f>
        <v>0</v>
      </c>
      <c r="H160" s="84">
        <f>+G160*'ARHIGRAM 6'!$I$16</f>
        <v>0</v>
      </c>
    </row>
    <row r="161" spans="1:10" s="9" customFormat="1" ht="14.25">
      <c r="A161" s="114" t="s">
        <v>46</v>
      </c>
      <c r="B161" s="120" t="s">
        <v>184</v>
      </c>
      <c r="C161" s="120"/>
      <c r="D161" s="120"/>
      <c r="E161" s="109">
        <v>5.0000000000000001E-3</v>
      </c>
      <c r="F161" s="109">
        <f>E161</f>
        <v>5.0000000000000001E-3</v>
      </c>
      <c r="G161" s="609">
        <f t="shared" si="12"/>
        <v>0</v>
      </c>
      <c r="H161" s="88">
        <f>+G161*'ARHIGRAM 6'!$I$16</f>
        <v>0</v>
      </c>
    </row>
    <row r="162" spans="1:10" s="9" customFormat="1" ht="14.25">
      <c r="A162" s="119">
        <v>6</v>
      </c>
      <c r="B162" s="99" t="s">
        <v>47</v>
      </c>
      <c r="C162" s="99"/>
      <c r="D162" s="99"/>
      <c r="E162" s="100"/>
      <c r="F162" s="100"/>
      <c r="G162" s="601"/>
      <c r="H162" s="101"/>
    </row>
    <row r="163" spans="1:10" s="9" customFormat="1" ht="14.25">
      <c r="A163" s="86" t="s">
        <v>51</v>
      </c>
      <c r="B163" s="95" t="s">
        <v>185</v>
      </c>
      <c r="C163" s="95"/>
      <c r="D163" s="95"/>
      <c r="E163" s="83"/>
      <c r="F163" s="83"/>
      <c r="G163" s="602"/>
      <c r="H163" s="84"/>
    </row>
    <row r="164" spans="1:10" s="9" customFormat="1" ht="14.25">
      <c r="A164" s="86" t="s">
        <v>52</v>
      </c>
      <c r="B164" s="95" t="s">
        <v>186</v>
      </c>
      <c r="C164" s="95"/>
      <c r="D164" s="95"/>
      <c r="E164" s="83"/>
      <c r="F164" s="83"/>
      <c r="G164" s="602"/>
      <c r="H164" s="84"/>
    </row>
    <row r="165" spans="1:10" s="9" customFormat="1" ht="14.25">
      <c r="A165" s="114" t="s">
        <v>53</v>
      </c>
      <c r="B165" s="120" t="s">
        <v>187</v>
      </c>
      <c r="C165" s="120"/>
      <c r="D165" s="120"/>
      <c r="E165" s="109"/>
      <c r="F165" s="109"/>
      <c r="G165" s="603"/>
      <c r="H165" s="88"/>
    </row>
    <row r="166" spans="1:10" s="9" customFormat="1" ht="14.25">
      <c r="A166" s="89"/>
      <c r="B166" s="90"/>
      <c r="C166" s="90"/>
      <c r="D166" s="90"/>
      <c r="E166" s="91"/>
      <c r="F166" s="91"/>
      <c r="G166" s="604"/>
      <c r="H166" s="90"/>
    </row>
    <row r="167" spans="1:10" s="9" customFormat="1" ht="14.25">
      <c r="A167" s="123"/>
      <c r="B167" s="124" t="s">
        <v>1</v>
      </c>
      <c r="C167" s="124"/>
      <c r="D167" s="124"/>
      <c r="E167" s="125">
        <f>E133+E136+E140+E147+E150+E159+E162</f>
        <v>1</v>
      </c>
      <c r="F167" s="125">
        <f>F133+F136+F140+F147+F150+F159+F162</f>
        <v>0.92000000000000015</v>
      </c>
      <c r="G167" s="605">
        <f>G133+G136+G140+G147+G150+G159+G162</f>
        <v>0</v>
      </c>
      <c r="H167" s="126">
        <f>H133+H136+H140+H147+H150+H159+H162</f>
        <v>0</v>
      </c>
      <c r="I167" s="122">
        <f>IFERROR(H167/'OSNOVNI PODATKI'!$E$311,0)</f>
        <v>0</v>
      </c>
      <c r="J167" s="122">
        <f>IFERROR(H167/'OSNOVNI PODATKI'!$E$313,0)</f>
        <v>0</v>
      </c>
    </row>
    <row r="168" spans="1:10" s="9" customFormat="1" ht="14.25">
      <c r="A168" s="25"/>
      <c r="B168" s="121"/>
      <c r="E168" s="26"/>
      <c r="G168" s="26"/>
      <c r="H168" s="122"/>
    </row>
    <row r="169" spans="1:10" s="9" customFormat="1" ht="14.25">
      <c r="A169" s="25"/>
      <c r="B169" s="121"/>
      <c r="E169" s="26"/>
      <c r="G169" s="26"/>
      <c r="H169" s="122"/>
    </row>
    <row r="170" spans="1:10" s="9" customFormat="1" ht="15" thickBot="1">
      <c r="A170" s="71"/>
      <c r="B170" s="71"/>
      <c r="C170" s="71"/>
      <c r="D170" s="71"/>
      <c r="E170" s="71"/>
      <c r="F170" s="71"/>
      <c r="G170" s="71"/>
    </row>
    <row r="171" spans="1:10" s="9" customFormat="1" ht="18.75">
      <c r="A171" s="786" t="s">
        <v>103</v>
      </c>
      <c r="B171" s="786"/>
      <c r="C171" s="786"/>
      <c r="D171" s="786"/>
      <c r="E171" s="786"/>
      <c r="F171" s="786"/>
      <c r="G171" s="786"/>
      <c r="H171" s="786"/>
      <c r="I171" s="786"/>
      <c r="J171" s="786"/>
    </row>
    <row r="172" spans="1:10" s="73" customFormat="1">
      <c r="A172" s="203"/>
      <c r="B172" s="203"/>
      <c r="C172" s="717"/>
      <c r="D172" s="717"/>
      <c r="E172" s="717"/>
      <c r="F172" s="615"/>
      <c r="G172" s="717"/>
      <c r="H172" s="717"/>
    </row>
    <row r="173" spans="1:10" s="73" customFormat="1">
      <c r="A173" s="203"/>
      <c r="B173" s="81" t="s">
        <v>719</v>
      </c>
      <c r="C173" s="203"/>
      <c r="D173" s="203"/>
      <c r="E173" s="203"/>
      <c r="F173" s="487">
        <f>'OSNOVNI PODATKI'!G366</f>
        <v>0</v>
      </c>
      <c r="G173" s="615"/>
      <c r="H173" s="203"/>
    </row>
    <row r="174" spans="1:10" s="73" customFormat="1">
      <c r="A174" s="203"/>
      <c r="B174" s="81" t="s">
        <v>720</v>
      </c>
      <c r="C174" s="202"/>
      <c r="D174" s="80"/>
      <c r="E174" s="80"/>
      <c r="F174" s="473">
        <f>'ARHIGRAM 6'!$I$16</f>
        <v>62</v>
      </c>
      <c r="G174" s="202"/>
      <c r="H174" s="202"/>
    </row>
    <row r="175" spans="1:10" s="73" customFormat="1">
      <c r="A175" s="203"/>
      <c r="B175" s="203"/>
      <c r="C175" s="203"/>
      <c r="D175" s="203"/>
      <c r="E175" s="203"/>
      <c r="G175" s="202"/>
      <c r="H175" s="203"/>
    </row>
    <row r="176" spans="1:10" s="73" customFormat="1">
      <c r="B176" s="81" t="str">
        <f>'OSNOVNI PODATKI'!$B$376</f>
        <v>PRIBITEK ZA PRENOVO</v>
      </c>
      <c r="C176" s="202"/>
      <c r="D176" s="80"/>
      <c r="E176" s="80"/>
      <c r="F176" s="301">
        <f>'OSNOVNI PODATKI'!F376</f>
        <v>0</v>
      </c>
      <c r="G176" s="202" t="str">
        <f>G124</f>
        <v>Upošteva se v fazah od 1 do 4., samo za storitve projektiranja. Če dogovor o povečanju potrebnega števila NU ni bil dosežen, se upošteva 18 % povečanje števila NU glede na vsaj povprečno zahtevnost.
Če gre za prenovo notranje opreme lahko znaša povečanje do 50 %.</v>
      </c>
      <c r="H176" s="202"/>
    </row>
    <row r="177" spans="1:11">
      <c r="B177" s="81" t="str">
        <f>'OSNOVNI PODATKI'!B381</f>
        <v>BREZ NAČRTA UTOROV IN PREBOJEV V NAČRTIH INŠTALACIJ</v>
      </c>
      <c r="C177" s="202"/>
      <c r="D177" s="80"/>
      <c r="E177" s="80"/>
      <c r="F177" s="635" t="str">
        <f>IF('OSNOVNI PODATKI'!F381=TRUE,"DA","NE")</f>
        <v>DA</v>
      </c>
      <c r="G177" s="830" t="str">
        <f>G125</f>
        <v>Če je opcija izbrana, se v fazi 2.4 EI, SI, TH upošteva odbitek 4 %.</v>
      </c>
      <c r="H177" s="202"/>
    </row>
    <row r="178" spans="1:11">
      <c r="B178" s="81" t="str">
        <f>'OSNOVNI PODATKI'!B382</f>
        <v>BREZ PREVERJANJA MONTAŽNIH IN DELAVNIŠKIH NAČRTOV V TEHNIČNIH NAČRTIH</v>
      </c>
      <c r="C178" s="202"/>
      <c r="D178" s="80"/>
      <c r="E178" s="80"/>
      <c r="F178" s="635" t="str">
        <f>IF('OSNOVNI PODATKI'!F382=TRUE,"DA","NE")</f>
        <v>DA</v>
      </c>
      <c r="G178" s="830" t="str">
        <f>G126</f>
        <v>Če je opcija izbrana, se v fazi 2.4 EI, SI, TH upošteva odbitek 4 %.</v>
      </c>
      <c r="H178" s="202"/>
    </row>
    <row r="179" spans="1:11" s="73" customFormat="1">
      <c r="A179" s="203"/>
      <c r="B179" s="81"/>
      <c r="C179" s="202"/>
      <c r="D179" s="80"/>
      <c r="E179" s="80"/>
      <c r="F179" s="635"/>
      <c r="G179" s="202"/>
      <c r="H179" s="489"/>
    </row>
    <row r="180" spans="1:11" s="73" customFormat="1">
      <c r="B180" s="291"/>
      <c r="D180" s="293"/>
      <c r="E180" s="293"/>
      <c r="F180" s="611"/>
    </row>
    <row r="181" spans="1:11" s="73" customFormat="1">
      <c r="B181" s="200"/>
      <c r="D181" s="74"/>
      <c r="E181" s="74"/>
      <c r="F181" s="611"/>
    </row>
    <row r="182" spans="1:11" s="2" customFormat="1">
      <c r="A182" s="73"/>
      <c r="B182" s="203"/>
      <c r="C182" s="203"/>
      <c r="D182" s="203"/>
      <c r="E182" s="203"/>
      <c r="F182" s="203"/>
      <c r="G182" s="203"/>
    </row>
    <row r="183" spans="1:11" s="9" customFormat="1" ht="14.25">
      <c r="A183" s="205"/>
      <c r="B183" s="205"/>
      <c r="C183" s="205"/>
      <c r="D183" s="205"/>
      <c r="E183" s="205"/>
      <c r="F183" s="205"/>
      <c r="G183" s="205"/>
      <c r="H183" s="205"/>
    </row>
    <row r="184" spans="1:11" s="9" customFormat="1" ht="38.25">
      <c r="A184" s="102"/>
      <c r="B184" s="103"/>
      <c r="C184" s="103"/>
      <c r="D184" s="103"/>
      <c r="E184" s="104" t="s">
        <v>25</v>
      </c>
      <c r="F184" s="294" t="s">
        <v>379</v>
      </c>
      <c r="G184" s="600" t="s">
        <v>54</v>
      </c>
      <c r="H184" s="105" t="s">
        <v>67</v>
      </c>
      <c r="I184" s="405" t="s">
        <v>757</v>
      </c>
      <c r="J184" s="405" t="s">
        <v>924</v>
      </c>
    </row>
    <row r="185" spans="1:11" s="9" customFormat="1" ht="14.25">
      <c r="A185" s="98" t="s">
        <v>26</v>
      </c>
      <c r="B185" s="99" t="s">
        <v>27</v>
      </c>
      <c r="C185" s="99"/>
      <c r="D185" s="99"/>
      <c r="E185" s="100"/>
      <c r="F185" s="100"/>
      <c r="G185" s="601"/>
      <c r="H185" s="101"/>
      <c r="J185" s="71"/>
    </row>
    <row r="186" spans="1:11" s="9" customFormat="1" ht="14.25">
      <c r="A186" s="82" t="s">
        <v>28</v>
      </c>
      <c r="B186" s="94" t="s">
        <v>62</v>
      </c>
      <c r="C186" s="94"/>
      <c r="D186" s="94"/>
      <c r="E186" s="83"/>
      <c r="F186" s="83"/>
      <c r="G186" s="602"/>
      <c r="H186" s="84" t="str">
        <f>IF(J193=TRUE,G186*'VREDNOST NU'!#REF!,"")</f>
        <v/>
      </c>
      <c r="J186" s="71"/>
    </row>
    <row r="187" spans="1:11" ht="14.25">
      <c r="A187" s="107" t="s">
        <v>29</v>
      </c>
      <c r="B187" s="108" t="s">
        <v>63</v>
      </c>
      <c r="C187" s="108"/>
      <c r="D187" s="108"/>
      <c r="E187" s="109"/>
      <c r="F187" s="109"/>
      <c r="G187" s="603"/>
      <c r="H187" s="88" t="str">
        <f>IF(J194=TRUE,G187*'VREDNOST NU'!#REF!,"")</f>
        <v/>
      </c>
      <c r="I187" s="9"/>
    </row>
    <row r="188" spans="1:11">
      <c r="A188" s="106" t="s">
        <v>30</v>
      </c>
      <c r="B188" s="99" t="s">
        <v>31</v>
      </c>
      <c r="C188" s="99"/>
      <c r="D188" s="99"/>
      <c r="E188" s="100">
        <f>SUM(E189:E191)</f>
        <v>0.02</v>
      </c>
      <c r="F188" s="100">
        <f>SUM(F189:F191)</f>
        <v>0.02</v>
      </c>
      <c r="G188" s="607">
        <f>SUM(G189:G191)</f>
        <v>0</v>
      </c>
      <c r="H188" s="101">
        <f>SUM(H189:H191)</f>
        <v>0</v>
      </c>
      <c r="I188" s="122">
        <f>IFERROR(H188/'OSNOVNI PODATKI'!$E$311,0)</f>
        <v>0</v>
      </c>
      <c r="J188" s="122">
        <f>IFERROR(H188/'OSNOVNI PODATKI'!$E$314,0)</f>
        <v>0</v>
      </c>
    </row>
    <row r="189" spans="1:11" s="73" customFormat="1" ht="14.25">
      <c r="A189" s="85" t="s">
        <v>32</v>
      </c>
      <c r="B189" s="93" t="s">
        <v>64</v>
      </c>
      <c r="C189" s="93"/>
      <c r="D189" s="93"/>
      <c r="E189" s="83">
        <v>0.01</v>
      </c>
      <c r="F189" s="83">
        <f>E189*(100%+$F$124)</f>
        <v>0.01</v>
      </c>
      <c r="G189" s="608">
        <f>ROUND(F189*$F$173,1)</f>
        <v>0</v>
      </c>
      <c r="H189" s="84">
        <f>+G189*'ARHIGRAM 6'!$I$16</f>
        <v>0</v>
      </c>
      <c r="I189" s="9"/>
    </row>
    <row r="190" spans="1:11" s="2" customFormat="1" ht="14.25">
      <c r="A190" s="85" t="s">
        <v>33</v>
      </c>
      <c r="B190" s="93" t="s">
        <v>65</v>
      </c>
      <c r="C190" s="93"/>
      <c r="D190" s="93"/>
      <c r="E190" s="83">
        <v>0.01</v>
      </c>
      <c r="F190" s="83">
        <f>E190*(100%+$F$124)</f>
        <v>0.01</v>
      </c>
      <c r="G190" s="608">
        <f t="shared" ref="G190:G191" si="13">ROUND(F190*$F$173,1)</f>
        <v>0</v>
      </c>
      <c r="H190" s="84">
        <f>+G190*'ARHIGRAM 6'!$I$16</f>
        <v>0</v>
      </c>
      <c r="I190" s="9"/>
      <c r="K190" s="73"/>
    </row>
    <row r="191" spans="1:11" s="8" customFormat="1" ht="14.25">
      <c r="A191" s="111" t="s">
        <v>34</v>
      </c>
      <c r="B191" s="112" t="s">
        <v>695</v>
      </c>
      <c r="C191" s="112"/>
      <c r="D191" s="112"/>
      <c r="E191" s="109">
        <v>0</v>
      </c>
      <c r="F191" s="109">
        <f>E191*(100%+$F$124)</f>
        <v>0</v>
      </c>
      <c r="G191" s="609">
        <f t="shared" si="13"/>
        <v>0</v>
      </c>
      <c r="H191" s="88">
        <f>+G191*'ARHIGRAM 6'!$I$16</f>
        <v>0</v>
      </c>
      <c r="I191" s="9"/>
      <c r="K191" s="73"/>
    </row>
    <row r="192" spans="1:11" s="9" customFormat="1" ht="14.25">
      <c r="A192" s="110">
        <v>2</v>
      </c>
      <c r="B192" s="99" t="s">
        <v>35</v>
      </c>
      <c r="C192" s="99"/>
      <c r="D192" s="99"/>
      <c r="E192" s="100">
        <f>SUM(E193:E198)</f>
        <v>0.56999999999999995</v>
      </c>
      <c r="F192" s="100">
        <f>SUM(F193:F198)</f>
        <v>0.49000000000000005</v>
      </c>
      <c r="G192" s="610">
        <f>SUM(G193:G198)</f>
        <v>0</v>
      </c>
      <c r="H192" s="101">
        <f>SUM(H193:H198)</f>
        <v>0</v>
      </c>
      <c r="I192" s="122">
        <f>IFERROR(H192/'OSNOVNI PODATKI'!$E$311,0)</f>
        <v>0</v>
      </c>
      <c r="J192" s="122">
        <f>IFERROR(H192/'OSNOVNI PODATKI'!$E$314,0)</f>
        <v>0</v>
      </c>
      <c r="K192" s="73"/>
    </row>
    <row r="193" spans="1:27" s="9" customFormat="1" ht="14.25">
      <c r="A193" s="85" t="s">
        <v>48</v>
      </c>
      <c r="B193" s="93" t="s">
        <v>78</v>
      </c>
      <c r="C193" s="93"/>
      <c r="D193" s="93"/>
      <c r="E193" s="96">
        <v>0.1</v>
      </c>
      <c r="F193" s="96">
        <f>E193*(100%+$F$124)</f>
        <v>0.1</v>
      </c>
      <c r="G193" s="608">
        <f t="shared" ref="G193:G194" si="14">ROUND(F193*$F$173,1)</f>
        <v>0</v>
      </c>
      <c r="H193" s="84">
        <f>+G193*'ARHIGRAM 6'!$I$16</f>
        <v>0</v>
      </c>
      <c r="K193" s="73"/>
    </row>
    <row r="194" spans="1:27" s="9" customFormat="1" ht="14.25">
      <c r="A194" s="86" t="s">
        <v>49</v>
      </c>
      <c r="B194" s="97" t="s">
        <v>624</v>
      </c>
      <c r="C194" s="97"/>
      <c r="D194" s="97"/>
      <c r="E194" s="96">
        <v>0.2</v>
      </c>
      <c r="F194" s="96">
        <f>E194*(100%+$F$124)</f>
        <v>0.2</v>
      </c>
      <c r="G194" s="608">
        <f t="shared" si="14"/>
        <v>0</v>
      </c>
      <c r="H194" s="84">
        <f>+G194*'ARHIGRAM 6'!$I$16</f>
        <v>0</v>
      </c>
      <c r="K194" s="73"/>
    </row>
    <row r="195" spans="1:27" s="9" customFormat="1" ht="14.25">
      <c r="A195" s="86" t="s">
        <v>50</v>
      </c>
      <c r="B195" s="97" t="s">
        <v>699</v>
      </c>
      <c r="C195" s="97"/>
      <c r="D195" s="97"/>
      <c r="E195" s="96"/>
      <c r="F195" s="96"/>
      <c r="G195" s="608"/>
      <c r="H195" s="84"/>
      <c r="K195" s="73"/>
    </row>
    <row r="196" spans="1:27" s="9" customFormat="1" ht="14.25">
      <c r="A196" s="86" t="s">
        <v>79</v>
      </c>
      <c r="B196" s="97" t="s">
        <v>625</v>
      </c>
      <c r="C196" s="97"/>
      <c r="D196" s="97"/>
      <c r="E196" s="96">
        <v>0.25</v>
      </c>
      <c r="F196" s="96">
        <f>(E196+IF(F177="DA",-4%,0%)+IF(F178="DA",-4%,0%))*(100%+F176)</f>
        <v>0.16999999999999998</v>
      </c>
      <c r="G196" s="608">
        <f t="shared" ref="G196:G198" si="15">ROUND(F196*$F$173,1)</f>
        <v>0</v>
      </c>
      <c r="H196" s="84">
        <f>+G196*'ARHIGRAM 6'!$I$16</f>
        <v>0</v>
      </c>
      <c r="K196" s="73"/>
    </row>
    <row r="197" spans="1:27" s="9" customFormat="1" ht="14.25">
      <c r="A197" s="86" t="s">
        <v>80</v>
      </c>
      <c r="B197" s="97" t="s">
        <v>696</v>
      </c>
      <c r="C197" s="97"/>
      <c r="D197" s="97"/>
      <c r="E197" s="471">
        <v>1.7500000000000002E-2</v>
      </c>
      <c r="F197" s="96">
        <f>E197*(100%+$F$124)</f>
        <v>1.7500000000000002E-2</v>
      </c>
      <c r="G197" s="608">
        <f t="shared" si="15"/>
        <v>0</v>
      </c>
      <c r="H197" s="84">
        <f>+G197*'ARHIGRAM 6'!$I$16</f>
        <v>0</v>
      </c>
      <c r="K197" s="73"/>
    </row>
    <row r="198" spans="1:27" s="755" customFormat="1" ht="14.25">
      <c r="A198" s="807"/>
      <c r="B198" s="808" t="s">
        <v>797</v>
      </c>
      <c r="C198" s="808"/>
      <c r="D198" s="808"/>
      <c r="E198" s="809">
        <v>2.5000000000000001E-3</v>
      </c>
      <c r="F198" s="828">
        <f>E198*(100%+$F$124)</f>
        <v>2.5000000000000001E-3</v>
      </c>
      <c r="G198" s="829">
        <f t="shared" si="15"/>
        <v>0</v>
      </c>
      <c r="H198" s="812">
        <f t="shared" ref="H198" si="16">+G198*$F$122</f>
        <v>0</v>
      </c>
      <c r="K198" s="73"/>
      <c r="L198" s="9"/>
      <c r="M198" s="9"/>
      <c r="N198" s="9"/>
      <c r="O198" s="9"/>
      <c r="P198" s="9"/>
      <c r="Q198" s="9"/>
      <c r="R198" s="9"/>
      <c r="S198" s="9"/>
      <c r="T198" s="9"/>
      <c r="U198" s="9"/>
      <c r="V198" s="9"/>
      <c r="W198" s="9"/>
      <c r="X198" s="9"/>
      <c r="Y198" s="9"/>
      <c r="Z198" s="9"/>
      <c r="AA198" s="9"/>
    </row>
    <row r="199" spans="1:27" s="9" customFormat="1" ht="14.25">
      <c r="A199" s="113" t="s">
        <v>36</v>
      </c>
      <c r="B199" s="99" t="s">
        <v>101</v>
      </c>
      <c r="C199" s="99"/>
      <c r="D199" s="99"/>
      <c r="E199" s="100">
        <f>SUM(E200:E201)</f>
        <v>0.05</v>
      </c>
      <c r="F199" s="100">
        <f>SUM(F200:F201)</f>
        <v>0.05</v>
      </c>
      <c r="G199" s="607">
        <f>SUM(G200:G201)</f>
        <v>0</v>
      </c>
      <c r="H199" s="101">
        <f>SUM(H200:H201)</f>
        <v>0</v>
      </c>
      <c r="I199" s="122">
        <f>IFERROR(H199/'OSNOVNI PODATKI'!$E$311,0)</f>
        <v>0</v>
      </c>
      <c r="J199" s="122">
        <f>IFERROR(H199/'OSNOVNI PODATKI'!$E$314,0)</f>
        <v>0</v>
      </c>
      <c r="K199" s="73"/>
    </row>
    <row r="200" spans="1:27" s="9" customFormat="1" ht="14.25">
      <c r="A200" s="86" t="s">
        <v>37</v>
      </c>
      <c r="B200" s="92" t="s">
        <v>697</v>
      </c>
      <c r="C200" s="92"/>
      <c r="D200" s="92"/>
      <c r="E200" s="83">
        <v>0.03</v>
      </c>
      <c r="F200" s="83">
        <f>E200*(100%+$F$124)</f>
        <v>0.03</v>
      </c>
      <c r="G200" s="608">
        <f t="shared" ref="G200:G201" si="17">ROUND(F200*$F$173,1)</f>
        <v>0</v>
      </c>
      <c r="H200" s="84">
        <f>+G200*'ARHIGRAM 6'!$I$16</f>
        <v>0</v>
      </c>
      <c r="K200" s="73"/>
    </row>
    <row r="201" spans="1:27" s="9" customFormat="1" ht="14.25">
      <c r="A201" s="114" t="s">
        <v>38</v>
      </c>
      <c r="B201" s="87" t="s">
        <v>180</v>
      </c>
      <c r="C201" s="87"/>
      <c r="D201" s="87"/>
      <c r="E201" s="109">
        <v>0.02</v>
      </c>
      <c r="F201" s="109">
        <f>E201*(100%+$F$124)</f>
        <v>0.02</v>
      </c>
      <c r="G201" s="609">
        <f t="shared" si="17"/>
        <v>0</v>
      </c>
      <c r="H201" s="88">
        <f>+G201*'ARHIGRAM 6'!$I$16</f>
        <v>0</v>
      </c>
      <c r="K201" s="73"/>
    </row>
    <row r="202" spans="1:27" s="9" customFormat="1" ht="14.25">
      <c r="A202" s="117">
        <v>4</v>
      </c>
      <c r="B202" s="99" t="s">
        <v>57</v>
      </c>
      <c r="C202" s="99"/>
      <c r="D202" s="99"/>
      <c r="E202" s="100">
        <f>SUM(E203:E210)</f>
        <v>0.35000000000000009</v>
      </c>
      <c r="F202" s="100">
        <f>SUM(F203:F210)</f>
        <v>0.35000000000000009</v>
      </c>
      <c r="G202" s="607">
        <f>SUM(G203:G210)</f>
        <v>0</v>
      </c>
      <c r="H202" s="101">
        <f>SUM(H203:H210)</f>
        <v>0</v>
      </c>
      <c r="I202" s="122">
        <f>IFERROR(H202/'OSNOVNI PODATKI'!$E$311,0)</f>
        <v>0</v>
      </c>
      <c r="J202" s="122">
        <f>IFERROR(H202/'OSNOVNI PODATKI'!$E$314,0)</f>
        <v>0</v>
      </c>
      <c r="K202" s="73"/>
    </row>
    <row r="203" spans="1:27" s="9" customFormat="1" ht="14.25">
      <c r="A203" s="86" t="s">
        <v>39</v>
      </c>
      <c r="B203" s="92" t="s">
        <v>181</v>
      </c>
      <c r="C203" s="92"/>
      <c r="D203" s="92"/>
      <c r="E203" s="83">
        <v>0</v>
      </c>
      <c r="F203" s="83">
        <f>E203*(100%+$F$124)</f>
        <v>0</v>
      </c>
      <c r="G203" s="608">
        <f t="shared" ref="G203:G210" si="18">ROUND(F203*$F$173,1)</f>
        <v>0</v>
      </c>
      <c r="H203" s="84">
        <f>+G203*'ARHIGRAM 6'!$I$16</f>
        <v>0</v>
      </c>
      <c r="K203" s="73"/>
    </row>
    <row r="204" spans="1:27" s="9" customFormat="1" ht="14.25">
      <c r="A204" s="86" t="s">
        <v>40</v>
      </c>
      <c r="B204" s="92" t="s">
        <v>712</v>
      </c>
      <c r="C204" s="92"/>
      <c r="D204" s="92"/>
      <c r="E204" s="83">
        <v>7.0000000000000007E-2</v>
      </c>
      <c r="F204" s="83">
        <f>E204*(100%+$F$124)</f>
        <v>7.0000000000000007E-2</v>
      </c>
      <c r="G204" s="608">
        <f t="shared" si="18"/>
        <v>0</v>
      </c>
      <c r="H204" s="84">
        <f>+G204*'ARHIGRAM 6'!$I$16</f>
        <v>0</v>
      </c>
    </row>
    <row r="205" spans="1:27" s="755" customFormat="1" ht="14.25">
      <c r="A205" s="750"/>
      <c r="B205" s="751" t="s">
        <v>400</v>
      </c>
      <c r="C205" s="751"/>
      <c r="D205" s="751"/>
      <c r="E205" s="749">
        <v>0.23</v>
      </c>
      <c r="F205" s="756">
        <f t="shared" ref="F205" si="19">E205*(100%+$F$124)</f>
        <v>0.23</v>
      </c>
      <c r="G205" s="801">
        <f t="shared" si="18"/>
        <v>0</v>
      </c>
      <c r="H205" s="758">
        <f t="shared" ref="H205" si="20">+G205*$F$122</f>
        <v>0</v>
      </c>
      <c r="K205" s="9"/>
      <c r="L205" s="9"/>
      <c r="M205" s="9"/>
      <c r="N205" s="9"/>
      <c r="O205" s="9"/>
      <c r="P205" s="9"/>
      <c r="Q205" s="9"/>
      <c r="R205" s="9"/>
      <c r="S205" s="9"/>
      <c r="T205" s="9"/>
      <c r="U205" s="9"/>
      <c r="V205" s="9"/>
      <c r="W205" s="9"/>
      <c r="X205" s="9"/>
      <c r="Y205" s="9"/>
      <c r="Z205" s="9"/>
      <c r="AA205" s="9"/>
    </row>
    <row r="206" spans="1:27" s="9" customFormat="1" ht="14.25">
      <c r="A206" s="86" t="s">
        <v>41</v>
      </c>
      <c r="B206" s="92" t="s">
        <v>796</v>
      </c>
      <c r="C206" s="92"/>
      <c r="D206" s="92"/>
      <c r="E206" s="83">
        <v>6.0000000000000001E-3</v>
      </c>
      <c r="F206" s="83">
        <f>E206*(100%+$F$124)</f>
        <v>6.0000000000000001E-3</v>
      </c>
      <c r="G206" s="608">
        <f t="shared" si="18"/>
        <v>0</v>
      </c>
      <c r="H206" s="84">
        <f>+G206*'ARHIGRAM 6'!$I$16</f>
        <v>0</v>
      </c>
    </row>
    <row r="207" spans="1:27" s="755" customFormat="1" ht="14.25">
      <c r="A207" s="750"/>
      <c r="B207" s="751" t="s">
        <v>400</v>
      </c>
      <c r="C207" s="751"/>
      <c r="D207" s="751"/>
      <c r="E207" s="749">
        <v>4.0000000000000001E-3</v>
      </c>
      <c r="F207" s="756">
        <f t="shared" ref="F207" si="21">E207*(100%+$F$124)</f>
        <v>4.0000000000000001E-3</v>
      </c>
      <c r="G207" s="801">
        <f t="shared" si="18"/>
        <v>0</v>
      </c>
      <c r="H207" s="758">
        <f t="shared" ref="H207" si="22">+G207*$F$122</f>
        <v>0</v>
      </c>
      <c r="K207" s="9"/>
      <c r="L207" s="9"/>
      <c r="M207" s="9"/>
      <c r="N207" s="9"/>
      <c r="O207" s="9"/>
      <c r="P207" s="9"/>
      <c r="Q207" s="9"/>
      <c r="R207" s="9"/>
      <c r="S207" s="9"/>
      <c r="T207" s="9"/>
      <c r="U207" s="9"/>
      <c r="V207" s="9"/>
      <c r="W207" s="9"/>
      <c r="X207" s="9"/>
      <c r="Y207" s="9"/>
      <c r="Z207" s="9"/>
      <c r="AA207" s="9"/>
    </row>
    <row r="208" spans="1:27" s="9" customFormat="1" ht="14.25">
      <c r="A208" s="86" t="s">
        <v>42</v>
      </c>
      <c r="B208" s="92" t="s">
        <v>713</v>
      </c>
      <c r="C208" s="92"/>
      <c r="D208" s="92"/>
      <c r="E208" s="83">
        <v>1.2E-2</v>
      </c>
      <c r="F208" s="83">
        <f>E208*(100%+$F$124)</f>
        <v>1.2E-2</v>
      </c>
      <c r="G208" s="608">
        <f t="shared" si="18"/>
        <v>0</v>
      </c>
      <c r="H208" s="84">
        <f>+G208*'ARHIGRAM 6'!$I$16</f>
        <v>0</v>
      </c>
    </row>
    <row r="209" spans="1:27" s="755" customFormat="1" ht="14.25">
      <c r="A209" s="750"/>
      <c r="B209" s="751" t="s">
        <v>400</v>
      </c>
      <c r="C209" s="751"/>
      <c r="D209" s="751"/>
      <c r="E209" s="749">
        <v>8.0000000000000002E-3</v>
      </c>
      <c r="F209" s="756">
        <f t="shared" ref="F209" si="23">E209*(100%+$F$124)</f>
        <v>8.0000000000000002E-3</v>
      </c>
      <c r="G209" s="801">
        <f t="shared" si="18"/>
        <v>0</v>
      </c>
      <c r="H209" s="758">
        <f t="shared" ref="H209" si="24">+G209*$F$122</f>
        <v>0</v>
      </c>
      <c r="K209" s="9"/>
      <c r="L209" s="9"/>
      <c r="M209" s="9"/>
      <c r="N209" s="9"/>
      <c r="O209" s="9"/>
      <c r="P209" s="9"/>
      <c r="Q209" s="9"/>
      <c r="R209" s="9"/>
      <c r="S209" s="9"/>
      <c r="T209" s="9"/>
      <c r="U209" s="9"/>
      <c r="V209" s="9"/>
      <c r="W209" s="9"/>
      <c r="X209" s="9"/>
      <c r="Y209" s="9"/>
      <c r="Z209" s="9"/>
      <c r="AA209" s="9"/>
    </row>
    <row r="210" spans="1:27" s="9" customFormat="1" ht="14.25">
      <c r="A210" s="114" t="s">
        <v>43</v>
      </c>
      <c r="B210" s="87" t="s">
        <v>698</v>
      </c>
      <c r="C210" s="87"/>
      <c r="D210" s="87"/>
      <c r="E210" s="109">
        <v>0.02</v>
      </c>
      <c r="F210" s="109">
        <f>E210*(100%+$F$124)</f>
        <v>0.02</v>
      </c>
      <c r="G210" s="609">
        <f t="shared" si="18"/>
        <v>0</v>
      </c>
      <c r="H210" s="88">
        <f>+G210*'ARHIGRAM 6'!$I$16</f>
        <v>0</v>
      </c>
    </row>
    <row r="211" spans="1:27" s="9" customFormat="1" ht="14.25">
      <c r="A211" s="118">
        <v>5</v>
      </c>
      <c r="B211" s="99" t="s">
        <v>44</v>
      </c>
      <c r="C211" s="99"/>
      <c r="D211" s="99"/>
      <c r="E211" s="100">
        <f>SUM(E212:E213)</f>
        <v>0.01</v>
      </c>
      <c r="F211" s="100">
        <f>SUM(F212:F213)</f>
        <v>0.01</v>
      </c>
      <c r="G211" s="607">
        <f>SUM(G212:G213)</f>
        <v>0</v>
      </c>
      <c r="H211" s="101">
        <f>SUM(H212:H213)</f>
        <v>0</v>
      </c>
      <c r="I211" s="122">
        <f>IFERROR(H211/'OSNOVNI PODATKI'!$E$311,0)</f>
        <v>0</v>
      </c>
      <c r="J211" s="122">
        <f>IFERROR(H211/'OSNOVNI PODATKI'!$E$314,0)</f>
        <v>0</v>
      </c>
    </row>
    <row r="212" spans="1:27" s="9" customFormat="1" ht="14.25">
      <c r="A212" s="86" t="s">
        <v>45</v>
      </c>
      <c r="B212" s="95" t="s">
        <v>183</v>
      </c>
      <c r="C212" s="95"/>
      <c r="D212" s="95"/>
      <c r="E212" s="83">
        <v>5.0000000000000001E-3</v>
      </c>
      <c r="F212" s="83">
        <f>E212*(100%+$F$124)</f>
        <v>5.0000000000000001E-3</v>
      </c>
      <c r="G212" s="608">
        <f t="shared" ref="G212:G213" si="25">ROUND(F212*$F$173,1)</f>
        <v>0</v>
      </c>
      <c r="H212" s="84">
        <f>+G212*'ARHIGRAM 6'!$I$16</f>
        <v>0</v>
      </c>
    </row>
    <row r="213" spans="1:27" s="9" customFormat="1" ht="14.25">
      <c r="A213" s="114" t="s">
        <v>46</v>
      </c>
      <c r="B213" s="120" t="s">
        <v>184</v>
      </c>
      <c r="C213" s="120"/>
      <c r="D213" s="120"/>
      <c r="E213" s="109">
        <v>5.0000000000000001E-3</v>
      </c>
      <c r="F213" s="109">
        <f>E213*(100%+$F$124)</f>
        <v>5.0000000000000001E-3</v>
      </c>
      <c r="G213" s="609">
        <f t="shared" si="25"/>
        <v>0</v>
      </c>
      <c r="H213" s="88">
        <f>+G213*'ARHIGRAM 6'!$I$16</f>
        <v>0</v>
      </c>
    </row>
    <row r="214" spans="1:27" s="9" customFormat="1" ht="14.25">
      <c r="A214" s="119">
        <v>6</v>
      </c>
      <c r="B214" s="99" t="s">
        <v>47</v>
      </c>
      <c r="C214" s="99"/>
      <c r="D214" s="99"/>
      <c r="E214" s="100"/>
      <c r="F214" s="100"/>
      <c r="G214" s="601"/>
      <c r="H214" s="101"/>
    </row>
    <row r="215" spans="1:27" s="9" customFormat="1" ht="14.25">
      <c r="A215" s="86" t="s">
        <v>51</v>
      </c>
      <c r="B215" s="95" t="s">
        <v>185</v>
      </c>
      <c r="C215" s="95"/>
      <c r="D215" s="95"/>
      <c r="E215" s="83"/>
      <c r="F215" s="83"/>
      <c r="G215" s="602"/>
      <c r="H215" s="84"/>
    </row>
    <row r="216" spans="1:27" s="9" customFormat="1" ht="14.25">
      <c r="A216" s="86" t="s">
        <v>52</v>
      </c>
      <c r="B216" s="95" t="s">
        <v>186</v>
      </c>
      <c r="C216" s="95"/>
      <c r="D216" s="95"/>
      <c r="E216" s="83"/>
      <c r="F216" s="83"/>
      <c r="G216" s="602"/>
      <c r="H216" s="84"/>
    </row>
    <row r="217" spans="1:27" s="9" customFormat="1" ht="14.25">
      <c r="A217" s="114" t="s">
        <v>53</v>
      </c>
      <c r="B217" s="120" t="s">
        <v>187</v>
      </c>
      <c r="C217" s="120"/>
      <c r="D217" s="120"/>
      <c r="E217" s="109"/>
      <c r="F217" s="109"/>
      <c r="G217" s="603"/>
      <c r="H217" s="88"/>
    </row>
    <row r="218" spans="1:27" s="9" customFormat="1" ht="14.25">
      <c r="A218" s="282"/>
      <c r="B218" s="283"/>
      <c r="C218" s="283"/>
      <c r="D218" s="283"/>
      <c r="E218" s="284"/>
      <c r="F218" s="91"/>
      <c r="G218" s="606"/>
      <c r="H218" s="285"/>
    </row>
    <row r="219" spans="1:27" s="9" customFormat="1" ht="14.25">
      <c r="A219" s="123"/>
      <c r="B219" s="124" t="s">
        <v>1</v>
      </c>
      <c r="C219" s="124"/>
      <c r="D219" s="124"/>
      <c r="E219" s="125">
        <f>E185+E188+E192+E199+E202+E211+E214</f>
        <v>1</v>
      </c>
      <c r="F219" s="125">
        <f>F185+F188+F192+F199+F202+F211+F214</f>
        <v>0.92000000000000015</v>
      </c>
      <c r="G219" s="605">
        <f>G185+G188+G192+G199+G202+G211+G214</f>
        <v>0</v>
      </c>
      <c r="H219" s="126">
        <f>H185+H188+H192+H199+H202+H211+H214</f>
        <v>0</v>
      </c>
      <c r="I219" s="122">
        <f>IFERROR(H219/'OSNOVNI PODATKI'!$E$311,0)</f>
        <v>0</v>
      </c>
      <c r="J219" s="122">
        <f>IFERROR(H219/'OSNOVNI PODATKI'!$E$314,0)</f>
        <v>0</v>
      </c>
    </row>
    <row r="220" spans="1:27" s="9" customFormat="1" ht="14.25">
      <c r="A220" s="25"/>
      <c r="B220" s="121"/>
      <c r="E220" s="26"/>
      <c r="G220" s="26"/>
      <c r="H220" s="122"/>
    </row>
    <row r="221" spans="1:27" s="9" customFormat="1" ht="14.25">
      <c r="A221" s="25"/>
      <c r="B221" s="121"/>
      <c r="E221" s="26"/>
      <c r="G221" s="26"/>
      <c r="H221" s="122"/>
    </row>
    <row r="222" spans="1:27" s="9" customFormat="1" ht="15" thickBot="1"/>
    <row r="223" spans="1:27" s="9" customFormat="1" ht="18.75">
      <c r="A223" s="786" t="s">
        <v>925</v>
      </c>
      <c r="B223" s="786"/>
      <c r="C223" s="786"/>
      <c r="D223" s="786"/>
      <c r="E223" s="786"/>
      <c r="F223" s="786"/>
      <c r="G223" s="786"/>
      <c r="H223" s="786"/>
      <c r="I223" s="786"/>
      <c r="J223" s="786"/>
    </row>
    <row r="224" spans="1:27" s="73" customFormat="1">
      <c r="A224" s="203"/>
      <c r="B224" s="203"/>
      <c r="C224" s="717"/>
      <c r="D224" s="717"/>
      <c r="E224" s="717"/>
      <c r="F224" s="615"/>
      <c r="G224" s="717"/>
      <c r="H224" s="717"/>
    </row>
    <row r="225" spans="1:10" s="73" customFormat="1">
      <c r="A225" s="203"/>
      <c r="B225" s="81" t="s">
        <v>719</v>
      </c>
      <c r="C225" s="203"/>
      <c r="D225" s="203"/>
      <c r="E225" s="203"/>
      <c r="F225" s="487">
        <f>'OSNOVNI PODATKI'!G367</f>
        <v>0</v>
      </c>
      <c r="G225" s="202"/>
      <c r="H225" s="203"/>
    </row>
    <row r="226" spans="1:10" s="73" customFormat="1">
      <c r="A226" s="203"/>
      <c r="B226" s="81" t="s">
        <v>720</v>
      </c>
      <c r="C226" s="202"/>
      <c r="D226" s="80"/>
      <c r="E226" s="80"/>
      <c r="F226" s="473">
        <f>'ARHIGRAM 6'!$I$16</f>
        <v>62</v>
      </c>
      <c r="G226" s="202"/>
      <c r="H226" s="202"/>
    </row>
    <row r="227" spans="1:10" s="73" customFormat="1">
      <c r="A227" s="203"/>
      <c r="B227" s="203"/>
      <c r="C227" s="203"/>
      <c r="D227" s="203"/>
      <c r="E227" s="203"/>
      <c r="H227" s="203"/>
    </row>
    <row r="228" spans="1:10" s="73" customFormat="1">
      <c r="B228" s="81" t="str">
        <f>'OSNOVNI PODATKI'!B376</f>
        <v>PRIBITEK ZA PRENOVO</v>
      </c>
      <c r="C228" s="202"/>
      <c r="D228" s="80"/>
      <c r="E228" s="80"/>
      <c r="F228" s="301">
        <f>'OSNOVNI PODATKI'!F376</f>
        <v>0</v>
      </c>
      <c r="G228" s="202" t="str">
        <f>$G$176</f>
        <v>Upošteva se v fazah od 1 do 4., samo za storitve projektiranja. Če dogovor o povečanju potrebnega števila NU ni bil dosežen, se upošteva 18 % povečanje števila NU glede na vsaj povprečno zahtevnost.
Če gre za prenovo notranje opreme lahko znaša povečanje do 50 %.</v>
      </c>
      <c r="H228" s="202"/>
    </row>
    <row r="229" spans="1:10" s="73" customFormat="1">
      <c r="B229" s="1331" t="str">
        <f>'OSNOVNI PODATKI'!B382</f>
        <v>BREZ PREVERJANJA MONTAŽNIH IN DELAVNIŠKIH NAČRTOV V TEHNIČNIH NAČRTIH</v>
      </c>
      <c r="C229" s="1331"/>
      <c r="D229" s="1331"/>
      <c r="E229" s="1331"/>
      <c r="F229" s="635" t="str">
        <f>IF('OSNOVNI PODATKI'!F382=TRUE,"DA","NE")</f>
        <v>DA</v>
      </c>
      <c r="G229" s="202" t="str">
        <f>$G$178</f>
        <v>Če je opcija izbrana, se v fazi 2.4 EI, SI, TH upošteva odbitek 4 %.</v>
      </c>
      <c r="H229" s="202"/>
    </row>
    <row r="230" spans="1:10" s="73" customFormat="1">
      <c r="A230" s="203"/>
      <c r="B230" s="81"/>
      <c r="C230" s="202"/>
      <c r="D230" s="80"/>
      <c r="E230" s="80"/>
      <c r="F230" s="635"/>
      <c r="G230" s="202"/>
      <c r="H230" s="489"/>
    </row>
    <row r="231" spans="1:10" s="2" customFormat="1">
      <c r="A231" s="73"/>
      <c r="B231" s="203"/>
      <c r="C231" s="203"/>
      <c r="D231" s="203"/>
      <c r="E231" s="203"/>
      <c r="F231" s="203"/>
      <c r="G231" s="203"/>
    </row>
    <row r="232" spans="1:10" s="9" customFormat="1" ht="14.25">
      <c r="A232" s="205"/>
      <c r="B232" s="205"/>
      <c r="C232" s="205"/>
      <c r="D232" s="205"/>
      <c r="E232" s="205"/>
      <c r="F232" s="205"/>
      <c r="G232" s="205"/>
      <c r="H232" s="205"/>
    </row>
    <row r="233" spans="1:10" s="9" customFormat="1" ht="38.25">
      <c r="A233" s="102"/>
      <c r="B233" s="103"/>
      <c r="C233" s="103"/>
      <c r="D233" s="103"/>
      <c r="E233" s="104" t="s">
        <v>25</v>
      </c>
      <c r="F233" s="294" t="s">
        <v>379</v>
      </c>
      <c r="G233" s="600" t="s">
        <v>54</v>
      </c>
      <c r="H233" s="105" t="s">
        <v>67</v>
      </c>
      <c r="I233" s="405" t="s">
        <v>757</v>
      </c>
      <c r="J233" s="405" t="s">
        <v>780</v>
      </c>
    </row>
    <row r="234" spans="1:10" s="9" customFormat="1" ht="14.25">
      <c r="A234" s="98" t="s">
        <v>26</v>
      </c>
      <c r="B234" s="99" t="s">
        <v>27</v>
      </c>
      <c r="C234" s="99"/>
      <c r="D234" s="99"/>
      <c r="E234" s="100"/>
      <c r="F234" s="100"/>
      <c r="G234" s="601"/>
      <c r="H234" s="101"/>
      <c r="J234" s="71"/>
    </row>
    <row r="235" spans="1:10" s="9" customFormat="1" ht="14.25">
      <c r="A235" s="82" t="s">
        <v>28</v>
      </c>
      <c r="B235" s="94" t="s">
        <v>62</v>
      </c>
      <c r="C235" s="94"/>
      <c r="D235" s="94"/>
      <c r="E235" s="83"/>
      <c r="F235" s="83"/>
      <c r="G235" s="602"/>
      <c r="H235" s="84" t="str">
        <f>IF(J242=TRUE,G235*'VREDNOST NU'!#REF!,"")</f>
        <v/>
      </c>
      <c r="J235" s="71"/>
    </row>
    <row r="236" spans="1:10" ht="14.25">
      <c r="A236" s="107" t="s">
        <v>29</v>
      </c>
      <c r="B236" s="108" t="s">
        <v>63</v>
      </c>
      <c r="C236" s="108"/>
      <c r="D236" s="108"/>
      <c r="E236" s="109"/>
      <c r="F236" s="109"/>
      <c r="G236" s="603"/>
      <c r="H236" s="88" t="str">
        <f>IF(J243=TRUE,G236*'VREDNOST NU'!#REF!,"")</f>
        <v/>
      </c>
      <c r="I236" s="9"/>
    </row>
    <row r="237" spans="1:10">
      <c r="A237" s="106" t="s">
        <v>30</v>
      </c>
      <c r="B237" s="99" t="s">
        <v>31</v>
      </c>
      <c r="C237" s="99"/>
      <c r="D237" s="99"/>
      <c r="E237" s="100">
        <f>SUM(E238:E240)</f>
        <v>0.02</v>
      </c>
      <c r="F237" s="100">
        <f>SUM(F238:F240)</f>
        <v>0.02</v>
      </c>
      <c r="G237" s="607">
        <f>SUM(G238:G240)</f>
        <v>0</v>
      </c>
      <c r="H237" s="101">
        <f>SUM(H238:H240)</f>
        <v>0</v>
      </c>
      <c r="I237" s="122">
        <f>IFERROR(H237/'OSNOVNI PODATKI'!$E$311,0)</f>
        <v>0</v>
      </c>
      <c r="J237" s="122">
        <f>IFERROR(H237/'OSNOVNI PODATKI'!$E$315,0)</f>
        <v>0</v>
      </c>
    </row>
    <row r="238" spans="1:10" s="73" customFormat="1" ht="14.25">
      <c r="A238" s="85" t="s">
        <v>32</v>
      </c>
      <c r="B238" s="93" t="s">
        <v>64</v>
      </c>
      <c r="C238" s="93"/>
      <c r="D238" s="93"/>
      <c r="E238" s="83">
        <v>0.01</v>
      </c>
      <c r="F238" s="83">
        <f>E238*(100%+$F$228)</f>
        <v>0.01</v>
      </c>
      <c r="G238" s="608">
        <f>ROUND(F238*$F$225,1)</f>
        <v>0</v>
      </c>
      <c r="H238" s="84">
        <f>+G238*'ARHIGRAM 6'!$I$16</f>
        <v>0</v>
      </c>
      <c r="I238" s="9"/>
    </row>
    <row r="239" spans="1:10" s="2" customFormat="1" ht="14.25">
      <c r="A239" s="85" t="s">
        <v>33</v>
      </c>
      <c r="B239" s="93" t="s">
        <v>65</v>
      </c>
      <c r="C239" s="93"/>
      <c r="D239" s="93"/>
      <c r="E239" s="83">
        <v>0.01</v>
      </c>
      <c r="F239" s="83">
        <f>E239*(100%+$F$228)</f>
        <v>0.01</v>
      </c>
      <c r="G239" s="608">
        <f>ROUND(F239*$F$225,1)</f>
        <v>0</v>
      </c>
      <c r="H239" s="84">
        <f>+G239*'ARHIGRAM 6'!$I$16</f>
        <v>0</v>
      </c>
      <c r="I239" s="9"/>
    </row>
    <row r="240" spans="1:10" s="8" customFormat="1" ht="14.25">
      <c r="A240" s="111" t="s">
        <v>34</v>
      </c>
      <c r="B240" s="112" t="s">
        <v>695</v>
      </c>
      <c r="C240" s="112"/>
      <c r="D240" s="112"/>
      <c r="E240" s="109"/>
      <c r="F240" s="109"/>
      <c r="G240" s="609"/>
      <c r="H240" s="88"/>
      <c r="I240" s="9"/>
    </row>
    <row r="241" spans="1:27" s="9" customFormat="1" ht="14.25">
      <c r="A241" s="110">
        <v>2</v>
      </c>
      <c r="B241" s="99" t="s">
        <v>35</v>
      </c>
      <c r="C241" s="99"/>
      <c r="D241" s="99"/>
      <c r="E241" s="100">
        <f>SUM(E242:E247)</f>
        <v>0.56999999999999995</v>
      </c>
      <c r="F241" s="100">
        <f>SUM(F242:F247)</f>
        <v>0.56999999999999995</v>
      </c>
      <c r="G241" s="610">
        <f>SUM(G242:G247)</f>
        <v>0</v>
      </c>
      <c r="H241" s="101">
        <f>SUM(H242:H247)</f>
        <v>0</v>
      </c>
      <c r="I241" s="122">
        <f>IFERROR(H241/'OSNOVNI PODATKI'!$E$311,0)</f>
        <v>0</v>
      </c>
      <c r="J241" s="122">
        <f>IFERROR(H241/'OSNOVNI PODATKI'!$E$315,0)</f>
        <v>0</v>
      </c>
    </row>
    <row r="242" spans="1:27" s="9" customFormat="1" ht="14.25">
      <c r="A242" s="85" t="s">
        <v>48</v>
      </c>
      <c r="B242" s="93" t="s">
        <v>78</v>
      </c>
      <c r="C242" s="93"/>
      <c r="D242" s="93"/>
      <c r="E242" s="96">
        <v>0.1</v>
      </c>
      <c r="F242" s="96">
        <f>E242*(100%+$F$124)</f>
        <v>0.1</v>
      </c>
      <c r="G242" s="608">
        <f t="shared" ref="G242:G243" si="26">ROUND(F242*$F$225,1)</f>
        <v>0</v>
      </c>
      <c r="H242" s="84">
        <f>+G242*'ARHIGRAM 6'!$I$16</f>
        <v>0</v>
      </c>
    </row>
    <row r="243" spans="1:27" s="9" customFormat="1" ht="14.25">
      <c r="A243" s="86" t="s">
        <v>49</v>
      </c>
      <c r="B243" s="97" t="s">
        <v>624</v>
      </c>
      <c r="C243" s="97"/>
      <c r="D243" s="97"/>
      <c r="E243" s="96">
        <v>0.2</v>
      </c>
      <c r="F243" s="96">
        <f>E243*(100%+$F$124)</f>
        <v>0.2</v>
      </c>
      <c r="G243" s="608">
        <f t="shared" si="26"/>
        <v>0</v>
      </c>
      <c r="H243" s="84">
        <f>+G243*'ARHIGRAM 6'!$I$16</f>
        <v>0</v>
      </c>
    </row>
    <row r="244" spans="1:27" s="9" customFormat="1" ht="14.25">
      <c r="A244" s="86" t="s">
        <v>50</v>
      </c>
      <c r="B244" s="97" t="s">
        <v>699</v>
      </c>
      <c r="C244" s="97"/>
      <c r="D244" s="97"/>
      <c r="E244" s="96"/>
      <c r="F244" s="96"/>
      <c r="G244" s="608"/>
      <c r="H244" s="84"/>
    </row>
    <row r="245" spans="1:27" s="9" customFormat="1" ht="14.25">
      <c r="A245" s="86" t="s">
        <v>79</v>
      </c>
      <c r="B245" s="97" t="s">
        <v>625</v>
      </c>
      <c r="C245" s="97"/>
      <c r="D245" s="97"/>
      <c r="E245" s="96">
        <v>0.25</v>
      </c>
      <c r="F245" s="96">
        <f>(E245*(100%+F228))</f>
        <v>0.25</v>
      </c>
      <c r="G245" s="608">
        <f t="shared" ref="G245:G247" si="27">ROUND(F245*$F$225,1)</f>
        <v>0</v>
      </c>
      <c r="H245" s="84">
        <f>+G245*'ARHIGRAM 6'!$I$16</f>
        <v>0</v>
      </c>
    </row>
    <row r="246" spans="1:27" s="9" customFormat="1" ht="14.25">
      <c r="A246" s="86" t="s">
        <v>80</v>
      </c>
      <c r="B246" s="97" t="s">
        <v>696</v>
      </c>
      <c r="C246" s="97"/>
      <c r="D246" s="97"/>
      <c r="E246" s="471">
        <v>1.7500000000000002E-2</v>
      </c>
      <c r="F246" s="96">
        <f>E246*(100%+$F$124)</f>
        <v>1.7500000000000002E-2</v>
      </c>
      <c r="G246" s="608">
        <f t="shared" si="27"/>
        <v>0</v>
      </c>
      <c r="H246" s="84">
        <f>+G246*'ARHIGRAM 6'!$I$16</f>
        <v>0</v>
      </c>
    </row>
    <row r="247" spans="1:27" s="755" customFormat="1" ht="14.25">
      <c r="A247" s="807"/>
      <c r="B247" s="808" t="s">
        <v>797</v>
      </c>
      <c r="C247" s="808"/>
      <c r="D247" s="808"/>
      <c r="E247" s="809">
        <v>2.5000000000000001E-3</v>
      </c>
      <c r="F247" s="828">
        <f>E247*(100%+$F$124)</f>
        <v>2.5000000000000001E-3</v>
      </c>
      <c r="G247" s="829">
        <f t="shared" si="27"/>
        <v>0</v>
      </c>
      <c r="H247" s="812">
        <f t="shared" ref="H247" si="28">+G247*$F$122</f>
        <v>0</v>
      </c>
      <c r="K247" s="9"/>
      <c r="L247" s="9"/>
      <c r="M247" s="9"/>
      <c r="N247" s="9"/>
      <c r="O247" s="9"/>
      <c r="P247" s="9"/>
      <c r="Q247" s="9"/>
      <c r="R247" s="9"/>
      <c r="S247" s="9"/>
      <c r="T247" s="9"/>
      <c r="U247" s="9"/>
      <c r="V247" s="9"/>
      <c r="W247" s="9"/>
      <c r="X247" s="9"/>
      <c r="Y247" s="9"/>
      <c r="Z247" s="9"/>
      <c r="AA247" s="9"/>
    </row>
    <row r="248" spans="1:27" s="9" customFormat="1" ht="14.25">
      <c r="A248" s="113" t="s">
        <v>36</v>
      </c>
      <c r="B248" s="99" t="s">
        <v>101</v>
      </c>
      <c r="C248" s="99"/>
      <c r="D248" s="99"/>
      <c r="E248" s="100">
        <f>SUM(E249:E250)</f>
        <v>0.05</v>
      </c>
      <c r="F248" s="100">
        <f>SUM(F249:F250)</f>
        <v>0.05</v>
      </c>
      <c r="G248" s="607">
        <f>SUM(G249:G250)</f>
        <v>0</v>
      </c>
      <c r="H248" s="101">
        <f>SUM(H249:H250)</f>
        <v>0</v>
      </c>
      <c r="I248" s="122">
        <f>IFERROR(H248/'OSNOVNI PODATKI'!$E$311,0)</f>
        <v>0</v>
      </c>
      <c r="J248" s="122">
        <f>IFERROR(H248/'OSNOVNI PODATKI'!$E$315,0)</f>
        <v>0</v>
      </c>
    </row>
    <row r="249" spans="1:27" s="9" customFormat="1" ht="14.25">
      <c r="A249" s="86" t="s">
        <v>37</v>
      </c>
      <c r="B249" s="92" t="s">
        <v>697</v>
      </c>
      <c r="C249" s="92"/>
      <c r="D249" s="92"/>
      <c r="E249" s="83">
        <v>0.03</v>
      </c>
      <c r="F249" s="83">
        <f t="shared" ref="F249:F250" si="29">E249*(100%+$F$228)</f>
        <v>0.03</v>
      </c>
      <c r="G249" s="608">
        <f t="shared" ref="G249:G250" si="30">ROUND(F249*$F$225,1)</f>
        <v>0</v>
      </c>
      <c r="H249" s="84">
        <f>+G249*'ARHIGRAM 6'!$I$16</f>
        <v>0</v>
      </c>
    </row>
    <row r="250" spans="1:27" s="9" customFormat="1" ht="14.25">
      <c r="A250" s="114" t="s">
        <v>38</v>
      </c>
      <c r="B250" s="87" t="s">
        <v>180</v>
      </c>
      <c r="C250" s="87"/>
      <c r="D250" s="87"/>
      <c r="E250" s="109">
        <v>0.02</v>
      </c>
      <c r="F250" s="109">
        <f t="shared" si="29"/>
        <v>0.02</v>
      </c>
      <c r="G250" s="609">
        <f t="shared" si="30"/>
        <v>0</v>
      </c>
      <c r="H250" s="88">
        <f>+G250*'ARHIGRAM 6'!$I$16</f>
        <v>0</v>
      </c>
    </row>
    <row r="251" spans="1:27" s="9" customFormat="1" ht="14.25">
      <c r="A251" s="117">
        <v>4</v>
      </c>
      <c r="B251" s="99" t="s">
        <v>57</v>
      </c>
      <c r="C251" s="99"/>
      <c r="D251" s="99"/>
      <c r="E251" s="100">
        <f>SUM(E252:E259)</f>
        <v>0.35000000000000009</v>
      </c>
      <c r="F251" s="100">
        <f>SUM(F252:F259)</f>
        <v>0.35000000000000009</v>
      </c>
      <c r="G251" s="607">
        <f>SUM(G252:G259)</f>
        <v>0</v>
      </c>
      <c r="H251" s="101">
        <f>SUM(H252:H259)</f>
        <v>0</v>
      </c>
      <c r="I251" s="122">
        <f>IFERROR(H251/'OSNOVNI PODATKI'!$E$311,0)</f>
        <v>0</v>
      </c>
      <c r="J251" s="122">
        <f>IFERROR(H251/'OSNOVNI PODATKI'!$E$315,0)</f>
        <v>0</v>
      </c>
    </row>
    <row r="252" spans="1:27" s="9" customFormat="1" ht="14.25">
      <c r="A252" s="86" t="s">
        <v>39</v>
      </c>
      <c r="B252" s="92" t="s">
        <v>181</v>
      </c>
      <c r="C252" s="92"/>
      <c r="D252" s="92"/>
      <c r="E252" s="83"/>
      <c r="F252" s="83"/>
      <c r="G252" s="608"/>
      <c r="H252" s="84"/>
    </row>
    <row r="253" spans="1:27" s="9" customFormat="1" ht="14.25">
      <c r="A253" s="86" t="s">
        <v>40</v>
      </c>
      <c r="B253" s="92" t="s">
        <v>712</v>
      </c>
      <c r="C253" s="92"/>
      <c r="D253" s="92"/>
      <c r="E253" s="83">
        <v>7.0000000000000007E-2</v>
      </c>
      <c r="F253" s="83">
        <f t="shared" ref="F253:F259" si="31">E253*(100%+$F$228)</f>
        <v>7.0000000000000007E-2</v>
      </c>
      <c r="G253" s="608">
        <f t="shared" ref="G253:G259" si="32">ROUND(F253*$F$225,1)</f>
        <v>0</v>
      </c>
      <c r="H253" s="84">
        <f>+G253*'ARHIGRAM 6'!$I$16</f>
        <v>0</v>
      </c>
    </row>
    <row r="254" spans="1:27" s="755" customFormat="1" ht="14.25">
      <c r="A254" s="750"/>
      <c r="B254" s="751" t="s">
        <v>400</v>
      </c>
      <c r="C254" s="751"/>
      <c r="D254" s="751"/>
      <c r="E254" s="749">
        <v>0.23</v>
      </c>
      <c r="F254" s="756">
        <f t="shared" si="31"/>
        <v>0.23</v>
      </c>
      <c r="G254" s="801">
        <f t="shared" si="32"/>
        <v>0</v>
      </c>
      <c r="H254" s="758">
        <f t="shared" ref="H254" si="33">+G254*$F$122</f>
        <v>0</v>
      </c>
      <c r="K254" s="9"/>
      <c r="L254" s="9"/>
      <c r="M254" s="9"/>
      <c r="N254" s="9"/>
      <c r="O254" s="9"/>
      <c r="P254" s="9"/>
      <c r="Q254" s="9"/>
      <c r="R254" s="9"/>
      <c r="S254" s="9"/>
      <c r="T254" s="9"/>
      <c r="U254" s="9"/>
      <c r="V254" s="9"/>
      <c r="W254" s="9"/>
      <c r="X254" s="9"/>
      <c r="Y254" s="9"/>
      <c r="Z254" s="9"/>
      <c r="AA254" s="9"/>
    </row>
    <row r="255" spans="1:27" s="9" customFormat="1" ht="14.25">
      <c r="A255" s="86" t="s">
        <v>41</v>
      </c>
      <c r="B255" s="92" t="s">
        <v>796</v>
      </c>
      <c r="C255" s="92"/>
      <c r="D255" s="92"/>
      <c r="E255" s="83">
        <v>6.0000000000000001E-3</v>
      </c>
      <c r="F255" s="83">
        <f t="shared" si="31"/>
        <v>6.0000000000000001E-3</v>
      </c>
      <c r="G255" s="608">
        <f t="shared" si="32"/>
        <v>0</v>
      </c>
      <c r="H255" s="84">
        <f>+G255*'ARHIGRAM 6'!$I$16</f>
        <v>0</v>
      </c>
    </row>
    <row r="256" spans="1:27" s="755" customFormat="1" ht="14.25">
      <c r="A256" s="750"/>
      <c r="B256" s="751" t="s">
        <v>400</v>
      </c>
      <c r="C256" s="751"/>
      <c r="D256" s="751"/>
      <c r="E256" s="749">
        <v>4.0000000000000001E-3</v>
      </c>
      <c r="F256" s="756">
        <f t="shared" si="31"/>
        <v>4.0000000000000001E-3</v>
      </c>
      <c r="G256" s="801">
        <f t="shared" si="32"/>
        <v>0</v>
      </c>
      <c r="H256" s="758">
        <f t="shared" ref="H256" si="34">+G256*$F$122</f>
        <v>0</v>
      </c>
      <c r="K256" s="9"/>
      <c r="L256" s="9"/>
      <c r="M256" s="9"/>
      <c r="N256" s="9"/>
      <c r="O256" s="9"/>
      <c r="P256" s="9"/>
      <c r="Q256" s="9"/>
      <c r="R256" s="9"/>
      <c r="S256" s="9"/>
      <c r="T256" s="9"/>
      <c r="U256" s="9"/>
      <c r="V256" s="9"/>
      <c r="W256" s="9"/>
      <c r="X256" s="9"/>
      <c r="Y256" s="9"/>
      <c r="Z256" s="9"/>
      <c r="AA256" s="9"/>
    </row>
    <row r="257" spans="1:27" s="9" customFormat="1" ht="14.25">
      <c r="A257" s="86" t="s">
        <v>42</v>
      </c>
      <c r="B257" s="92" t="s">
        <v>713</v>
      </c>
      <c r="C257" s="92"/>
      <c r="D257" s="92"/>
      <c r="E257" s="83">
        <v>1.2E-2</v>
      </c>
      <c r="F257" s="83">
        <f t="shared" si="31"/>
        <v>1.2E-2</v>
      </c>
      <c r="G257" s="608">
        <f t="shared" si="32"/>
        <v>0</v>
      </c>
      <c r="H257" s="84">
        <f>+G257*'ARHIGRAM 6'!$I$16</f>
        <v>0</v>
      </c>
    </row>
    <row r="258" spans="1:27" s="755" customFormat="1" ht="14.25">
      <c r="A258" s="750"/>
      <c r="B258" s="751" t="s">
        <v>400</v>
      </c>
      <c r="C258" s="751"/>
      <c r="D258" s="751"/>
      <c r="E258" s="749">
        <v>8.0000000000000002E-3</v>
      </c>
      <c r="F258" s="756">
        <f t="shared" si="31"/>
        <v>8.0000000000000002E-3</v>
      </c>
      <c r="G258" s="801">
        <f t="shared" si="32"/>
        <v>0</v>
      </c>
      <c r="H258" s="758">
        <f t="shared" ref="H258" si="35">+G258*$F$122</f>
        <v>0</v>
      </c>
      <c r="K258" s="9"/>
      <c r="L258" s="9"/>
      <c r="M258" s="9"/>
      <c r="N258" s="9"/>
      <c r="O258" s="9"/>
      <c r="P258" s="9"/>
      <c r="Q258" s="9"/>
      <c r="R258" s="9"/>
      <c r="S258" s="9"/>
      <c r="T258" s="9"/>
      <c r="U258" s="9"/>
      <c r="V258" s="9"/>
      <c r="W258" s="9"/>
      <c r="X258" s="9"/>
      <c r="Y258" s="9"/>
      <c r="Z258" s="9"/>
      <c r="AA258" s="9"/>
    </row>
    <row r="259" spans="1:27" s="9" customFormat="1" ht="14.25">
      <c r="A259" s="114" t="s">
        <v>43</v>
      </c>
      <c r="B259" s="87" t="s">
        <v>698</v>
      </c>
      <c r="C259" s="87"/>
      <c r="D259" s="87"/>
      <c r="E259" s="109">
        <v>0.02</v>
      </c>
      <c r="F259" s="109">
        <f t="shared" si="31"/>
        <v>0.02</v>
      </c>
      <c r="G259" s="609">
        <f t="shared" si="32"/>
        <v>0</v>
      </c>
      <c r="H259" s="88">
        <f>+G259*'ARHIGRAM 6'!$I$16</f>
        <v>0</v>
      </c>
    </row>
    <row r="260" spans="1:27" s="9" customFormat="1" ht="14.25">
      <c r="A260" s="118">
        <v>5</v>
      </c>
      <c r="B260" s="99" t="s">
        <v>44</v>
      </c>
      <c r="C260" s="99"/>
      <c r="D260" s="99"/>
      <c r="E260" s="100">
        <f>SUM(E261:E262)</f>
        <v>0.01</v>
      </c>
      <c r="F260" s="100">
        <f>SUM(F261:F262)</f>
        <v>0.01</v>
      </c>
      <c r="G260" s="607">
        <f>SUM(G261:G262)</f>
        <v>0</v>
      </c>
      <c r="H260" s="101">
        <f>SUM(H261:H262)</f>
        <v>0</v>
      </c>
      <c r="I260" s="122">
        <f>IFERROR(H260/'OSNOVNI PODATKI'!$E$311,0)</f>
        <v>0</v>
      </c>
      <c r="J260" s="122">
        <f>IFERROR(H260/'OSNOVNI PODATKI'!$E$315,0)</f>
        <v>0</v>
      </c>
    </row>
    <row r="261" spans="1:27" s="9" customFormat="1" ht="14.25">
      <c r="A261" s="86" t="s">
        <v>45</v>
      </c>
      <c r="B261" s="95" t="s">
        <v>183</v>
      </c>
      <c r="C261" s="95"/>
      <c r="D261" s="95"/>
      <c r="E261" s="83">
        <v>5.0000000000000001E-3</v>
      </c>
      <c r="F261" s="83">
        <f t="shared" ref="F261:F262" si="36">E261*(100%+$F$228)</f>
        <v>5.0000000000000001E-3</v>
      </c>
      <c r="G261" s="608">
        <f t="shared" ref="G261:G262" si="37">ROUND(F261*$F$225,1)</f>
        <v>0</v>
      </c>
      <c r="H261" s="84">
        <f>+G261*'ARHIGRAM 6'!$I$16</f>
        <v>0</v>
      </c>
    </row>
    <row r="262" spans="1:27" s="9" customFormat="1" ht="14.25">
      <c r="A262" s="114" t="s">
        <v>46</v>
      </c>
      <c r="B262" s="120" t="s">
        <v>184</v>
      </c>
      <c r="C262" s="120"/>
      <c r="D262" s="120"/>
      <c r="E262" s="109">
        <v>5.0000000000000001E-3</v>
      </c>
      <c r="F262" s="109">
        <f t="shared" si="36"/>
        <v>5.0000000000000001E-3</v>
      </c>
      <c r="G262" s="609">
        <f t="shared" si="37"/>
        <v>0</v>
      </c>
      <c r="H262" s="88">
        <f>+G262*'ARHIGRAM 6'!$I$16</f>
        <v>0</v>
      </c>
    </row>
    <row r="263" spans="1:27" s="9" customFormat="1" ht="14.25">
      <c r="A263" s="119">
        <v>6</v>
      </c>
      <c r="B263" s="99" t="s">
        <v>47</v>
      </c>
      <c r="C263" s="99"/>
      <c r="D263" s="99"/>
      <c r="E263" s="100"/>
      <c r="F263" s="100"/>
      <c r="G263" s="601"/>
      <c r="H263" s="101"/>
    </row>
    <row r="264" spans="1:27" s="9" customFormat="1" ht="14.25">
      <c r="A264" s="86" t="s">
        <v>51</v>
      </c>
      <c r="B264" s="95" t="s">
        <v>185</v>
      </c>
      <c r="C264" s="95"/>
      <c r="D264" s="95"/>
      <c r="E264" s="83"/>
      <c r="F264" s="83"/>
      <c r="G264" s="602"/>
      <c r="H264" s="84"/>
    </row>
    <row r="265" spans="1:27" s="9" customFormat="1" ht="14.25">
      <c r="A265" s="86" t="s">
        <v>52</v>
      </c>
      <c r="B265" s="95" t="s">
        <v>186</v>
      </c>
      <c r="C265" s="95"/>
      <c r="D265" s="95"/>
      <c r="E265" s="83"/>
      <c r="F265" s="83"/>
      <c r="G265" s="602"/>
      <c r="H265" s="84"/>
    </row>
    <row r="266" spans="1:27" s="9" customFormat="1" ht="14.25">
      <c r="A266" s="114" t="s">
        <v>53</v>
      </c>
      <c r="B266" s="120" t="s">
        <v>187</v>
      </c>
      <c r="C266" s="120"/>
      <c r="D266" s="120"/>
      <c r="E266" s="109"/>
      <c r="F266" s="109"/>
      <c r="G266" s="603"/>
      <c r="H266" s="88"/>
    </row>
    <row r="267" spans="1:27" s="9" customFormat="1" ht="14.25">
      <c r="A267" s="282"/>
      <c r="B267" s="283"/>
      <c r="C267" s="283"/>
      <c r="D267" s="283"/>
      <c r="E267" s="284"/>
      <c r="F267" s="91"/>
      <c r="G267" s="606"/>
      <c r="H267" s="285"/>
    </row>
    <row r="268" spans="1:27" s="9" customFormat="1" ht="14.25">
      <c r="A268" s="123"/>
      <c r="B268" s="124" t="s">
        <v>1</v>
      </c>
      <c r="C268" s="124"/>
      <c r="D268" s="124"/>
      <c r="E268" s="125">
        <f>E234+E237+E241+E248+E251+E260+E263</f>
        <v>1</v>
      </c>
      <c r="F268" s="125">
        <f>F234+F237+F241+F248+F251+F260+F263</f>
        <v>1</v>
      </c>
      <c r="G268" s="605">
        <f>G234+G237+G241+G248+G251+G260+G263</f>
        <v>0</v>
      </c>
      <c r="H268" s="598">
        <f>H234+H237+H241+H248+H251+H260+H263</f>
        <v>0</v>
      </c>
      <c r="I268" s="122">
        <f>IFERROR(H268/'OSNOVNI PODATKI'!$E$311,0)</f>
        <v>0</v>
      </c>
      <c r="J268" s="122">
        <f>IFERROR(H268/'OSNOVNI PODATKI'!$E$315,0)</f>
        <v>0</v>
      </c>
    </row>
    <row r="269" spans="1:27" s="9" customFormat="1" ht="14.25">
      <c r="A269" s="25"/>
      <c r="B269" s="121"/>
      <c r="E269" s="26"/>
      <c r="G269" s="26"/>
      <c r="H269" s="122"/>
    </row>
    <row r="270" spans="1:27" s="9" customFormat="1" ht="14.25">
      <c r="A270" s="25"/>
      <c r="B270" s="121"/>
      <c r="E270" s="26"/>
      <c r="G270" s="26"/>
      <c r="H270" s="122"/>
    </row>
    <row r="271" spans="1:27" s="9" customFormat="1" ht="14.25"/>
    <row r="272" spans="1:27" s="9" customFormat="1" ht="14.25"/>
  </sheetData>
  <sheetProtection algorithmName="SHA-512" hashValue="Q4PEXqm7uAY5Olr5Fjlo2UgH7PClh5iyxWWdGRYtU90lBKc2yrRA0i4EvsapOy5OMOfSkG9CoM2p0V3G5Qm+Tw==" saltValue="dQOGDwX6klmRW6/wUjSfjw==" spinCount="100000" sheet="1" objects="1" scenarios="1"/>
  <mergeCells count="1">
    <mergeCell ref="B229:E22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1B56-B98F-4C60-8049-6097967B2B49}">
  <sheetPr codeName="Sheet15"/>
  <dimension ref="A1:Q198"/>
  <sheetViews>
    <sheetView workbookViewId="0">
      <selection activeCell="F48" sqref="F48"/>
    </sheetView>
    <sheetView workbookViewId="1"/>
  </sheetViews>
  <sheetFormatPr defaultColWidth="9.140625" defaultRowHeight="12.75"/>
  <cols>
    <col min="1" max="1" width="8.140625" style="71" customWidth="1"/>
    <col min="2" max="2" width="28.7109375" style="71" customWidth="1"/>
    <col min="3" max="8" width="13.5703125" style="71" customWidth="1"/>
    <col min="9" max="9" width="14.28515625" style="71" customWidth="1"/>
    <col min="10" max="12" width="13.5703125" style="71" customWidth="1"/>
    <col min="13" max="16384" width="9.140625" style="71"/>
  </cols>
  <sheetData>
    <row r="1" spans="1:17" ht="26.25">
      <c r="B1" s="711" t="s">
        <v>955</v>
      </c>
      <c r="C1" s="4"/>
      <c r="D1" s="4"/>
      <c r="E1" s="4"/>
      <c r="F1" s="4"/>
      <c r="G1" s="4"/>
      <c r="H1" s="4"/>
      <c r="I1"/>
      <c r="J1"/>
      <c r="K1"/>
      <c r="L1"/>
      <c r="Q1" s="5"/>
    </row>
    <row r="2" spans="1:17" ht="15" thickBot="1">
      <c r="B2" s="7"/>
    </row>
    <row r="3" spans="1:17" s="73" customFormat="1" ht="18.75">
      <c r="A3" s="786" t="s">
        <v>761</v>
      </c>
      <c r="B3" s="786"/>
      <c r="C3" s="786"/>
      <c r="D3" s="786"/>
      <c r="E3" s="786"/>
      <c r="F3" s="786"/>
      <c r="G3" s="786"/>
      <c r="H3" s="786"/>
      <c r="I3" s="786"/>
      <c r="K3" s="201"/>
    </row>
    <row r="4" spans="1:17" s="73" customFormat="1" ht="18.75">
      <c r="A4" s="834"/>
      <c r="B4" s="834"/>
      <c r="C4" s="834"/>
      <c r="D4" s="834"/>
      <c r="E4" s="834"/>
      <c r="F4" s="834"/>
      <c r="G4" s="834"/>
      <c r="H4" s="834"/>
      <c r="I4" s="834"/>
      <c r="K4" s="201"/>
    </row>
    <row r="5" spans="1:17" s="73" customFormat="1">
      <c r="A5" s="76"/>
      <c r="B5" s="530" t="s">
        <v>786</v>
      </c>
      <c r="C5" s="631">
        <f>'OSNOVNI PODATKI'!H11</f>
        <v>2</v>
      </c>
      <c r="D5" s="530" t="str">
        <f>IF(C5=1,'OSNOVNI PODATKI'!B11,'OSNOVNI PODATKI'!B12)</f>
        <v>ENA STAVBA ALI VEČ RAZLIČNIH STAVB (PRI IZRAČUNU POTREBNIH NU SE VSAKA STAVBA IZRAČUNAVA LOČENO)</v>
      </c>
      <c r="E5" s="489"/>
      <c r="F5" s="489"/>
      <c r="G5" s="202"/>
      <c r="H5" s="202"/>
      <c r="I5" s="202"/>
    </row>
    <row r="6" spans="1:17" s="73" customFormat="1">
      <c r="A6" s="76"/>
      <c r="B6" s="530" t="s">
        <v>787</v>
      </c>
      <c r="C6" s="612">
        <f>'OSNOVNI PODATKI'!E308</f>
        <v>0</v>
      </c>
      <c r="D6" s="530"/>
      <c r="E6" s="489"/>
      <c r="F6" s="489"/>
      <c r="G6" s="202"/>
      <c r="H6" s="202"/>
      <c r="I6" s="202"/>
    </row>
    <row r="7" spans="1:17" s="73" customFormat="1">
      <c r="A7" s="76"/>
      <c r="B7" s="634"/>
      <c r="D7" s="203"/>
      <c r="E7" s="203"/>
    </row>
    <row r="8" spans="1:17" s="73" customFormat="1">
      <c r="A8" s="76"/>
      <c r="B8" s="203" t="str">
        <f>'OSNOVNI PODATKI'!A15</f>
        <v>STAVBA 1 / DEL 1</v>
      </c>
      <c r="C8" s="533">
        <f>'OSNOVNI PODATKI'!E15</f>
        <v>0</v>
      </c>
      <c r="D8" s="203"/>
      <c r="E8" s="203"/>
    </row>
    <row r="9" spans="1:17" s="73" customFormat="1">
      <c r="A9" s="76"/>
      <c r="B9" s="198" t="s">
        <v>617</v>
      </c>
      <c r="C9" s="81" t="str">
        <f>'OSNOVNI PODATKI'!E16</f>
        <v>5. Nepodkletene eno in dvostanovanjske stavbe, nižji standard</v>
      </c>
      <c r="D9" s="489"/>
      <c r="E9" s="489"/>
    </row>
    <row r="10" spans="1:17" s="73" customFormat="1">
      <c r="A10" s="76"/>
      <c r="B10" s="198" t="s">
        <v>788</v>
      </c>
      <c r="C10" s="81">
        <f>'OSNOVNI PODATKI'!E17</f>
        <v>0</v>
      </c>
      <c r="D10" s="489"/>
      <c r="E10" s="489"/>
    </row>
    <row r="11" spans="1:17" s="73" customFormat="1">
      <c r="A11" s="76"/>
      <c r="B11" s="198" t="s">
        <v>789</v>
      </c>
      <c r="C11" s="81">
        <f>IF($C$5=1,$C$6,C10)</f>
        <v>0</v>
      </c>
      <c r="D11" s="489"/>
      <c r="E11" s="489"/>
    </row>
    <row r="12" spans="1:17" s="73" customFormat="1">
      <c r="A12" s="76"/>
      <c r="B12" s="530" t="s">
        <v>729</v>
      </c>
      <c r="C12" s="529">
        <f>'OSNOVNI PODATKI'!E27</f>
        <v>-105.40000000000009</v>
      </c>
      <c r="D12" s="489"/>
      <c r="E12" s="489"/>
    </row>
    <row r="13" spans="1:17" s="73" customFormat="1">
      <c r="A13" s="76"/>
      <c r="B13" s="530" t="s">
        <v>880</v>
      </c>
      <c r="C13" s="81">
        <f>IFERROR(C11*(1000+C12),0)</f>
        <v>0</v>
      </c>
      <c r="D13" s="489"/>
      <c r="E13" s="489"/>
    </row>
    <row r="14" spans="1:17" s="73" customFormat="1">
      <c r="A14" s="76"/>
      <c r="B14" s="198" t="s">
        <v>100</v>
      </c>
      <c r="C14" s="81" t="str">
        <f>'OSNOVNI PODATKI'!E23</f>
        <v>Cenovni razred II</v>
      </c>
      <c r="D14" s="489"/>
      <c r="E14" s="489"/>
    </row>
    <row r="15" spans="1:17" s="73" customFormat="1">
      <c r="A15" s="76"/>
      <c r="B15" s="522" t="s">
        <v>70</v>
      </c>
      <c r="C15" s="523">
        <f>IFERROR(IF(C13&lt;=5000000,
0.7227*(0.58*LN(C13)^4-27.69*LN(C13)^3+499.16*LN(C13)^2-4018.63*LN(C13)+12193.12),
0.7227*(0.1684*(C13/1000000)^2+7.3421*(C13/1000000)+151.7224))/C11,0)</f>
        <v>0</v>
      </c>
      <c r="D15" s="524" t="s">
        <v>722</v>
      </c>
      <c r="E15" s="203"/>
    </row>
    <row r="16" spans="1:17" s="73" customFormat="1">
      <c r="A16" s="76"/>
      <c r="B16" s="525" t="s">
        <v>71</v>
      </c>
      <c r="C16" s="526">
        <f>IFERROR(IF(C13&lt;=5000000,
0.8559*(0.58*LN(C13)^4-27.69*LN(C13)^3+499.16*LN(C13)^2-4018.63*LN(C13)+12193.12),
0.8559*(0.1684*(C13/1000000)^2+7.3421*(C13/1000000)+151.7224))/C11,0)</f>
        <v>0</v>
      </c>
      <c r="D16" s="488" t="s">
        <v>722</v>
      </c>
      <c r="E16" s="203"/>
    </row>
    <row r="17" spans="1:5" s="73" customFormat="1">
      <c r="A17" s="76"/>
      <c r="B17" s="525" t="s">
        <v>72</v>
      </c>
      <c r="C17" s="526">
        <f>IFERROR(IF(C13&lt;=5000000,
0.58*LN(C13)^4-27.69*LN(C13)^3+499.16*LN(C13)^2-4018.63*LN(C13)+12193.12,
0.1684*(C13/1000000)^2+7.3421*(C13/1000000)+151.7224)/C11,0)</f>
        <v>0</v>
      </c>
      <c r="D17" s="488" t="s">
        <v>722</v>
      </c>
      <c r="E17" s="203"/>
    </row>
    <row r="18" spans="1:5" s="73" customFormat="1">
      <c r="A18" s="76"/>
      <c r="B18" s="525" t="s">
        <v>73</v>
      </c>
      <c r="C18" s="526">
        <f>IFERROR(IF(C13&lt;=5000000,
1.1528*(0.58*LN(C13)^4-27.69*LN(C13)^3+499.16*LN(C13)^2-4018.63*LN(C13)+12193.12),
1.1528*(0.1684*(C13/1000000)^2+7.3421*(C13/1000000)+151.7224))/C11,0)</f>
        <v>0</v>
      </c>
      <c r="D18" s="488" t="s">
        <v>722</v>
      </c>
      <c r="E18" s="203"/>
    </row>
    <row r="19" spans="1:5" s="73" customFormat="1" ht="15">
      <c r="A19" s="76"/>
      <c r="B19" s="525" t="s">
        <v>74</v>
      </c>
      <c r="C19" s="526">
        <f>IFERROR(IF(C13&lt;=5000000,
1.3561*(0.58*LN(C13)^4-27.69*LN(C13)^3+499.16*LN(C13)^2-4018.63*LN(C13)+12193.12),
1.3561*(0.1684*(C13/1000000)^2+7.3421*(C13/1000000)+151.7224))/C11,0)</f>
        <v>0</v>
      </c>
      <c r="D19" s="488" t="s">
        <v>1077</v>
      </c>
      <c r="E19" s="488" t="s">
        <v>1078</v>
      </c>
    </row>
    <row r="20" spans="1:5" s="73" customFormat="1">
      <c r="A20" s="76"/>
      <c r="B20" s="525"/>
      <c r="C20" s="526"/>
      <c r="D20" s="488"/>
      <c r="E20" s="203"/>
    </row>
    <row r="21" spans="1:5" s="73" customFormat="1">
      <c r="A21" s="76"/>
      <c r="B21" s="525" t="str">
        <f>'OSNOVNI PODATKI'!B59</f>
        <v>GRADBENO OBRTNIŠKA DELA (GO)</v>
      </c>
      <c r="C21" s="625">
        <f>'OSNOVNI PODATKI'!D33</f>
        <v>0.81699999999999995</v>
      </c>
      <c r="D21" s="623"/>
      <c r="E21" s="628">
        <f>C21*$C$11*(1000+$C$12)</f>
        <v>0</v>
      </c>
    </row>
    <row r="22" spans="1:5" s="73" customFormat="1">
      <c r="A22" s="76"/>
      <c r="B22" s="525" t="str">
        <f>'OSNOVNI PODATKI'!B60</f>
        <v>ELEKTRIČNE INŠTALACIJE (EI)</v>
      </c>
      <c r="C22" s="625">
        <f>'OSNOVNI PODATKI'!D34</f>
        <v>3.4554399999999999E-2</v>
      </c>
      <c r="D22" s="623"/>
      <c r="E22" s="628">
        <f t="shared" ref="E22:E24" si="0">C22*$C$11*(1000+$C$12)</f>
        <v>0</v>
      </c>
    </row>
    <row r="23" spans="1:5" s="73" customFormat="1">
      <c r="A23" s="76"/>
      <c r="B23" s="525" t="str">
        <f>'OSNOVNI PODATKI'!B61</f>
        <v>STROJNE INŠTALACIJE (SI)</v>
      </c>
      <c r="C23" s="625">
        <f>'OSNOVNI PODATKI'!D35</f>
        <v>0.14823000000000003</v>
      </c>
      <c r="D23" s="623"/>
      <c r="E23" s="628">
        <f t="shared" si="0"/>
        <v>0</v>
      </c>
    </row>
    <row r="24" spans="1:5" s="73" customFormat="1">
      <c r="A24" s="76"/>
      <c r="B24" s="525" t="str">
        <f>'OSNOVNI PODATKI'!B62</f>
        <v>TEHNOLOGIJA (TH)</v>
      </c>
      <c r="C24" s="625">
        <f>'OSNOVNI PODATKI'!D36</f>
        <v>0</v>
      </c>
      <c r="D24" s="623"/>
      <c r="E24" s="628">
        <f t="shared" si="0"/>
        <v>0</v>
      </c>
    </row>
    <row r="25" spans="1:5" s="73" customFormat="1">
      <c r="A25" s="76"/>
      <c r="C25" s="629"/>
      <c r="D25" s="489"/>
      <c r="E25" s="630"/>
    </row>
    <row r="26" spans="1:5" s="73" customFormat="1" ht="14.25">
      <c r="B26" s="81" t="s">
        <v>730</v>
      </c>
      <c r="C26" s="507">
        <f>IFERROR(LOOKUP(C14,B15:C18),0)</f>
        <v>0</v>
      </c>
      <c r="D26" s="378" t="s">
        <v>721</v>
      </c>
      <c r="E26" s="489"/>
    </row>
    <row r="27" spans="1:5" s="73" customFormat="1" ht="14.25">
      <c r="B27" s="81" t="s">
        <v>731</v>
      </c>
      <c r="C27" s="507" cm="1">
        <f t="array" ref="C27">IFERROR(INDEX(C15:C18,MATCH(C14,B15:B18)+1),0)</f>
        <v>0</v>
      </c>
      <c r="D27" s="378" t="s">
        <v>721</v>
      </c>
      <c r="E27" s="489"/>
    </row>
    <row r="28" spans="1:5" s="73" customFormat="1">
      <c r="B28" s="81" t="s">
        <v>618</v>
      </c>
      <c r="C28" s="531">
        <f>IFERROR(C26*$C10,0)</f>
        <v>0</v>
      </c>
      <c r="D28" s="378" t="s">
        <v>723</v>
      </c>
      <c r="E28" s="489"/>
    </row>
    <row r="29" spans="1:5" s="73" customFormat="1">
      <c r="B29" s="81" t="s">
        <v>619</v>
      </c>
      <c r="C29" s="531">
        <f>IFERROR(C27*$C10,0)</f>
        <v>0</v>
      </c>
      <c r="D29" s="378" t="s">
        <v>723</v>
      </c>
      <c r="E29" s="489"/>
    </row>
    <row r="30" spans="1:5" s="73" customFormat="1">
      <c r="A30" s="76"/>
      <c r="C30" s="291"/>
      <c r="D30" s="203"/>
      <c r="E30" s="203"/>
    </row>
    <row r="31" spans="1:5" s="73" customFormat="1">
      <c r="A31" s="76"/>
      <c r="B31" s="203" t="str">
        <f>'OSNOVNI PODATKI'!A41</f>
        <v>STAVBA 2 / DEL 2</v>
      </c>
      <c r="C31" s="533">
        <f>'OSNOVNI PODATKI'!E41</f>
        <v>0</v>
      </c>
      <c r="D31" s="203"/>
      <c r="E31" s="203"/>
    </row>
    <row r="32" spans="1:5" s="73" customFormat="1">
      <c r="A32" s="76"/>
      <c r="B32" s="198" t="s">
        <v>617</v>
      </c>
      <c r="C32" s="81" t="str">
        <f>'OSNOVNI PODATKI'!E42</f>
        <v>6. Nepodkletene eno in dvostanovanjske stavbe, srednji standard</v>
      </c>
      <c r="D32" s="489"/>
      <c r="E32" s="489"/>
    </row>
    <row r="33" spans="1:5" s="73" customFormat="1">
      <c r="A33" s="76"/>
      <c r="B33" s="198" t="s">
        <v>788</v>
      </c>
      <c r="C33" s="81">
        <f>'OSNOVNI PODATKI'!E43</f>
        <v>0</v>
      </c>
      <c r="D33" s="489"/>
      <c r="E33" s="489"/>
    </row>
    <row r="34" spans="1:5" s="73" customFormat="1">
      <c r="A34" s="76"/>
      <c r="B34" s="198" t="s">
        <v>789</v>
      </c>
      <c r="C34" s="81">
        <f>IF($C$5=1,$C$6,C33)</f>
        <v>0</v>
      </c>
      <c r="D34" s="489"/>
      <c r="E34" s="489"/>
    </row>
    <row r="35" spans="1:5" s="73" customFormat="1">
      <c r="A35" s="76"/>
      <c r="B35" s="530" t="s">
        <v>729</v>
      </c>
      <c r="C35" s="529">
        <f>'OSNOVNI PODATKI'!E53</f>
        <v>230.59999999999991</v>
      </c>
      <c r="D35" s="489"/>
      <c r="E35" s="489"/>
    </row>
    <row r="36" spans="1:5" s="73" customFormat="1">
      <c r="A36" s="76"/>
      <c r="B36" s="530" t="s">
        <v>880</v>
      </c>
      <c r="C36" s="81">
        <f>IFERROR(C34*(1000+C35),0)</f>
        <v>0</v>
      </c>
      <c r="D36" s="489"/>
      <c r="E36" s="489"/>
    </row>
    <row r="37" spans="1:5" s="73" customFormat="1">
      <c r="A37" s="76"/>
      <c r="B37" s="198" t="s">
        <v>100</v>
      </c>
      <c r="C37" s="81" t="str">
        <f>'OSNOVNI PODATKI'!E49</f>
        <v>Cenovni razred II</v>
      </c>
      <c r="D37" s="489"/>
      <c r="E37" s="489"/>
    </row>
    <row r="38" spans="1:5" s="73" customFormat="1">
      <c r="A38" s="76"/>
      <c r="B38" s="522" t="s">
        <v>70</v>
      </c>
      <c r="C38" s="523">
        <f>IFERROR(IF(C36&lt;=5000000,
0.7227*(0.58*LN(C36)^4-27.69*LN(C36)^3+499.16*LN(C36)^2-4018.63*LN(C36)+12193.12),
0.7227*(0.1684*(C36/1000000)^2+7.3421*(C36/1000000)+151.7224))/C34,0)</f>
        <v>0</v>
      </c>
      <c r="D38" s="524" t="s">
        <v>722</v>
      </c>
      <c r="E38" s="203"/>
    </row>
    <row r="39" spans="1:5" s="73" customFormat="1">
      <c r="A39" s="76"/>
      <c r="B39" s="525" t="s">
        <v>71</v>
      </c>
      <c r="C39" s="526">
        <f>IFERROR(IF(C36&lt;=5000000,
0.8559*(0.58*LN(C36)^4-27.69*LN(C36)^3+499.16*LN(C36)^2-4018.63*LN(C36)+12193.12),
0.8559*(0.1684*(C36/1000000)^2+7.3421*(C36/1000000)+151.7224))/C34,0)</f>
        <v>0</v>
      </c>
      <c r="D39" s="488" t="s">
        <v>722</v>
      </c>
      <c r="E39" s="203"/>
    </row>
    <row r="40" spans="1:5" s="73" customFormat="1">
      <c r="A40" s="76"/>
      <c r="B40" s="525" t="s">
        <v>72</v>
      </c>
      <c r="C40" s="526">
        <f>IFERROR(IF(C36&lt;=5000000,
0.58*LN(C36)^4-27.69*LN(C36)^3+499.16*LN(C36)^2-4018.63*LN(C36)+12193.12,
0.1684*(C36/1000000)^2+7.3421*(C36/1000000)+151.7224)/C34,0)</f>
        <v>0</v>
      </c>
      <c r="D40" s="488" t="s">
        <v>722</v>
      </c>
      <c r="E40" s="203"/>
    </row>
    <row r="41" spans="1:5" s="73" customFormat="1">
      <c r="A41" s="76"/>
      <c r="B41" s="525" t="s">
        <v>73</v>
      </c>
      <c r="C41" s="526">
        <f>IFERROR(IF(C36&lt;=5000000,
1.1528*(0.58*LN(C36)^4-27.69*LN(C36)^3+499.16*LN(C36)^2-4018.63*LN(C36)+12193.12),
1.1528*(0.1684*(C36/1000000)^2+7.3421*(C36/1000000)+151.7224))/C34,0)</f>
        <v>0</v>
      </c>
      <c r="D41" s="488" t="s">
        <v>722</v>
      </c>
      <c r="E41" s="203"/>
    </row>
    <row r="42" spans="1:5" s="73" customFormat="1" ht="15">
      <c r="A42" s="76"/>
      <c r="B42" s="525" t="s">
        <v>74</v>
      </c>
      <c r="C42" s="526">
        <f>IFERROR(IF(C36&lt;=5000000,
1.3561*(0.58*LN(C36)^4-27.69*LN(C36)^3+499.16*LN(C36)^2-4018.63*LN(C36)+12193.12),
1.3561*(0.1684*(C36/1000000)^2+7.3421*(C36/1000000)+151.7224))/C34,0)</f>
        <v>0</v>
      </c>
      <c r="D42" s="488" t="s">
        <v>1077</v>
      </c>
      <c r="E42" s="488" t="s">
        <v>1078</v>
      </c>
    </row>
    <row r="43" spans="1:5" s="73" customFormat="1">
      <c r="A43" s="76"/>
      <c r="B43" s="525"/>
      <c r="C43" s="526"/>
      <c r="D43" s="488"/>
      <c r="E43" s="203"/>
    </row>
    <row r="44" spans="1:5" s="73" customFormat="1">
      <c r="A44" s="76"/>
      <c r="B44" s="525" t="str">
        <f>'OSNOVNI PODATKI'!B59</f>
        <v>GRADBENO OBRTNIŠKA DELA (GO)</v>
      </c>
      <c r="C44" s="625">
        <f>'OSNOVNI PODATKI'!D59</f>
        <v>0.80800000000000005</v>
      </c>
      <c r="D44" s="623"/>
      <c r="E44" s="628">
        <f>C44*$C$34*(1000+$C$35)</f>
        <v>0</v>
      </c>
    </row>
    <row r="45" spans="1:5" s="73" customFormat="1">
      <c r="A45" s="76"/>
      <c r="B45" s="525" t="str">
        <f>'OSNOVNI PODATKI'!B60</f>
        <v>ELEKTRIČNE INŠTALACIJE (EI)</v>
      </c>
      <c r="C45" s="625">
        <f>'OSNOVNI PODATKI'!D60</f>
        <v>4.4544000000000007E-2</v>
      </c>
      <c r="D45" s="623"/>
      <c r="E45" s="628">
        <f t="shared" ref="E45:E47" si="1">C45*$C$11*(1000+$C$12)</f>
        <v>0</v>
      </c>
    </row>
    <row r="46" spans="1:5" s="73" customFormat="1">
      <c r="A46" s="76"/>
      <c r="B46" s="525" t="str">
        <f>'OSNOVNI PODATKI'!B61</f>
        <v>STROJNE INŠTALACIJE (SI)</v>
      </c>
      <c r="C46" s="625">
        <f>'OSNOVNI PODATKI'!D61</f>
        <v>0.14764799999999997</v>
      </c>
      <c r="D46" s="623"/>
      <c r="E46" s="628">
        <f t="shared" si="1"/>
        <v>0</v>
      </c>
    </row>
    <row r="47" spans="1:5" s="73" customFormat="1">
      <c r="A47" s="76"/>
      <c r="B47" s="525" t="str">
        <f>'OSNOVNI PODATKI'!B62</f>
        <v>TEHNOLOGIJA (TH)</v>
      </c>
      <c r="C47" s="625">
        <f>'OSNOVNI PODATKI'!D62</f>
        <v>0</v>
      </c>
      <c r="D47" s="623"/>
      <c r="E47" s="628">
        <f t="shared" si="1"/>
        <v>0</v>
      </c>
    </row>
    <row r="48" spans="1:5" s="73" customFormat="1">
      <c r="A48" s="76"/>
      <c r="C48" s="81"/>
      <c r="D48" s="489"/>
      <c r="E48" s="489"/>
    </row>
    <row r="49" spans="1:5" s="73" customFormat="1" ht="14.25">
      <c r="B49" s="81" t="s">
        <v>730</v>
      </c>
      <c r="C49" s="507">
        <f>IFERROR(LOOKUP(C37,B38:C41),0)</f>
        <v>0</v>
      </c>
      <c r="D49" s="378" t="s">
        <v>721</v>
      </c>
      <c r="E49" s="489"/>
    </row>
    <row r="50" spans="1:5" s="73" customFormat="1" ht="14.25">
      <c r="B50" s="81" t="s">
        <v>731</v>
      </c>
      <c r="C50" s="507" cm="1">
        <f t="array" ref="C50">IFERROR(INDEX(C38:C41,MATCH(C37,B38:B41)+1),0)</f>
        <v>0</v>
      </c>
      <c r="D50" s="378" t="s">
        <v>721</v>
      </c>
      <c r="E50" s="489"/>
    </row>
    <row r="51" spans="1:5" s="73" customFormat="1">
      <c r="B51" s="81" t="s">
        <v>618</v>
      </c>
      <c r="C51" s="531">
        <f>IFERROR(C49*$C33,0)</f>
        <v>0</v>
      </c>
      <c r="D51" s="378" t="s">
        <v>723</v>
      </c>
      <c r="E51" s="489"/>
    </row>
    <row r="52" spans="1:5" s="73" customFormat="1">
      <c r="B52" s="81" t="s">
        <v>619</v>
      </c>
      <c r="C52" s="531">
        <f>IFERROR(C50*$C33,0)</f>
        <v>0</v>
      </c>
      <c r="D52" s="378" t="s">
        <v>723</v>
      </c>
      <c r="E52" s="489"/>
    </row>
    <row r="53" spans="1:5" s="73" customFormat="1">
      <c r="A53" s="76"/>
      <c r="C53" s="203"/>
      <c r="D53" s="203"/>
      <c r="E53" s="203"/>
    </row>
    <row r="54" spans="1:5" s="73" customFormat="1">
      <c r="A54" s="76"/>
      <c r="B54" s="203" t="str">
        <f>'OSNOVNI PODATKI'!A67</f>
        <v>STAVBA 3 / DEL 3</v>
      </c>
      <c r="C54" s="533">
        <f>'OSNOVNI PODATKI'!E67</f>
        <v>0</v>
      </c>
      <c r="D54" s="203"/>
      <c r="E54" s="203"/>
    </row>
    <row r="55" spans="1:5" s="73" customFormat="1">
      <c r="A55" s="76"/>
      <c r="B55" s="198" t="s">
        <v>617</v>
      </c>
      <c r="C55" s="81" t="str">
        <f>'OSNOVNI PODATKI'!E68</f>
        <v>47. Hoteli, moteli</v>
      </c>
      <c r="D55" s="489"/>
      <c r="E55" s="489"/>
    </row>
    <row r="56" spans="1:5" s="73" customFormat="1">
      <c r="A56" s="76"/>
      <c r="B56" s="198" t="s">
        <v>788</v>
      </c>
      <c r="C56" s="81">
        <f>'OSNOVNI PODATKI'!E69</f>
        <v>0</v>
      </c>
      <c r="D56" s="489"/>
      <c r="E56" s="489"/>
    </row>
    <row r="57" spans="1:5" s="73" customFormat="1">
      <c r="A57" s="76"/>
      <c r="B57" s="198" t="s">
        <v>789</v>
      </c>
      <c r="C57" s="81">
        <f>IF($C$5=1,$C$6,C56)</f>
        <v>0</v>
      </c>
      <c r="D57" s="489"/>
      <c r="E57" s="489"/>
    </row>
    <row r="58" spans="1:5" s="73" customFormat="1">
      <c r="A58" s="76"/>
      <c r="B58" s="530" t="s">
        <v>729</v>
      </c>
      <c r="C58" s="529">
        <f>'OSNOVNI PODATKI'!E79</f>
        <v>646.40000000000009</v>
      </c>
      <c r="D58" s="489"/>
      <c r="E58" s="489"/>
    </row>
    <row r="59" spans="1:5" s="73" customFormat="1">
      <c r="A59" s="76"/>
      <c r="B59" s="530" t="s">
        <v>880</v>
      </c>
      <c r="C59" s="81">
        <f>IFERROR(C57*(1000+C58),0)</f>
        <v>0</v>
      </c>
      <c r="D59" s="489"/>
      <c r="E59" s="489"/>
    </row>
    <row r="60" spans="1:5" s="73" customFormat="1">
      <c r="A60" s="76"/>
      <c r="B60" s="198" t="s">
        <v>100</v>
      </c>
      <c r="C60" s="81" t="str">
        <f>'OSNOVNI PODATKI'!E75</f>
        <v>Cenovni razred II</v>
      </c>
      <c r="D60" s="489"/>
      <c r="E60" s="489"/>
    </row>
    <row r="61" spans="1:5" s="73" customFormat="1">
      <c r="A61" s="76"/>
      <c r="B61" s="522" t="s">
        <v>70</v>
      </c>
      <c r="C61" s="523">
        <f>IFERROR(IF(C59&lt;=5000000,
0.7227*(0.58*LN(C59)^4-27.69*LN(C59)^3+499.16*LN(C59)^2-4018.63*LN(C59)+12193.12),
0.7227*(0.1684*(C59/1000000)^2+7.3421*(C59/1000000)+151.7224))/C57,0)</f>
        <v>0</v>
      </c>
      <c r="D61" s="524" t="s">
        <v>722</v>
      </c>
      <c r="E61" s="203"/>
    </row>
    <row r="62" spans="1:5" s="73" customFormat="1">
      <c r="A62" s="76"/>
      <c r="B62" s="525" t="s">
        <v>71</v>
      </c>
      <c r="C62" s="526">
        <f>IFERROR(IF(C59&lt;=5000000,
0.8559*(0.58*LN(C59)^4-27.69*LN(C59)^3+499.16*LN(C59)^2-4018.63*LN(C59)+12193.12),
0.8559*(0.1684*(C59/1000000)^2+7.3421*(C59/1000000)+151.7224))/C57,0)</f>
        <v>0</v>
      </c>
      <c r="D62" s="488" t="s">
        <v>722</v>
      </c>
      <c r="E62" s="203"/>
    </row>
    <row r="63" spans="1:5" s="73" customFormat="1">
      <c r="A63" s="76"/>
      <c r="B63" s="525" t="s">
        <v>72</v>
      </c>
      <c r="C63" s="526">
        <f>IFERROR(IF(C59&lt;=5000000,
0.58*LN(C59)^4-27.69*LN(C59)^3+499.16*LN(C59)^2-4018.63*LN(C59)+12193.12,
0.1684*(C59/1000000)^2+7.3421*(C59/1000000)+151.7224)/C57,0)</f>
        <v>0</v>
      </c>
      <c r="D63" s="488" t="s">
        <v>722</v>
      </c>
      <c r="E63" s="203"/>
    </row>
    <row r="64" spans="1:5" s="73" customFormat="1">
      <c r="A64" s="76"/>
      <c r="B64" s="525" t="s">
        <v>73</v>
      </c>
      <c r="C64" s="526">
        <f>IFERROR(IF(C59&lt;=5000000,
1.1528*(0.58*LN(C59)^4-27.69*LN(C59)^3+499.16*LN(C59)^2-4018.63*LN(C59)+12193.12),
1.1528*(0.1684*(C59/1000000)^2+7.3421*(C59/1000000)+151.7224))/C57,0)</f>
        <v>0</v>
      </c>
      <c r="D64" s="488" t="s">
        <v>722</v>
      </c>
      <c r="E64" s="203"/>
    </row>
    <row r="65" spans="1:5" s="73" customFormat="1" ht="15">
      <c r="A65" s="76"/>
      <c r="B65" s="525" t="s">
        <v>74</v>
      </c>
      <c r="C65" s="526">
        <f>IFERROR(IF(C59&lt;=5000000,
1.3561*(0.58*LN(C59)^4-27.69*LN(C59)^3+499.16*LN(C59)^2-4018.63*LN(C59)+12193.12),
1.3561*(0.1684*(C59/1000000)^2+7.3421*(C59/1000000)+151.7224))/C57,0)</f>
        <v>0</v>
      </c>
      <c r="D65" s="488" t="s">
        <v>1077</v>
      </c>
      <c r="E65" s="488" t="s">
        <v>1078</v>
      </c>
    </row>
    <row r="66" spans="1:5" s="73" customFormat="1">
      <c r="A66" s="76"/>
      <c r="B66" s="525"/>
      <c r="C66" s="526"/>
      <c r="D66" s="488"/>
      <c r="E66" s="203"/>
    </row>
    <row r="67" spans="1:5" s="73" customFormat="1">
      <c r="A67" s="76"/>
      <c r="B67" s="525" t="str">
        <f>'OSNOVNI PODATKI'!B85</f>
        <v>GRADBENO OBRTNIŠKA DELA (GO)</v>
      </c>
      <c r="C67" s="625">
        <f>'OSNOVNI PODATKI'!D85</f>
        <v>0.70399999999999996</v>
      </c>
      <c r="D67" s="623"/>
      <c r="E67" s="628">
        <f>C67*$C$11*(1000+$C$12)</f>
        <v>0</v>
      </c>
    </row>
    <row r="68" spans="1:5" s="73" customFormat="1">
      <c r="A68" s="76"/>
      <c r="B68" s="525" t="str">
        <f>'OSNOVNI PODATKI'!B86</f>
        <v>ELEKTRIČNE INŠTALACIJE (EI)</v>
      </c>
      <c r="C68" s="625">
        <f>'OSNOVNI PODATKI'!D86</f>
        <v>0.13506720000000003</v>
      </c>
      <c r="D68" s="623"/>
      <c r="E68" s="628">
        <f t="shared" ref="E68:E70" si="2">C68*$C$11*(1000+$C$12)</f>
        <v>0</v>
      </c>
    </row>
    <row r="69" spans="1:5" s="73" customFormat="1">
      <c r="A69" s="76"/>
      <c r="B69" s="525" t="str">
        <f>'OSNOVNI PODATKI'!B87</f>
        <v>STROJNE INŠTALACIJE (SI)</v>
      </c>
      <c r="C69" s="625">
        <f>'OSNOVNI PODATKI'!D87</f>
        <v>0.118992</v>
      </c>
      <c r="D69" s="623"/>
      <c r="E69" s="628">
        <f t="shared" si="2"/>
        <v>0</v>
      </c>
    </row>
    <row r="70" spans="1:5" s="73" customFormat="1">
      <c r="A70" s="76"/>
      <c r="B70" s="525" t="str">
        <f>'OSNOVNI PODATKI'!B88</f>
        <v>TEHNOLOGIJA (TH)</v>
      </c>
      <c r="C70" s="625">
        <f>'OSNOVNI PODATKI'!D88</f>
        <v>4.1736000000000002E-2</v>
      </c>
      <c r="D70" s="623"/>
      <c r="E70" s="628">
        <f t="shared" si="2"/>
        <v>0</v>
      </c>
    </row>
    <row r="71" spans="1:5" s="73" customFormat="1">
      <c r="A71" s="76"/>
      <c r="C71" s="81"/>
      <c r="D71" s="489"/>
      <c r="E71" s="489"/>
    </row>
    <row r="72" spans="1:5" s="73" customFormat="1" ht="14.25">
      <c r="B72" s="81" t="s">
        <v>730</v>
      </c>
      <c r="C72" s="507">
        <f>IFERROR(LOOKUP(C60,B61:C64),0)</f>
        <v>0</v>
      </c>
      <c r="D72" s="378" t="s">
        <v>721</v>
      </c>
      <c r="E72" s="489"/>
    </row>
    <row r="73" spans="1:5" s="73" customFormat="1" ht="14.25">
      <c r="B73" s="81" t="s">
        <v>731</v>
      </c>
      <c r="C73" s="507" cm="1">
        <f t="array" ref="C73">IFERROR(INDEX(C61:C64,MATCH(C60,B61:B64)+1),0)</f>
        <v>0</v>
      </c>
      <c r="D73" s="378" t="s">
        <v>721</v>
      </c>
      <c r="E73" s="489"/>
    </row>
    <row r="74" spans="1:5" s="73" customFormat="1">
      <c r="B74" s="81" t="s">
        <v>618</v>
      </c>
      <c r="C74" s="531">
        <f>IFERROR(C72*$C56,0)</f>
        <v>0</v>
      </c>
      <c r="D74" s="378" t="s">
        <v>723</v>
      </c>
      <c r="E74" s="489"/>
    </row>
    <row r="75" spans="1:5" s="73" customFormat="1">
      <c r="B75" s="81" t="s">
        <v>619</v>
      </c>
      <c r="C75" s="531">
        <f>IFERROR(C73*$C56,0)</f>
        <v>0</v>
      </c>
      <c r="D75" s="378" t="s">
        <v>723</v>
      </c>
      <c r="E75" s="489"/>
    </row>
    <row r="76" spans="1:5" s="73" customFormat="1">
      <c r="A76" s="76"/>
      <c r="C76" s="203"/>
      <c r="D76" s="203"/>
      <c r="E76" s="203"/>
    </row>
    <row r="77" spans="1:5" s="73" customFormat="1">
      <c r="A77" s="76"/>
      <c r="B77" s="203" t="str">
        <f>'OSNOVNI PODATKI'!A93</f>
        <v>STAVBA 4 / DEL 4</v>
      </c>
      <c r="C77" s="533">
        <f>'OSNOVNI PODATKI'!E93</f>
        <v>0</v>
      </c>
      <c r="D77" s="203"/>
      <c r="E77" s="203"/>
    </row>
    <row r="78" spans="1:5" s="73" customFormat="1">
      <c r="A78" s="76"/>
      <c r="B78" s="198" t="s">
        <v>617</v>
      </c>
      <c r="C78" s="81" t="str">
        <f>'OSNOVNI PODATKI'!E94</f>
        <v>17. Šole z nadpovprečnimi načrtovalskimi potrebami - izobraževalni centri, visoke šole, univerze, akademije</v>
      </c>
      <c r="D78" s="489"/>
      <c r="E78" s="489"/>
    </row>
    <row r="79" spans="1:5" s="73" customFormat="1">
      <c r="A79" s="76"/>
      <c r="B79" s="198" t="s">
        <v>788</v>
      </c>
      <c r="C79" s="81">
        <f>'OSNOVNI PODATKI'!E95</f>
        <v>0</v>
      </c>
      <c r="D79" s="489"/>
      <c r="E79" s="489"/>
    </row>
    <row r="80" spans="1:5" s="73" customFormat="1">
      <c r="A80" s="76"/>
      <c r="B80" s="198" t="s">
        <v>789</v>
      </c>
      <c r="C80" s="81">
        <f>IF($C$5=1,$C$6,C79)</f>
        <v>0</v>
      </c>
      <c r="D80" s="489"/>
      <c r="E80" s="489"/>
    </row>
    <row r="81" spans="1:5" s="73" customFormat="1">
      <c r="A81" s="76"/>
      <c r="B81" s="530" t="s">
        <v>729</v>
      </c>
      <c r="C81" s="529">
        <f>'OSNOVNI PODATKI'!E105</f>
        <v>785</v>
      </c>
      <c r="D81" s="489"/>
      <c r="E81" s="489"/>
    </row>
    <row r="82" spans="1:5" s="73" customFormat="1">
      <c r="A82" s="76"/>
      <c r="B82" s="530" t="s">
        <v>880</v>
      </c>
      <c r="C82" s="81">
        <f>IFERROR(C80*(1000+C81),0)</f>
        <v>0</v>
      </c>
      <c r="D82" s="489"/>
      <c r="E82" s="489"/>
    </row>
    <row r="83" spans="1:5" s="73" customFormat="1">
      <c r="A83" s="76"/>
      <c r="B83" s="198" t="s">
        <v>100</v>
      </c>
      <c r="C83" s="81" t="str">
        <f>'OSNOVNI PODATKI'!E101</f>
        <v>Cenovni razred II</v>
      </c>
      <c r="D83" s="489"/>
      <c r="E83" s="489"/>
    </row>
    <row r="84" spans="1:5" s="73" customFormat="1">
      <c r="A84" s="76"/>
      <c r="B84" s="522" t="s">
        <v>70</v>
      </c>
      <c r="C84" s="523">
        <f>IFERROR(IF(C82&lt;=5000000,
0.7227*(0.58*LN(C82)^4-27.69*LN(C82)^3+499.16*LN(C82)^2-4018.63*LN(C82)+12193.12),
0.7227*(0.1684*(C82/1000000)^2+7.3421*(C82/1000000)+151.7224))/C80,0)</f>
        <v>0</v>
      </c>
      <c r="D84" s="524" t="s">
        <v>722</v>
      </c>
      <c r="E84" s="203"/>
    </row>
    <row r="85" spans="1:5" s="73" customFormat="1">
      <c r="A85" s="76"/>
      <c r="B85" s="525" t="s">
        <v>71</v>
      </c>
      <c r="C85" s="526">
        <f>IFERROR(IF(C82&lt;=5000000,
0.8559*(0.58*LN(C82)^4-27.69*LN(C82)^3+499.16*LN(C82)^2-4018.63*LN(C82)+12193.12),
0.8559*(0.1684*(C82/1000000)^2+7.3421*(C82/1000000)+151.7224))/C80,0)</f>
        <v>0</v>
      </c>
      <c r="D85" s="488" t="s">
        <v>722</v>
      </c>
      <c r="E85" s="203"/>
    </row>
    <row r="86" spans="1:5" s="73" customFormat="1">
      <c r="A86" s="76"/>
      <c r="B86" s="525" t="s">
        <v>72</v>
      </c>
      <c r="C86" s="526">
        <f>IFERROR(IF(C82&lt;=5000000,
0.58*LN(C82)^4-27.69*LN(C82)^3+499.16*LN(C82)^2-4018.63*LN(C82)+12193.12,
0.1684*(C82/1000000)^2+7.3421*(C82/1000000)+151.7224)/C80,0)</f>
        <v>0</v>
      </c>
      <c r="D86" s="488" t="s">
        <v>722</v>
      </c>
      <c r="E86" s="203"/>
    </row>
    <row r="87" spans="1:5" s="73" customFormat="1">
      <c r="A87" s="76"/>
      <c r="B87" s="525" t="s">
        <v>73</v>
      </c>
      <c r="C87" s="526">
        <f>IFERROR(IF(C82&lt;=5000000,
1.1528*(0.58*LN(C82)^4-27.69*LN(C82)^3+499.16*LN(C82)^2-4018.63*LN(C82)+12193.12),
1.1528*(0.1684*(C82/1000000)^2+7.3421*(C82/1000000)+151.7224))/C80,0)</f>
        <v>0</v>
      </c>
      <c r="D87" s="488" t="s">
        <v>722</v>
      </c>
      <c r="E87" s="203"/>
    </row>
    <row r="88" spans="1:5" s="73" customFormat="1" ht="15">
      <c r="A88" s="76"/>
      <c r="B88" s="525" t="s">
        <v>74</v>
      </c>
      <c r="C88" s="526">
        <f>IFERROR(IF(C82&lt;=5000000,
1.3561*(0.58*LN(C82)^4-27.69*LN(C82)^3+499.16*LN(C82)^2-4018.63*LN(C82)+12193.12),
1.3561*(0.1684*(C82/1000000)^2+7.3421*(C82/1000000)+151.7224))/C80,0)</f>
        <v>0</v>
      </c>
      <c r="D88" s="488" t="s">
        <v>1077</v>
      </c>
      <c r="E88" s="488" t="s">
        <v>1078</v>
      </c>
    </row>
    <row r="89" spans="1:5" s="73" customFormat="1">
      <c r="A89" s="76"/>
      <c r="B89" s="525"/>
      <c r="C89" s="526"/>
      <c r="D89" s="488"/>
      <c r="E89" s="203"/>
    </row>
    <row r="90" spans="1:5" s="73" customFormat="1">
      <c r="A90" s="76"/>
      <c r="B90" s="525" t="str">
        <f>'OSNOVNI PODATKI'!B111</f>
        <v>GRADBENO OBRTNIŠKA DELA (GO)</v>
      </c>
      <c r="C90" s="625">
        <f>'OSNOVNI PODATKI'!D111</f>
        <v>0.76200000000000001</v>
      </c>
      <c r="D90" s="623"/>
      <c r="E90" s="628">
        <f>C90*$C$11*(1000+$C$12)</f>
        <v>0</v>
      </c>
    </row>
    <row r="91" spans="1:5" s="73" customFormat="1">
      <c r="A91" s="76"/>
      <c r="B91" s="525" t="str">
        <f>'OSNOVNI PODATKI'!B112</f>
        <v>ELEKTRIČNE INŠTALACIJE (EI)</v>
      </c>
      <c r="C91" s="625">
        <f>'OSNOVNI PODATKI'!D112</f>
        <v>7.9730000000000009E-2</v>
      </c>
      <c r="D91" s="623"/>
      <c r="E91" s="628">
        <f t="shared" ref="E91:E93" si="3">C91*$C$11*(1000+$C$12)</f>
        <v>0</v>
      </c>
    </row>
    <row r="92" spans="1:5" s="73" customFormat="1">
      <c r="A92" s="76"/>
      <c r="B92" s="525" t="str">
        <f>'OSNOVNI PODATKI'!B113</f>
        <v>STROJNE INŠTALACIJE (SI)</v>
      </c>
      <c r="C92" s="625">
        <f>'OSNOVNI PODATKI'!D113</f>
        <v>0.11876200000000001</v>
      </c>
      <c r="D92" s="623"/>
      <c r="E92" s="628">
        <f t="shared" si="3"/>
        <v>0</v>
      </c>
    </row>
    <row r="93" spans="1:5" s="73" customFormat="1">
      <c r="A93" s="76"/>
      <c r="B93" s="525" t="str">
        <f>'OSNOVNI PODATKI'!B114</f>
        <v>TEHNOLOGIJA (TH)</v>
      </c>
      <c r="C93" s="625">
        <f>'OSNOVNI PODATKI'!D114</f>
        <v>3.9508000000000008E-2</v>
      </c>
      <c r="D93" s="623"/>
      <c r="E93" s="628">
        <f t="shared" si="3"/>
        <v>0</v>
      </c>
    </row>
    <row r="94" spans="1:5" s="73" customFormat="1">
      <c r="A94" s="76"/>
      <c r="C94" s="81"/>
      <c r="D94" s="489"/>
      <c r="E94" s="489"/>
    </row>
    <row r="95" spans="1:5" s="73" customFormat="1" ht="14.25">
      <c r="B95" s="81" t="s">
        <v>730</v>
      </c>
      <c r="C95" s="507">
        <f>IFERROR(LOOKUP(C83,B84:C87),0)</f>
        <v>0</v>
      </c>
      <c r="D95" s="378" t="s">
        <v>721</v>
      </c>
      <c r="E95" s="489"/>
    </row>
    <row r="96" spans="1:5" s="73" customFormat="1" ht="14.25">
      <c r="B96" s="81" t="s">
        <v>731</v>
      </c>
      <c r="C96" s="507" cm="1">
        <f t="array" ref="C96">IFERROR(INDEX(C84:C87,MATCH(C83,B84:B87)+1),0)</f>
        <v>0</v>
      </c>
      <c r="D96" s="378" t="s">
        <v>721</v>
      </c>
      <c r="E96" s="489"/>
    </row>
    <row r="97" spans="1:5" s="73" customFormat="1">
      <c r="B97" s="81" t="s">
        <v>618</v>
      </c>
      <c r="C97" s="531">
        <f>IFERROR(C95*$C79,0)</f>
        <v>0</v>
      </c>
      <c r="D97" s="378" t="s">
        <v>723</v>
      </c>
      <c r="E97" s="489"/>
    </row>
    <row r="98" spans="1:5" s="73" customFormat="1">
      <c r="B98" s="81" t="s">
        <v>619</v>
      </c>
      <c r="C98" s="531">
        <f>IFERROR(C96*$C79,0)</f>
        <v>0</v>
      </c>
      <c r="D98" s="378" t="s">
        <v>723</v>
      </c>
      <c r="E98" s="489"/>
    </row>
    <row r="99" spans="1:5" s="73" customFormat="1">
      <c r="A99" s="76"/>
      <c r="C99" s="203"/>
      <c r="D99" s="203"/>
      <c r="E99" s="203"/>
    </row>
    <row r="100" spans="1:5" s="73" customFormat="1">
      <c r="A100" s="76"/>
      <c r="B100" s="203" t="str">
        <f>'OSNOVNI PODATKI'!A119</f>
        <v>STAVBA 5 / DEL 5</v>
      </c>
      <c r="C100" s="533">
        <f>'OSNOVNI PODATKI'!E119</f>
        <v>0</v>
      </c>
      <c r="D100" s="203"/>
      <c r="E100" s="203"/>
    </row>
    <row r="101" spans="1:5" s="73" customFormat="1">
      <c r="A101" s="76"/>
      <c r="B101" s="198" t="s">
        <v>617</v>
      </c>
      <c r="C101" s="81" t="str">
        <f>'OSNOVNI PODATKI'!E120</f>
        <v>22. Pisarniške in upravne stavbe, višji standard</v>
      </c>
      <c r="D101" s="489"/>
      <c r="E101" s="489"/>
    </row>
    <row r="102" spans="1:5" s="73" customFormat="1">
      <c r="A102" s="76"/>
      <c r="B102" s="198" t="s">
        <v>788</v>
      </c>
      <c r="C102" s="81">
        <f>'OSNOVNI PODATKI'!E121</f>
        <v>0</v>
      </c>
      <c r="D102" s="489"/>
      <c r="E102" s="489"/>
    </row>
    <row r="103" spans="1:5" s="73" customFormat="1">
      <c r="A103" s="76"/>
      <c r="B103" s="198" t="s">
        <v>789</v>
      </c>
      <c r="C103" s="81">
        <f>IF($C$5=1,$C$6,C102)</f>
        <v>0</v>
      </c>
      <c r="D103" s="489"/>
      <c r="E103" s="489"/>
    </row>
    <row r="104" spans="1:5" s="73" customFormat="1">
      <c r="A104" s="76"/>
      <c r="B104" s="530" t="s">
        <v>729</v>
      </c>
      <c r="C104" s="529">
        <f>'OSNOVNI PODATKI'!E131</f>
        <v>990.8</v>
      </c>
      <c r="D104" s="489"/>
      <c r="E104" s="489"/>
    </row>
    <row r="105" spans="1:5" s="73" customFormat="1">
      <c r="A105" s="76"/>
      <c r="B105" s="530" t="s">
        <v>880</v>
      </c>
      <c r="C105" s="81">
        <f>IFERROR(C103*(1000+C104),0)</f>
        <v>0</v>
      </c>
      <c r="D105" s="489"/>
      <c r="E105" s="489"/>
    </row>
    <row r="106" spans="1:5" s="73" customFormat="1">
      <c r="A106" s="76"/>
      <c r="B106" s="198" t="s">
        <v>100</v>
      </c>
      <c r="C106" s="81" t="str">
        <f>'OSNOVNI PODATKI'!E127</f>
        <v>Cenovni razred II</v>
      </c>
      <c r="D106" s="489"/>
      <c r="E106" s="489"/>
    </row>
    <row r="107" spans="1:5" s="73" customFormat="1">
      <c r="A107" s="76"/>
      <c r="B107" s="522" t="s">
        <v>70</v>
      </c>
      <c r="C107" s="523">
        <f>IFERROR(IF(C105&lt;=5000000,
0.7227*(0.58*LN(C105)^4-27.69*LN(C105)^3+499.16*LN(C105)^2-4018.63*LN(C105)+12193.12),
0.7227*(0.1684*(C105/1000000)^2+7.3421*(C105/1000000)+151.7224))/C103,0)</f>
        <v>0</v>
      </c>
      <c r="D107" s="524" t="s">
        <v>722</v>
      </c>
      <c r="E107" s="203"/>
    </row>
    <row r="108" spans="1:5" s="73" customFormat="1">
      <c r="A108" s="76"/>
      <c r="B108" s="525" t="s">
        <v>71</v>
      </c>
      <c r="C108" s="526">
        <f>IFERROR(IF(C105&lt;=5000000,
0.8559*(0.58*LN(C105)^4-27.69*LN(C105)^3+499.16*LN(C105)^2-4018.63*LN(C105)+12193.12),
0.8559*(0.1684*(C105/1000000)^2+7.3421*(C105/1000000)+151.7224))/C103,0)</f>
        <v>0</v>
      </c>
      <c r="D108" s="488" t="s">
        <v>722</v>
      </c>
      <c r="E108" s="203"/>
    </row>
    <row r="109" spans="1:5" s="73" customFormat="1">
      <c r="A109" s="76"/>
      <c r="B109" s="525" t="s">
        <v>72</v>
      </c>
      <c r="C109" s="526">
        <f>IFERROR(IF(C105&lt;=5000000,
0.58*LN(C105)^4-27.69*LN(C105)^3+499.16*LN(C105)^2-4018.63*LN(C105)+12193.12,
0.1684*(C105/1000000)^2+7.3421*(C105/1000000)+151.7224)/C103,0)</f>
        <v>0</v>
      </c>
      <c r="D109" s="488" t="s">
        <v>722</v>
      </c>
      <c r="E109" s="203"/>
    </row>
    <row r="110" spans="1:5" s="73" customFormat="1">
      <c r="A110" s="76"/>
      <c r="B110" s="525" t="s">
        <v>73</v>
      </c>
      <c r="C110" s="526">
        <f>IFERROR(IF(C105&lt;=5000000,
1.1528*(0.58*LN(C105)^4-27.69*LN(C105)^3+499.16*LN(C105)^2-4018.63*LN(C105)+12193.12),
1.1528*(0.1684*(C105/1000000)^2+7.3421*(C105/1000000)+151.7224))/C103,0)</f>
        <v>0</v>
      </c>
      <c r="D110" s="488" t="s">
        <v>722</v>
      </c>
      <c r="E110" s="203"/>
    </row>
    <row r="111" spans="1:5" s="73" customFormat="1" ht="15">
      <c r="A111" s="76"/>
      <c r="B111" s="525" t="s">
        <v>74</v>
      </c>
      <c r="C111" s="526">
        <f>IFERROR(IF(C105&lt;=5000000,
1.3561*(0.58*LN(C105)^4-27.69*LN(C105)^3+499.16*LN(C105)^2-4018.63*LN(C105)+12193.12),
1.3561*(0.1684*(C105/1000000)^2+7.3421*(C105/1000000)+151.7224))/C103,0)</f>
        <v>0</v>
      </c>
      <c r="D111" s="488" t="s">
        <v>1077</v>
      </c>
      <c r="E111" s="488" t="s">
        <v>1078</v>
      </c>
    </row>
    <row r="112" spans="1:5" s="73" customFormat="1">
      <c r="A112" s="76"/>
      <c r="B112" s="525"/>
      <c r="C112" s="526"/>
      <c r="D112" s="488"/>
      <c r="E112" s="203"/>
    </row>
    <row r="113" spans="1:5" s="73" customFormat="1">
      <c r="A113" s="76"/>
      <c r="B113" s="525" t="str">
        <f>'OSNOVNI PODATKI'!B137</f>
        <v>GRADBENO OBRTNIŠKA DELA (GO)</v>
      </c>
      <c r="C113" s="625">
        <f>'OSNOVNI PODATKI'!D137</f>
        <v>0.73699999999999999</v>
      </c>
      <c r="D113" s="623"/>
      <c r="E113" s="628">
        <f>C113*$C$11*(1000+$C$12)</f>
        <v>0</v>
      </c>
    </row>
    <row r="114" spans="1:5" s="73" customFormat="1">
      <c r="A114" s="76"/>
      <c r="B114" s="525" t="str">
        <f>'OSNOVNI PODATKI'!B133</f>
        <v>INFORMATIVNA OCENA STROŠKOV GRADNJE</v>
      </c>
      <c r="C114" s="625">
        <f>'OSNOVNI PODATKI'!D138</f>
        <v>0.11230100000000003</v>
      </c>
      <c r="D114" s="623"/>
      <c r="E114" s="628">
        <f t="shared" ref="E114:E116" si="4">C114*$C$11*(1000+$C$12)</f>
        <v>0</v>
      </c>
    </row>
    <row r="115" spans="1:5" s="73" customFormat="1">
      <c r="A115" s="76"/>
      <c r="B115" s="525" t="str">
        <f>'OSNOVNI PODATKI'!B134</f>
        <v>INFORMATIVNA VREDNOST STROŠKOV GRADNJE EUR/m2 BTP</v>
      </c>
      <c r="C115" s="625">
        <f>'OSNOVNI PODATKI'!D139</f>
        <v>0.124399</v>
      </c>
      <c r="D115" s="623"/>
      <c r="E115" s="628">
        <f t="shared" si="4"/>
        <v>0</v>
      </c>
    </row>
    <row r="116" spans="1:5" s="73" customFormat="1">
      <c r="A116" s="76"/>
      <c r="B116" s="525" t="str">
        <f>'OSNOVNI PODATKI'!B135</f>
        <v>IZBRANA VREDNOST STROŠKOV GRADNJE EUR/m2 BEP</v>
      </c>
      <c r="C116" s="625">
        <f>'OSNOVNI PODATKI'!D140</f>
        <v>2.6300000000000004E-2</v>
      </c>
      <c r="D116" s="623"/>
      <c r="E116" s="628">
        <f t="shared" si="4"/>
        <v>0</v>
      </c>
    </row>
    <row r="117" spans="1:5" s="73" customFormat="1">
      <c r="A117" s="76"/>
      <c r="C117" s="81"/>
      <c r="D117" s="489"/>
      <c r="E117" s="489"/>
    </row>
    <row r="118" spans="1:5" s="73" customFormat="1" ht="14.25">
      <c r="B118" s="81" t="s">
        <v>730</v>
      </c>
      <c r="C118" s="507">
        <f>IFERROR(LOOKUP(C106,B107:C110),0)</f>
        <v>0</v>
      </c>
      <c r="D118" s="378" t="s">
        <v>721</v>
      </c>
      <c r="E118" s="489"/>
    </row>
    <row r="119" spans="1:5" s="73" customFormat="1" ht="14.25">
      <c r="B119" s="81" t="s">
        <v>731</v>
      </c>
      <c r="C119" s="507" cm="1">
        <f t="array" ref="C119">IFERROR(INDEX(C107:C110,MATCH(C106,B107:B110)+1),0)</f>
        <v>0</v>
      </c>
      <c r="D119" s="378" t="s">
        <v>721</v>
      </c>
      <c r="E119" s="489"/>
    </row>
    <row r="120" spans="1:5" s="73" customFormat="1">
      <c r="B120" s="81" t="s">
        <v>618</v>
      </c>
      <c r="C120" s="531">
        <f>IFERROR(C118*$C102,0)</f>
        <v>0</v>
      </c>
      <c r="D120" s="378" t="s">
        <v>723</v>
      </c>
      <c r="E120" s="489"/>
    </row>
    <row r="121" spans="1:5" s="73" customFormat="1">
      <c r="B121" s="81" t="s">
        <v>619</v>
      </c>
      <c r="C121" s="531">
        <f>IFERROR(C119*$C102,0)</f>
        <v>0</v>
      </c>
      <c r="D121" s="378" t="s">
        <v>723</v>
      </c>
      <c r="E121" s="489"/>
    </row>
    <row r="122" spans="1:5" s="73" customFormat="1">
      <c r="A122" s="76"/>
      <c r="C122" s="203"/>
      <c r="D122" s="203"/>
      <c r="E122" s="203"/>
    </row>
    <row r="123" spans="1:5" s="73" customFormat="1">
      <c r="A123" s="76"/>
      <c r="C123" s="203"/>
      <c r="D123" s="203"/>
      <c r="E123" s="203"/>
    </row>
    <row r="124" spans="1:5" s="73" customFormat="1">
      <c r="A124" s="76"/>
      <c r="C124" s="203"/>
      <c r="D124" s="203"/>
      <c r="E124" s="203"/>
    </row>
    <row r="125" spans="1:5" s="73" customFormat="1">
      <c r="A125" s="76"/>
      <c r="C125" s="203"/>
      <c r="D125" s="203"/>
      <c r="E125" s="203"/>
    </row>
    <row r="126" spans="1:5" s="73" customFormat="1">
      <c r="A126" s="76"/>
      <c r="C126" s="203"/>
      <c r="D126" s="203"/>
      <c r="E126" s="203"/>
    </row>
    <row r="127" spans="1:5" s="73" customFormat="1">
      <c r="A127" s="76"/>
      <c r="C127" s="203"/>
      <c r="D127" s="203"/>
      <c r="E127" s="203"/>
    </row>
    <row r="128" spans="1:5" s="73" customFormat="1">
      <c r="A128" s="76"/>
      <c r="C128" s="203"/>
      <c r="D128" s="203"/>
      <c r="E128" s="203"/>
    </row>
    <row r="129" spans="1:8" s="73" customFormat="1">
      <c r="A129" s="76"/>
      <c r="C129" s="203"/>
      <c r="D129" s="203"/>
      <c r="E129" s="203"/>
    </row>
    <row r="130" spans="1:8" s="73" customFormat="1">
      <c r="A130" s="76"/>
      <c r="C130" s="203"/>
      <c r="D130" s="203"/>
      <c r="E130" s="203"/>
    </row>
    <row r="131" spans="1:8" s="73" customFormat="1">
      <c r="A131" s="76"/>
      <c r="C131" s="203"/>
      <c r="D131" s="203"/>
      <c r="E131" s="203"/>
    </row>
    <row r="132" spans="1:8" s="73" customFormat="1">
      <c r="A132" s="76"/>
      <c r="C132" s="203"/>
      <c r="D132" s="203"/>
      <c r="E132" s="203"/>
    </row>
    <row r="133" spans="1:8" s="73" customFormat="1">
      <c r="A133" s="76"/>
      <c r="C133" s="203"/>
      <c r="D133" s="203"/>
      <c r="E133" s="203"/>
    </row>
    <row r="134" spans="1:8" s="73" customFormat="1">
      <c r="A134" s="76"/>
      <c r="C134" s="203"/>
      <c r="D134" s="203"/>
      <c r="E134" s="203"/>
      <c r="F134" s="203"/>
    </row>
    <row r="135" spans="1:8" s="73" customFormat="1">
      <c r="A135" s="76"/>
      <c r="C135" s="203"/>
      <c r="D135" s="203"/>
      <c r="E135" s="203"/>
      <c r="F135" s="203"/>
    </row>
    <row r="136" spans="1:8" s="73" customFormat="1">
      <c r="A136" s="76"/>
      <c r="C136" s="203"/>
      <c r="D136" s="203"/>
      <c r="E136" s="203"/>
      <c r="F136" s="203"/>
    </row>
    <row r="137" spans="1:8" s="73" customFormat="1">
      <c r="A137" s="76"/>
      <c r="C137" s="203"/>
      <c r="D137" s="203"/>
      <c r="E137" s="203"/>
      <c r="F137" s="203"/>
    </row>
    <row r="138" spans="1:8" s="73" customFormat="1" ht="13.5" thickBot="1">
      <c r="A138" s="76"/>
      <c r="C138" s="203"/>
      <c r="D138" s="203"/>
      <c r="E138" s="203"/>
      <c r="F138" s="203"/>
    </row>
    <row r="139" spans="1:8" s="73" customFormat="1" ht="18.75">
      <c r="A139" s="786" t="s">
        <v>784</v>
      </c>
      <c r="B139" s="786"/>
      <c r="C139" s="786"/>
      <c r="D139" s="786"/>
      <c r="E139" s="786"/>
      <c r="F139" s="786"/>
      <c r="G139" s="786"/>
      <c r="H139" s="786"/>
    </row>
    <row r="140" spans="1:8" s="73" customFormat="1">
      <c r="A140" s="203"/>
      <c r="B140" s="203"/>
      <c r="C140" s="717"/>
      <c r="D140" s="717"/>
      <c r="E140" s="717"/>
      <c r="F140" s="615"/>
      <c r="G140" s="717"/>
      <c r="H140" s="717"/>
    </row>
    <row r="141" spans="1:8" s="73" customFormat="1">
      <c r="A141" s="203"/>
      <c r="B141" s="81" t="s">
        <v>719</v>
      </c>
      <c r="C141" s="203"/>
      <c r="D141" s="203"/>
      <c r="E141" s="203"/>
      <c r="F141" s="487">
        <f>'OSNOVNI PODATKI'!G368</f>
        <v>0</v>
      </c>
      <c r="G141" s="203"/>
      <c r="H141" s="203"/>
    </row>
    <row r="142" spans="1:8" s="73" customFormat="1">
      <c r="A142" s="203"/>
      <c r="B142" s="81" t="s">
        <v>720</v>
      </c>
      <c r="C142" s="202"/>
      <c r="D142" s="80"/>
      <c r="E142" s="80"/>
      <c r="F142" s="473">
        <f>'ARHIGRAM 6'!I16</f>
        <v>62</v>
      </c>
      <c r="G142" s="202"/>
      <c r="H142" s="202"/>
    </row>
    <row r="143" spans="1:8" s="73" customFormat="1">
      <c r="A143" s="203"/>
      <c r="B143" s="203"/>
      <c r="C143" s="203"/>
      <c r="D143" s="203"/>
      <c r="E143" s="203"/>
      <c r="G143" s="203"/>
      <c r="H143" s="203"/>
    </row>
    <row r="144" spans="1:8" s="73" customFormat="1">
      <c r="B144" s="81" t="str">
        <f>'OSNOVNI PODATKI'!$B$376</f>
        <v>PRIBITEK ZA PRENOVO</v>
      </c>
      <c r="C144" s="202"/>
      <c r="D144" s="80"/>
      <c r="E144" s="80"/>
      <c r="F144" s="301">
        <f>'OSNOVNI PODATKI'!$F$376</f>
        <v>0</v>
      </c>
      <c r="G144" s="202"/>
      <c r="H144" s="202"/>
    </row>
    <row r="145" spans="1:9" s="73" customFormat="1">
      <c r="A145" s="203"/>
      <c r="B145" s="81"/>
      <c r="C145" s="202"/>
      <c r="D145" s="80"/>
      <c r="E145" s="80"/>
      <c r="F145" s="635"/>
      <c r="G145" s="202"/>
      <c r="H145" s="489"/>
    </row>
    <row r="146" spans="1:9" s="73" customFormat="1">
      <c r="B146" s="81"/>
      <c r="C146" s="202"/>
      <c r="D146" s="80"/>
      <c r="E146" s="80"/>
      <c r="F146" s="80"/>
      <c r="G146" s="202"/>
      <c r="H146" s="202"/>
    </row>
    <row r="147" spans="1:9" s="2" customFormat="1">
      <c r="A147" s="205"/>
      <c r="B147" s="205"/>
      <c r="C147" s="205"/>
      <c r="D147" s="205"/>
      <c r="E147" s="205"/>
      <c r="F147" s="205"/>
      <c r="G147" s="205"/>
      <c r="H147" s="205"/>
    </row>
    <row r="148" spans="1:9" s="2" customFormat="1">
      <c r="A148" s="203"/>
      <c r="B148" s="203"/>
      <c r="C148" s="203"/>
      <c r="D148" s="203"/>
      <c r="E148" s="203"/>
      <c r="F148" s="203"/>
      <c r="G148" s="203"/>
      <c r="H148" s="203"/>
    </row>
    <row r="149" spans="1:9" s="2" customFormat="1">
      <c r="A149" s="203"/>
      <c r="B149" s="203"/>
      <c r="C149" s="203"/>
      <c r="D149" s="203"/>
      <c r="E149" s="203"/>
      <c r="F149" s="203"/>
      <c r="G149" s="203"/>
      <c r="H149" s="203"/>
    </row>
    <row r="150" spans="1:9" s="2" customFormat="1">
      <c r="A150" s="203"/>
      <c r="B150" s="203"/>
      <c r="C150" s="203"/>
      <c r="D150" s="203"/>
      <c r="E150" s="203"/>
      <c r="F150" s="203"/>
      <c r="G150" s="203"/>
      <c r="H150" s="203"/>
    </row>
    <row r="151" spans="1:9" s="8" customFormat="1" ht="38.25">
      <c r="A151" s="102"/>
      <c r="B151" s="103"/>
      <c r="C151" s="103"/>
      <c r="D151" s="103"/>
      <c r="E151" s="104" t="s">
        <v>25</v>
      </c>
      <c r="F151" s="294" t="s">
        <v>379</v>
      </c>
      <c r="G151" s="600" t="s">
        <v>54</v>
      </c>
      <c r="H151" s="105" t="s">
        <v>67</v>
      </c>
      <c r="I151" s="405" t="s">
        <v>757</v>
      </c>
    </row>
    <row r="152" spans="1:9" s="9" customFormat="1" ht="14.25">
      <c r="A152" s="98" t="s">
        <v>26</v>
      </c>
      <c r="B152" s="99" t="s">
        <v>27</v>
      </c>
      <c r="C152" s="99"/>
      <c r="D152" s="99"/>
      <c r="E152" s="100"/>
      <c r="F152" s="100"/>
      <c r="G152" s="601"/>
      <c r="H152" s="101"/>
    </row>
    <row r="153" spans="1:9" s="9" customFormat="1" ht="14.25">
      <c r="A153" s="82" t="s">
        <v>28</v>
      </c>
      <c r="B153" s="94" t="s">
        <v>62</v>
      </c>
      <c r="C153" s="94"/>
      <c r="D153" s="94"/>
      <c r="E153" s="83"/>
      <c r="F153" s="83"/>
      <c r="G153" s="602"/>
      <c r="H153" s="84" t="str">
        <f>IF(I153=TRUE,G153*'VREDNOST NU'!#REF!,"")</f>
        <v/>
      </c>
    </row>
    <row r="154" spans="1:9" s="9" customFormat="1" ht="14.25">
      <c r="A154" s="107" t="s">
        <v>29</v>
      </c>
      <c r="B154" s="108" t="s">
        <v>63</v>
      </c>
      <c r="C154" s="108"/>
      <c r="D154" s="108"/>
      <c r="E154" s="109"/>
      <c r="F154" s="109"/>
      <c r="G154" s="603"/>
      <c r="H154" s="88" t="str">
        <f>IF(I154=TRUE,G154*'VREDNOST NU'!#REF!,"")</f>
        <v/>
      </c>
    </row>
    <row r="155" spans="1:9" s="9" customFormat="1" ht="14.25">
      <c r="A155" s="106" t="s">
        <v>30</v>
      </c>
      <c r="B155" s="99" t="s">
        <v>31</v>
      </c>
      <c r="C155" s="99"/>
      <c r="D155" s="99"/>
      <c r="E155" s="100">
        <f>SUM(E156:E158)</f>
        <v>0.03</v>
      </c>
      <c r="F155" s="100">
        <f>SUM(F156:F158)</f>
        <v>0.03</v>
      </c>
      <c r="G155" s="607">
        <f>SUM(G156:G158)</f>
        <v>0</v>
      </c>
      <c r="H155" s="101">
        <f>SUM(H156:H158)</f>
        <v>0</v>
      </c>
      <c r="I155" s="122">
        <f>IFERROR(H155/'OSNOVNI PODATKI'!$E$311,0)</f>
        <v>0</v>
      </c>
    </row>
    <row r="156" spans="1:9" s="9" customFormat="1" ht="14.25">
      <c r="A156" s="85" t="s">
        <v>32</v>
      </c>
      <c r="B156" s="93" t="s">
        <v>64</v>
      </c>
      <c r="C156" s="93"/>
      <c r="D156" s="93"/>
      <c r="E156" s="83">
        <v>1.4999999999999999E-2</v>
      </c>
      <c r="F156" s="295">
        <f>E156*(100%+$F$144)</f>
        <v>1.4999999999999999E-2</v>
      </c>
      <c r="G156" s="608">
        <f>ROUND(F156*$F$141,1)</f>
        <v>0</v>
      </c>
      <c r="H156" s="84">
        <f>+G156*$F$142</f>
        <v>0</v>
      </c>
    </row>
    <row r="157" spans="1:9" s="9" customFormat="1" ht="14.25">
      <c r="A157" s="85" t="s">
        <v>33</v>
      </c>
      <c r="B157" s="93" t="s">
        <v>65</v>
      </c>
      <c r="C157" s="93"/>
      <c r="D157" s="93"/>
      <c r="E157" s="83">
        <v>1.4999999999999999E-2</v>
      </c>
      <c r="F157" s="83">
        <f t="shared" ref="F157" si="5">E157*(100%+$F$144)</f>
        <v>1.4999999999999999E-2</v>
      </c>
      <c r="G157" s="608">
        <f>ROUND(F157*$F$141,1)</f>
        <v>0</v>
      </c>
      <c r="H157" s="84">
        <f t="shared" ref="H157" si="6">+G157*$F$142</f>
        <v>0</v>
      </c>
    </row>
    <row r="158" spans="1:9" s="9" customFormat="1" ht="14.25">
      <c r="A158" s="111" t="s">
        <v>34</v>
      </c>
      <c r="B158" s="112" t="s">
        <v>695</v>
      </c>
      <c r="C158" s="112"/>
      <c r="D158" s="112"/>
      <c r="E158" s="109"/>
      <c r="F158" s="109"/>
      <c r="G158" s="609"/>
      <c r="H158" s="88"/>
    </row>
    <row r="159" spans="1:9" s="9" customFormat="1" ht="14.25">
      <c r="A159" s="110">
        <v>2</v>
      </c>
      <c r="B159" s="99" t="s">
        <v>35</v>
      </c>
      <c r="C159" s="99"/>
      <c r="D159" s="99"/>
      <c r="E159" s="100">
        <f>+E160+E161+E162+E163+E164</f>
        <v>0.92</v>
      </c>
      <c r="F159" s="100">
        <f>+F160+F161+F162+F163+F164</f>
        <v>0.92</v>
      </c>
      <c r="G159" s="610">
        <f>SUM(G160:G164)</f>
        <v>0</v>
      </c>
      <c r="H159" s="101">
        <f>SUM(H160:H164)</f>
        <v>0</v>
      </c>
      <c r="I159" s="122">
        <f>IFERROR(H159/'OSNOVNI PODATKI'!$E$311,0)</f>
        <v>0</v>
      </c>
    </row>
    <row r="160" spans="1:9" s="9" customFormat="1" ht="14.25">
      <c r="A160" s="85" t="s">
        <v>48</v>
      </c>
      <c r="B160" s="93" t="s">
        <v>78</v>
      </c>
      <c r="C160" s="93"/>
      <c r="D160" s="93"/>
      <c r="E160" s="96">
        <v>0.15</v>
      </c>
      <c r="F160" s="96">
        <f t="shared" ref="F160:F161" si="7">E160*(100%+$F$144)</f>
        <v>0.15</v>
      </c>
      <c r="G160" s="608">
        <f t="shared" ref="G160:G161" si="8">ROUND(F160*$F$141,1)</f>
        <v>0</v>
      </c>
      <c r="H160" s="84">
        <f t="shared" ref="H160:H163" si="9">+G160*$F$142</f>
        <v>0</v>
      </c>
    </row>
    <row r="161" spans="1:9" s="9" customFormat="1" ht="14.25">
      <c r="A161" s="86" t="s">
        <v>49</v>
      </c>
      <c r="B161" s="97" t="s">
        <v>624</v>
      </c>
      <c r="C161" s="97"/>
      <c r="D161" s="97"/>
      <c r="E161" s="96">
        <v>0.4</v>
      </c>
      <c r="F161" s="96">
        <f t="shared" si="7"/>
        <v>0.4</v>
      </c>
      <c r="G161" s="608">
        <f t="shared" si="8"/>
        <v>0</v>
      </c>
      <c r="H161" s="84">
        <f t="shared" si="9"/>
        <v>0</v>
      </c>
    </row>
    <row r="162" spans="1:9" s="9" customFormat="1" ht="14.25">
      <c r="A162" s="86" t="s">
        <v>50</v>
      </c>
      <c r="B162" s="97" t="s">
        <v>699</v>
      </c>
      <c r="C162" s="97"/>
      <c r="D162" s="97"/>
      <c r="E162" s="96"/>
      <c r="F162" s="96"/>
      <c r="G162" s="608"/>
      <c r="H162" s="84"/>
    </row>
    <row r="163" spans="1:9" s="9" customFormat="1" ht="14.25">
      <c r="A163" s="86" t="s">
        <v>79</v>
      </c>
      <c r="B163" s="97" t="s">
        <v>625</v>
      </c>
      <c r="C163" s="97"/>
      <c r="D163" s="97"/>
      <c r="E163" s="96">
        <v>0.37</v>
      </c>
      <c r="F163" s="96">
        <f>E163*(100%+$F$144)</f>
        <v>0.37</v>
      </c>
      <c r="G163" s="608">
        <f>ROUND(F163*$F$141,1)</f>
        <v>0</v>
      </c>
      <c r="H163" s="84">
        <f t="shared" si="9"/>
        <v>0</v>
      </c>
    </row>
    <row r="164" spans="1:9" s="9" customFormat="1" ht="14.25">
      <c r="A164" s="114" t="s">
        <v>80</v>
      </c>
      <c r="B164" s="115" t="s">
        <v>696</v>
      </c>
      <c r="C164" s="115"/>
      <c r="D164" s="115"/>
      <c r="E164" s="116"/>
      <c r="F164" s="116"/>
      <c r="G164" s="609"/>
      <c r="H164" s="88"/>
    </row>
    <row r="165" spans="1:9" s="9" customFormat="1" ht="14.25">
      <c r="A165" s="113" t="s">
        <v>36</v>
      </c>
      <c r="B165" s="99" t="s">
        <v>101</v>
      </c>
      <c r="C165" s="99"/>
      <c r="D165" s="99"/>
      <c r="E165" s="100">
        <f>SUM(E166:E167)</f>
        <v>0</v>
      </c>
      <c r="F165" s="100">
        <f>SUM(F166:F167)</f>
        <v>0</v>
      </c>
      <c r="G165" s="607">
        <f>SUM(G166:G167)</f>
        <v>0</v>
      </c>
      <c r="H165" s="101">
        <f>SUM(H166:H167)</f>
        <v>0</v>
      </c>
      <c r="I165" s="122">
        <f>IFERROR(H165/'OSNOVNI PODATKI'!$E$311,0)</f>
        <v>0</v>
      </c>
    </row>
    <row r="166" spans="1:9" s="9" customFormat="1" ht="14.25">
      <c r="A166" s="86" t="s">
        <v>37</v>
      </c>
      <c r="B166" s="92" t="s">
        <v>697</v>
      </c>
      <c r="C166" s="92"/>
      <c r="D166" s="92"/>
      <c r="E166" s="83"/>
      <c r="F166" s="83"/>
      <c r="G166" s="608"/>
      <c r="H166" s="84"/>
    </row>
    <row r="167" spans="1:9" s="9" customFormat="1" ht="14.25">
      <c r="A167" s="114" t="s">
        <v>38</v>
      </c>
      <c r="B167" s="87" t="s">
        <v>180</v>
      </c>
      <c r="C167" s="87"/>
      <c r="D167" s="87"/>
      <c r="E167" s="109"/>
      <c r="F167" s="109"/>
      <c r="G167" s="609"/>
      <c r="H167" s="88"/>
    </row>
    <row r="168" spans="1:9" s="9" customFormat="1" ht="14.25">
      <c r="A168" s="117">
        <v>4</v>
      </c>
      <c r="B168" s="99" t="s">
        <v>57</v>
      </c>
      <c r="C168" s="99"/>
      <c r="D168" s="99"/>
      <c r="E168" s="100">
        <f>SUM(E169:E173)</f>
        <v>0.05</v>
      </c>
      <c r="F168" s="100">
        <f>SUM(F169:F173)</f>
        <v>0.05</v>
      </c>
      <c r="G168" s="607">
        <f>SUM(G169:G173)</f>
        <v>0</v>
      </c>
      <c r="H168" s="101">
        <f>SUM(H169:H173)</f>
        <v>0</v>
      </c>
      <c r="I168" s="122">
        <f>IFERROR(H168/'OSNOVNI PODATKI'!$E$311,0)</f>
        <v>0</v>
      </c>
    </row>
    <row r="169" spans="1:9" s="9" customFormat="1" ht="14.25">
      <c r="A169" s="86" t="s">
        <v>39</v>
      </c>
      <c r="B169" s="92" t="s">
        <v>181</v>
      </c>
      <c r="C169" s="92"/>
      <c r="D169" s="92"/>
      <c r="E169" s="83"/>
      <c r="F169" s="83"/>
      <c r="G169" s="608"/>
      <c r="H169" s="84"/>
    </row>
    <row r="170" spans="1:9" s="9" customFormat="1" ht="14.25">
      <c r="A170" s="86" t="s">
        <v>40</v>
      </c>
      <c r="B170" s="92" t="s">
        <v>712</v>
      </c>
      <c r="C170" s="92"/>
      <c r="D170" s="92"/>
      <c r="E170" s="83"/>
      <c r="F170" s="83"/>
      <c r="G170" s="608"/>
      <c r="H170" s="84"/>
    </row>
    <row r="171" spans="1:9" s="9" customFormat="1" ht="14.25">
      <c r="A171" s="86" t="s">
        <v>41</v>
      </c>
      <c r="B171" s="92" t="s">
        <v>796</v>
      </c>
      <c r="C171" s="92"/>
      <c r="D171" s="92"/>
      <c r="E171" s="83"/>
      <c r="F171" s="83"/>
      <c r="G171" s="608"/>
      <c r="H171" s="84"/>
    </row>
    <row r="172" spans="1:9" s="9" customFormat="1" ht="14.25">
      <c r="A172" s="86" t="s">
        <v>42</v>
      </c>
      <c r="B172" s="92" t="s">
        <v>713</v>
      </c>
      <c r="C172" s="92"/>
      <c r="D172" s="92"/>
      <c r="E172" s="83"/>
      <c r="F172" s="83"/>
      <c r="G172" s="608"/>
      <c r="H172" s="84"/>
    </row>
    <row r="173" spans="1:9" s="9" customFormat="1" ht="14.25">
      <c r="A173" s="114" t="s">
        <v>43</v>
      </c>
      <c r="B173" s="87" t="s">
        <v>698</v>
      </c>
      <c r="C173" s="87"/>
      <c r="D173" s="87"/>
      <c r="E173" s="109">
        <v>0.05</v>
      </c>
      <c r="F173" s="109">
        <f t="shared" ref="F173" si="10">E173*(100%+$F$144)</f>
        <v>0.05</v>
      </c>
      <c r="G173" s="609">
        <f>ROUND(F173*$F$141,1)</f>
        <v>0</v>
      </c>
      <c r="H173" s="88">
        <f t="shared" ref="H173" si="11">+G173*$F$142</f>
        <v>0</v>
      </c>
    </row>
    <row r="174" spans="1:9" s="9" customFormat="1" ht="14.25">
      <c r="A174" s="118">
        <v>5</v>
      </c>
      <c r="B174" s="99" t="s">
        <v>44</v>
      </c>
      <c r="C174" s="99"/>
      <c r="D174" s="99"/>
      <c r="E174" s="100">
        <f>SUM(E175:E176)</f>
        <v>0</v>
      </c>
      <c r="F174" s="100">
        <f>SUM(F175:F176)</f>
        <v>0</v>
      </c>
      <c r="G174" s="607">
        <f>SUM(G175:G176)</f>
        <v>0</v>
      </c>
      <c r="H174" s="101">
        <f>SUM(H175:H176)</f>
        <v>0</v>
      </c>
      <c r="I174" s="122">
        <f>IFERROR(H174/'OSNOVNI PODATKI'!$E$311,0)</f>
        <v>0</v>
      </c>
    </row>
    <row r="175" spans="1:9" s="9" customFormat="1" ht="14.25">
      <c r="A175" s="86" t="s">
        <v>45</v>
      </c>
      <c r="B175" s="95" t="s">
        <v>183</v>
      </c>
      <c r="C175" s="95"/>
      <c r="D175" s="95"/>
      <c r="E175" s="83"/>
      <c r="F175" s="83"/>
      <c r="G175" s="608"/>
      <c r="H175" s="84"/>
    </row>
    <row r="176" spans="1:9" s="9" customFormat="1" ht="14.25">
      <c r="A176" s="114" t="s">
        <v>46</v>
      </c>
      <c r="B176" s="120" t="s">
        <v>184</v>
      </c>
      <c r="C176" s="120"/>
      <c r="D176" s="120"/>
      <c r="E176" s="109"/>
      <c r="F176" s="109"/>
      <c r="G176" s="609"/>
      <c r="H176" s="88"/>
    </row>
    <row r="177" spans="1:9" s="9" customFormat="1" ht="14.25">
      <c r="A177" s="119">
        <v>6</v>
      </c>
      <c r="B177" s="99" t="s">
        <v>47</v>
      </c>
      <c r="C177" s="99"/>
      <c r="D177" s="99"/>
      <c r="E177" s="100"/>
      <c r="F177" s="100"/>
      <c r="G177" s="601"/>
      <c r="H177" s="101"/>
    </row>
    <row r="178" spans="1:9" s="9" customFormat="1" ht="14.25">
      <c r="A178" s="86" t="s">
        <v>51</v>
      </c>
      <c r="B178" s="95" t="s">
        <v>185</v>
      </c>
      <c r="C178" s="95"/>
      <c r="D178" s="95"/>
      <c r="E178" s="83"/>
      <c r="F178" s="83"/>
      <c r="G178" s="602"/>
      <c r="H178" s="84"/>
    </row>
    <row r="179" spans="1:9" s="9" customFormat="1" ht="14.25">
      <c r="A179" s="86" t="s">
        <v>52</v>
      </c>
      <c r="B179" s="95" t="s">
        <v>186</v>
      </c>
      <c r="C179" s="95"/>
      <c r="D179" s="95"/>
      <c r="E179" s="83"/>
      <c r="F179" s="83"/>
      <c r="G179" s="602"/>
      <c r="H179" s="84"/>
    </row>
    <row r="180" spans="1:9" s="9" customFormat="1" ht="14.25">
      <c r="A180" s="114" t="s">
        <v>53</v>
      </c>
      <c r="B180" s="120" t="s">
        <v>187</v>
      </c>
      <c r="C180" s="120"/>
      <c r="D180" s="120"/>
      <c r="E180" s="109"/>
      <c r="F180" s="109"/>
      <c r="G180" s="603"/>
      <c r="H180" s="88"/>
    </row>
    <row r="181" spans="1:9" s="9" customFormat="1" ht="14.25">
      <c r="A181" s="89"/>
      <c r="B181" s="90"/>
      <c r="C181" s="90"/>
      <c r="D181" s="90"/>
      <c r="E181" s="91"/>
      <c r="F181" s="91"/>
      <c r="G181" s="604"/>
      <c r="H181" s="90"/>
    </row>
    <row r="182" spans="1:9" s="9" customFormat="1" ht="14.25">
      <c r="A182" s="123"/>
      <c r="B182" s="124" t="s">
        <v>1</v>
      </c>
      <c r="C182" s="124"/>
      <c r="D182" s="124"/>
      <c r="E182" s="125">
        <f>E152+E155+E159+E165+E168+E174+E177</f>
        <v>1</v>
      </c>
      <c r="F182" s="125">
        <f>F152+F155+F159+F165+F168+F174+F177</f>
        <v>1</v>
      </c>
      <c r="G182" s="605">
        <f>G152+G155+G159+G165+G168+G174+G177</f>
        <v>0</v>
      </c>
      <c r="H182" s="126">
        <f>H152+H155+H159+H165+H168+H174+H177</f>
        <v>0</v>
      </c>
      <c r="I182" s="122">
        <f>IFERROR(H182/'OSNOVNI PODATKI'!$E$311,0)</f>
        <v>0</v>
      </c>
    </row>
    <row r="183" spans="1:9" s="9" customFormat="1" ht="14.25">
      <c r="A183" s="25"/>
    </row>
    <row r="184" spans="1:9">
      <c r="A184" s="25"/>
    </row>
    <row r="195" spans="5:6">
      <c r="E195" s="232"/>
      <c r="F195" s="231"/>
    </row>
    <row r="196" spans="5:6">
      <c r="E196" s="232"/>
      <c r="F196" s="231"/>
    </row>
    <row r="197" spans="5:6">
      <c r="E197" s="232"/>
      <c r="F197" s="231"/>
    </row>
    <row r="198" spans="5:6">
      <c r="E198" s="232"/>
      <c r="F198" s="231"/>
    </row>
  </sheetData>
  <sheetProtection algorithmName="SHA-512" hashValue="6YF49dWsA7cVdbetwD3snGPwpRxtOJube3vRG3T108g61sXPdqUiSsPxPMdACFzXPsA4QR8CTFSU5bLErtTxOQ==" saltValue="HyaQl3eakw1bn9WMoeUSMA==" spinCount="100000" sheet="1" objects="1" scenarios="1"/>
  <phoneticPr fontId="20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0E1E-5257-47BE-8804-8A9D9FCBD668}">
  <sheetPr codeName="Sheet16"/>
  <dimension ref="A1:V264"/>
  <sheetViews>
    <sheetView topLeftCell="A127" workbookViewId="0">
      <selection activeCell="C179" sqref="C179"/>
    </sheetView>
    <sheetView workbookViewId="1"/>
  </sheetViews>
  <sheetFormatPr defaultColWidth="9.140625" defaultRowHeight="12.75"/>
  <cols>
    <col min="1" max="1" width="8.140625" style="71" customWidth="1"/>
    <col min="2" max="2" width="28.85546875" style="71" customWidth="1"/>
    <col min="3" max="5" width="13.5703125" style="71" customWidth="1"/>
    <col min="6" max="6" width="28.5703125" style="71" customWidth="1"/>
    <col min="7" max="9" width="13.5703125" style="71" customWidth="1"/>
    <col min="10" max="10" width="28.7109375" style="71" customWidth="1"/>
    <col min="11" max="12" width="13.5703125" style="71" customWidth="1"/>
    <col min="13" max="16384" width="9.140625" style="71"/>
  </cols>
  <sheetData>
    <row r="1" spans="1:22" ht="26.25">
      <c r="B1" s="711" t="s">
        <v>956</v>
      </c>
      <c r="C1" s="4"/>
      <c r="D1" s="4"/>
      <c r="E1" s="4"/>
      <c r="F1" s="4"/>
      <c r="G1" s="4"/>
      <c r="H1" s="4"/>
      <c r="I1"/>
      <c r="J1"/>
      <c r="K1"/>
      <c r="L1"/>
      <c r="N1" s="5"/>
      <c r="V1" s="5"/>
    </row>
    <row r="2" spans="1:22" ht="27" thickBot="1">
      <c r="B2" s="5"/>
      <c r="C2" s="4"/>
      <c r="D2" s="4"/>
      <c r="E2" s="4"/>
      <c r="F2" s="4"/>
      <c r="G2" s="4"/>
      <c r="H2" s="4"/>
      <c r="I2"/>
      <c r="J2"/>
      <c r="K2"/>
      <c r="L2"/>
      <c r="N2" s="5"/>
      <c r="V2" s="5"/>
    </row>
    <row r="3" spans="1:22" ht="18.75">
      <c r="A3" s="786" t="s">
        <v>785</v>
      </c>
      <c r="B3" s="786"/>
      <c r="C3" s="786"/>
      <c r="D3" s="786"/>
      <c r="E3" s="786"/>
      <c r="F3" s="786"/>
      <c r="G3" s="786"/>
      <c r="H3" s="786"/>
      <c r="I3" s="786"/>
      <c r="J3" s="786"/>
      <c r="K3" s="786"/>
      <c r="L3" s="786"/>
    </row>
    <row r="4" spans="1:22" ht="18.75">
      <c r="A4" s="834"/>
      <c r="B4" s="834"/>
      <c r="C4" s="834"/>
      <c r="D4" s="834"/>
      <c r="E4" s="834"/>
      <c r="F4" s="834"/>
      <c r="G4" s="834"/>
      <c r="H4" s="834"/>
      <c r="I4" s="834"/>
      <c r="J4" s="834"/>
      <c r="K4" s="834"/>
      <c r="L4" s="834"/>
    </row>
    <row r="5" spans="1:22" s="73" customFormat="1">
      <c r="B5" s="201" t="s">
        <v>352</v>
      </c>
      <c r="D5" s="201"/>
      <c r="E5" s="201"/>
      <c r="F5" s="201" t="s">
        <v>66</v>
      </c>
      <c r="J5" s="201" t="s">
        <v>353</v>
      </c>
    </row>
    <row r="6" spans="1:22" s="73" customFormat="1">
      <c r="A6" s="76"/>
      <c r="B6" s="530" t="s">
        <v>786</v>
      </c>
      <c r="C6" s="612">
        <f>'OSNOVNI PODATKI'!H11</f>
        <v>2</v>
      </c>
      <c r="D6" s="530" t="str">
        <f>IF(C6=1,'OSNOVNI PODATKI'!B11,'OSNOVNI PODATKI'!B12)</f>
        <v>ENA STAVBA ALI VEČ RAZLIČNIH STAVB (PRI IZRAČUNU POTREBNIH NU SE VSAKA STAVBA IZRAČUNAVA LOČENO)</v>
      </c>
      <c r="E6" s="489"/>
      <c r="F6" s="489"/>
      <c r="G6" s="202"/>
      <c r="H6" s="202"/>
      <c r="I6" s="202"/>
    </row>
    <row r="7" spans="1:22" s="73" customFormat="1">
      <c r="A7" s="76"/>
      <c r="B7" s="530" t="s">
        <v>787</v>
      </c>
      <c r="C7" s="612">
        <f>'OSNOVNI PODATKI'!E308</f>
        <v>0</v>
      </c>
      <c r="D7" s="530"/>
      <c r="E7" s="489"/>
      <c r="F7" s="489"/>
      <c r="G7" s="202"/>
      <c r="H7" s="202"/>
      <c r="I7" s="202"/>
    </row>
    <row r="8" spans="1:22" s="73" customFormat="1">
      <c r="A8" s="76"/>
      <c r="B8" s="634" t="s">
        <v>794</v>
      </c>
      <c r="D8" s="203"/>
      <c r="E8" s="203"/>
    </row>
    <row r="9" spans="1:22" s="73" customFormat="1">
      <c r="A9" s="76"/>
      <c r="B9" s="203" t="str">
        <f>'OSNOVNI PODATKI'!A15</f>
        <v>STAVBA 1 / DEL 1</v>
      </c>
      <c r="C9" s="533">
        <f>'OSNOVNI PODATKI'!E15</f>
        <v>0</v>
      </c>
      <c r="D9" s="203"/>
      <c r="E9" s="203"/>
    </row>
    <row r="10" spans="1:22" s="73" customFormat="1">
      <c r="A10" s="76"/>
      <c r="B10" s="198" t="s">
        <v>617</v>
      </c>
      <c r="C10" s="81" t="str">
        <f>'OSNOVNI PODATKI'!E16</f>
        <v>5. Nepodkletene eno in dvostanovanjske stavbe, nižji standard</v>
      </c>
      <c r="D10" s="489"/>
      <c r="E10" s="489"/>
      <c r="I10" s="489"/>
    </row>
    <row r="11" spans="1:22" s="73" customFormat="1">
      <c r="A11" s="76"/>
      <c r="B11" s="198" t="s">
        <v>788</v>
      </c>
      <c r="C11" s="81">
        <f>'OSNOVNI PODATKI'!E17</f>
        <v>0</v>
      </c>
      <c r="D11" s="489"/>
      <c r="E11" s="489"/>
      <c r="F11" s="489"/>
      <c r="G11" s="489"/>
      <c r="H11" s="489"/>
      <c r="I11" s="489"/>
    </row>
    <row r="12" spans="1:22" s="73" customFormat="1">
      <c r="A12" s="76"/>
      <c r="B12" s="198" t="s">
        <v>789</v>
      </c>
      <c r="C12" s="81">
        <f>IF($C$6=1,$C$7,C11)</f>
        <v>0</v>
      </c>
      <c r="D12" s="489"/>
      <c r="E12" s="489"/>
      <c r="I12" s="489"/>
    </row>
    <row r="13" spans="1:22" s="73" customFormat="1">
      <c r="A13" s="76"/>
      <c r="B13" s="530" t="s">
        <v>729</v>
      </c>
      <c r="C13" s="529">
        <f>'OSNOVNI PODATKI'!E27</f>
        <v>-105.40000000000009</v>
      </c>
      <c r="D13" s="489"/>
      <c r="E13" s="489"/>
      <c r="F13" s="530"/>
      <c r="G13" s="571"/>
      <c r="I13" s="489"/>
      <c r="J13" s="530"/>
      <c r="K13" s="571"/>
    </row>
    <row r="14" spans="1:22" s="73" customFormat="1">
      <c r="A14" s="76"/>
      <c r="B14" s="198" t="s">
        <v>100</v>
      </c>
      <c r="C14" s="81" t="str">
        <f>'OSNOVNI PODATKI'!E24</f>
        <v>Cenovni razred III</v>
      </c>
      <c r="D14" s="489"/>
      <c r="E14" s="489"/>
      <c r="F14" s="198" t="s">
        <v>100</v>
      </c>
      <c r="G14" s="81" t="str">
        <f>'OSNOVNI PODATKI'!E25</f>
        <v>Cenovni razred II</v>
      </c>
      <c r="H14" s="489"/>
      <c r="I14" s="489"/>
      <c r="J14" s="198" t="s">
        <v>100</v>
      </c>
      <c r="K14" s="81" t="str">
        <f>'OSNOVNI PODATKI'!E26</f>
        <v>Cenovni razred III</v>
      </c>
      <c r="L14" s="489"/>
    </row>
    <row r="15" spans="1:22" s="73" customFormat="1">
      <c r="A15" s="76"/>
      <c r="B15" s="522" t="s">
        <v>70</v>
      </c>
      <c r="C15" s="523">
        <f>IFERROR(0.0122*POWER(IF((C22+C23+C24)&lt;25%*C21,C12*(1000+C13),(C21-37.5%*C21+50%)*C12*(1000+C13)),0.5823)/C12,0)</f>
        <v>0</v>
      </c>
      <c r="D15" s="524" t="s">
        <v>722</v>
      </c>
      <c r="E15" s="203"/>
      <c r="F15" s="522" t="s">
        <v>70</v>
      </c>
      <c r="G15" s="523">
        <f>IFERROR(POWER(C21*C12*(1000+C13),0.6571)*0.0061/C12,0)</f>
        <v>0</v>
      </c>
      <c r="H15" s="524" t="s">
        <v>722</v>
      </c>
      <c r="J15" s="522" t="s">
        <v>70</v>
      </c>
      <c r="K15" s="523">
        <f>IFERROR((-6*POWER(10,-13)*POWER(95%*C12*(1000+C13),2)+4*POWER(10,-5)*95%*C12*(1000+C13)+21.161)/C12,0)</f>
        <v>0</v>
      </c>
      <c r="L15" s="524" t="s">
        <v>722</v>
      </c>
    </row>
    <row r="16" spans="1:22" s="73" customFormat="1">
      <c r="A16" s="76"/>
      <c r="B16" s="525" t="s">
        <v>71</v>
      </c>
      <c r="C16" s="526">
        <f>IFERROR(0.0138*POWER(IF((C22+C23+C24)&lt;25%*C21,C12*(1000+C13),(C21-37.5%*C21+50%)*C12*(1000+C13)),0.5835)/C12,0)</f>
        <v>0</v>
      </c>
      <c r="D16" s="488" t="s">
        <v>722</v>
      </c>
      <c r="E16" s="203"/>
      <c r="F16" s="525" t="s">
        <v>71</v>
      </c>
      <c r="G16" s="526">
        <f>IFERROR(POWER(C21*C12*(1000+C13),0.6566)*0.0071/C12,0)</f>
        <v>0</v>
      </c>
      <c r="H16" s="488" t="s">
        <v>722</v>
      </c>
      <c r="J16" s="525" t="s">
        <v>71</v>
      </c>
      <c r="K16" s="526">
        <f>IFERROR((-8*POWER(10,-13)*POWER(95%*C12*(1000+C13),2)+5*POWER(10,-5)*95%*C12*(1000+C13)+27.291)/C12,0)</f>
        <v>0</v>
      </c>
      <c r="L16" s="488" t="s">
        <v>722</v>
      </c>
    </row>
    <row r="17" spans="1:12" s="73" customFormat="1">
      <c r="A17" s="76"/>
      <c r="B17" s="525" t="s">
        <v>72</v>
      </c>
      <c r="C17" s="526">
        <f>IFERROR(0.0168*POWER(IF((C22+C23+C24)&lt;25%*C21,C12*(1000+C13),(C21-37.5%*C21+50%)*C12*(1000+C13)),0.5814)/C12,0)</f>
        <v>0</v>
      </c>
      <c r="D17" s="488" t="s">
        <v>722</v>
      </c>
      <c r="E17" s="203"/>
      <c r="F17" s="525" t="s">
        <v>72</v>
      </c>
      <c r="G17" s="526">
        <f>IFERROR(POWER(C21*C12*(1000+C13),0.6558)*0.0082/C12,0)</f>
        <v>0</v>
      </c>
      <c r="H17" s="488" t="s">
        <v>722</v>
      </c>
      <c r="J17" s="525" t="s">
        <v>72</v>
      </c>
      <c r="K17" s="526">
        <f>IFERROR((-1*POWER(10,-12)*POWER(95%*C12*(1000+C13),2)+6*POWER(10,-5)*95%*C12*(1000+C13)+33.622)/C12,0)</f>
        <v>0</v>
      </c>
      <c r="L17" s="488" t="s">
        <v>722</v>
      </c>
    </row>
    <row r="18" spans="1:12" s="73" customFormat="1">
      <c r="A18" s="76"/>
      <c r="B18" s="525" t="s">
        <v>73</v>
      </c>
      <c r="C18" s="526">
        <f>IFERROR(0.0201*POWER(IF((C22+C23+C24)&lt;25%*C21,C12*(1000+C13),(C21-37.5%*C21+50%)*C12*(1000+C13)),0.5829)/C12,0)</f>
        <v>0</v>
      </c>
      <c r="D18" s="488" t="s">
        <v>722</v>
      </c>
      <c r="E18" s="203"/>
      <c r="F18" s="525" t="s">
        <v>73</v>
      </c>
      <c r="G18" s="526">
        <f>IFERROR(POWER(C21*C12*(1000+C13),0.6561)*0.0094/C12,0)</f>
        <v>0</v>
      </c>
      <c r="H18" s="488" t="s">
        <v>722</v>
      </c>
      <c r="J18" s="525" t="s">
        <v>73</v>
      </c>
      <c r="K18" s="526">
        <f>IFERROR((-2*POWER(10,-12)*POWER(95%*C12*(1000+C13),2)+7*POWER(10,-5)*95%*C12*(1000+C13)+40.067)/C12,0)</f>
        <v>0</v>
      </c>
      <c r="L18" s="488" t="s">
        <v>722</v>
      </c>
    </row>
    <row r="19" spans="1:12" s="73" customFormat="1">
      <c r="A19" s="76"/>
      <c r="B19" s="525" t="s">
        <v>74</v>
      </c>
      <c r="C19" s="526">
        <f>IFERROR(0.0226*POWER(IF((C22+C23+C24)&lt;25%*C21,C12*(1000+C13),(C21-37.5%*C21+50%)*C12*(1000+C13)),0.5831)/C12,0)</f>
        <v>0</v>
      </c>
      <c r="D19" s="488" t="s">
        <v>722</v>
      </c>
      <c r="E19" s="203"/>
      <c r="F19" s="525"/>
      <c r="G19" s="526"/>
      <c r="H19" s="488"/>
      <c r="J19" s="525" t="s">
        <v>74</v>
      </c>
      <c r="K19" s="526">
        <f>IFERROR((-1*POWER(10,-12)*POWER(95%*C12*(1000+C13),2)+8*POWER(10,-5)*95%*C12*(1000+C13)+46.41)/C12,0)</f>
        <v>0</v>
      </c>
      <c r="L19" s="488" t="s">
        <v>722</v>
      </c>
    </row>
    <row r="20" spans="1:12" s="73" customFormat="1">
      <c r="A20" s="76"/>
      <c r="B20" s="525" t="s">
        <v>760</v>
      </c>
      <c r="C20" s="526">
        <f>IFERROR(0.0245*POWER(IF((C22+C23+C24)&lt;25%*C21,C12*(1000+C13),(C21-37.5%*C21+50%)*C12*(1000+C13)),0.5828)/C12,0)</f>
        <v>0</v>
      </c>
      <c r="D20" s="488" t="s">
        <v>722</v>
      </c>
      <c r="E20" s="203"/>
      <c r="F20" s="525"/>
      <c r="G20" s="526"/>
      <c r="H20" s="488"/>
      <c r="J20" s="525" t="s">
        <v>760</v>
      </c>
      <c r="K20" s="526">
        <f>IFERROR((-2*POWER(10,-12)*POWER(95%*C12*(1000+C13),2)+9*POWER(10,-5)*95%*C12*(1000+C13)+52.93)/C12,0)</f>
        <v>0</v>
      </c>
      <c r="L20" s="488" t="s">
        <v>722</v>
      </c>
    </row>
    <row r="21" spans="1:12" s="73" customFormat="1">
      <c r="A21" s="76"/>
      <c r="B21" s="525" t="str">
        <f>'OSNOVNI PODATKI'!B59</f>
        <v>GRADBENO OBRTNIŠKA DELA (GO)</v>
      </c>
      <c r="C21" s="625">
        <f>'OSNOVNI PODATKI'!D33</f>
        <v>0.81699999999999995</v>
      </c>
      <c r="D21" s="623"/>
      <c r="E21" s="628">
        <f>C21*$C$12*(1000+$C$13)</f>
        <v>0</v>
      </c>
      <c r="F21" s="203"/>
      <c r="J21" s="627"/>
      <c r="L21" s="621"/>
    </row>
    <row r="22" spans="1:12" s="73" customFormat="1">
      <c r="A22" s="76"/>
      <c r="B22" s="525" t="str">
        <f>'OSNOVNI PODATKI'!B60</f>
        <v>ELEKTRIČNE INŠTALACIJE (EI)</v>
      </c>
      <c r="C22" s="625">
        <f>'OSNOVNI PODATKI'!D34</f>
        <v>3.4554399999999999E-2</v>
      </c>
      <c r="D22" s="623"/>
      <c r="E22" s="628">
        <f t="shared" ref="E22:E24" si="0">C22*$C$12*(1000+$C$13)</f>
        <v>0</v>
      </c>
      <c r="F22" s="203"/>
      <c r="K22" s="628"/>
      <c r="L22" s="621"/>
    </row>
    <row r="23" spans="1:12" s="73" customFormat="1">
      <c r="A23" s="76"/>
      <c r="B23" s="525" t="str">
        <f>'OSNOVNI PODATKI'!B61</f>
        <v>STROJNE INŠTALACIJE (SI)</v>
      </c>
      <c r="C23" s="625">
        <f>'OSNOVNI PODATKI'!D35</f>
        <v>0.14823000000000003</v>
      </c>
      <c r="D23" s="623"/>
      <c r="E23" s="628">
        <f t="shared" si="0"/>
        <v>0</v>
      </c>
      <c r="F23" s="203"/>
      <c r="J23" s="627"/>
      <c r="K23" s="628"/>
      <c r="L23" s="621"/>
    </row>
    <row r="24" spans="1:12" s="73" customFormat="1">
      <c r="A24" s="76"/>
      <c r="B24" s="525" t="str">
        <f>'OSNOVNI PODATKI'!B62</f>
        <v>TEHNOLOGIJA (TH)</v>
      </c>
      <c r="C24" s="625">
        <f>'OSNOVNI PODATKI'!D36</f>
        <v>0</v>
      </c>
      <c r="D24" s="623"/>
      <c r="E24" s="628">
        <f t="shared" si="0"/>
        <v>0</v>
      </c>
      <c r="F24" s="203"/>
      <c r="J24" s="525"/>
      <c r="K24" s="620"/>
      <c r="L24" s="621"/>
    </row>
    <row r="25" spans="1:12" s="73" customFormat="1">
      <c r="A25" s="76"/>
      <c r="C25" s="629"/>
      <c r="D25" s="489"/>
      <c r="E25" s="630"/>
      <c r="F25" s="489"/>
      <c r="G25" s="489"/>
      <c r="H25" s="489"/>
      <c r="I25" s="489"/>
    </row>
    <row r="26" spans="1:12" s="73" customFormat="1" ht="14.25">
      <c r="B26" s="81" t="s">
        <v>730</v>
      </c>
      <c r="C26" s="507">
        <f>IFERROR(LOOKUP(C14,B15:C20),0)</f>
        <v>0</v>
      </c>
      <c r="D26" s="378" t="s">
        <v>721</v>
      </c>
      <c r="E26" s="489"/>
      <c r="F26" s="81" t="s">
        <v>730</v>
      </c>
      <c r="G26" s="507">
        <f>IFERROR(LOOKUP(G14,F15:G18),0)</f>
        <v>0</v>
      </c>
      <c r="H26" s="378" t="s">
        <v>721</v>
      </c>
      <c r="I26" s="489"/>
      <c r="J26" s="81" t="s">
        <v>730</v>
      </c>
      <c r="K26" s="507">
        <f>IFERROR(LOOKUP(K14,J15:K20),0)</f>
        <v>0</v>
      </c>
      <c r="L26" s="378" t="s">
        <v>721</v>
      </c>
    </row>
    <row r="27" spans="1:12" s="73" customFormat="1" ht="14.25">
      <c r="B27" s="81" t="s">
        <v>731</v>
      </c>
      <c r="C27" s="507" cm="1">
        <f t="array" ref="C27">IFERROR(INDEX(C15:C20,MATCH(C14,B15:B20)+1),0)</f>
        <v>0</v>
      </c>
      <c r="D27" s="378" t="s">
        <v>721</v>
      </c>
      <c r="E27" s="489"/>
      <c r="F27" s="81" t="s">
        <v>731</v>
      </c>
      <c r="G27" s="507" cm="1">
        <f t="array" ref="G27">IFERROR(INDEX(G15:G18,MATCH(G14,F15:F18)+1),0)</f>
        <v>0</v>
      </c>
      <c r="H27" s="378" t="s">
        <v>721</v>
      </c>
      <c r="I27" s="489"/>
      <c r="J27" s="81" t="s">
        <v>731</v>
      </c>
      <c r="K27" s="507" cm="1">
        <f t="array" ref="K27">IFERROR(INDEX(K15:K20,MATCH(K14,J15:J20)+1),0)</f>
        <v>0</v>
      </c>
      <c r="L27" s="378" t="s">
        <v>721</v>
      </c>
    </row>
    <row r="28" spans="1:12" s="73" customFormat="1">
      <c r="B28" s="81" t="s">
        <v>618</v>
      </c>
      <c r="C28" s="531">
        <f>IFERROR(C26*$C11,0)</f>
        <v>0</v>
      </c>
      <c r="D28" s="378" t="s">
        <v>723</v>
      </c>
      <c r="E28" s="489"/>
      <c r="F28" s="81" t="s">
        <v>618</v>
      </c>
      <c r="G28" s="531">
        <f>IFERROR(G26*$C11,0)</f>
        <v>0</v>
      </c>
      <c r="H28" s="378" t="s">
        <v>723</v>
      </c>
      <c r="I28" s="489"/>
      <c r="J28" s="81" t="s">
        <v>618</v>
      </c>
      <c r="K28" s="531">
        <f>IFERROR(K26*$C11,0)</f>
        <v>0</v>
      </c>
      <c r="L28" s="378" t="s">
        <v>723</v>
      </c>
    </row>
    <row r="29" spans="1:12" s="73" customFormat="1">
      <c r="B29" s="81" t="s">
        <v>619</v>
      </c>
      <c r="C29" s="531">
        <f>IFERROR(C27*$C11,0)</f>
        <v>0</v>
      </c>
      <c r="D29" s="378" t="s">
        <v>723</v>
      </c>
      <c r="E29" s="489"/>
      <c r="F29" s="81" t="s">
        <v>619</v>
      </c>
      <c r="G29" s="531">
        <f>IFERROR(G27*$C11,0)</f>
        <v>0</v>
      </c>
      <c r="H29" s="378" t="s">
        <v>723</v>
      </c>
      <c r="I29" s="489"/>
      <c r="J29" s="81" t="s">
        <v>619</v>
      </c>
      <c r="K29" s="531">
        <f>IFERROR(K27*$C11,0)</f>
        <v>0</v>
      </c>
      <c r="L29" s="378" t="s">
        <v>723</v>
      </c>
    </row>
    <row r="30" spans="1:12" s="73" customFormat="1">
      <c r="A30" s="76"/>
      <c r="C30" s="291"/>
      <c r="D30" s="203"/>
      <c r="E30" s="203"/>
    </row>
    <row r="31" spans="1:12" s="73" customFormat="1">
      <c r="A31" s="76"/>
      <c r="B31" s="203" t="str">
        <f>'OSNOVNI PODATKI'!A41</f>
        <v>STAVBA 2 / DEL 2</v>
      </c>
      <c r="C31" s="533">
        <f>'OSNOVNI PODATKI'!E41</f>
        <v>0</v>
      </c>
      <c r="D31" s="203"/>
      <c r="E31" s="203"/>
    </row>
    <row r="32" spans="1:12" s="73" customFormat="1">
      <c r="A32" s="76"/>
      <c r="B32" s="198" t="s">
        <v>617</v>
      </c>
      <c r="C32" s="81" t="str">
        <f>'OSNOVNI PODATKI'!E42</f>
        <v>6. Nepodkletene eno in dvostanovanjske stavbe, srednji standard</v>
      </c>
      <c r="D32" s="489"/>
      <c r="E32" s="489"/>
      <c r="I32" s="489"/>
    </row>
    <row r="33" spans="1:12" s="73" customFormat="1">
      <c r="A33" s="76"/>
      <c r="B33" s="198" t="s">
        <v>788</v>
      </c>
      <c r="C33" s="81">
        <f>'OSNOVNI PODATKI'!E43</f>
        <v>0</v>
      </c>
      <c r="D33" s="489"/>
      <c r="E33" s="489"/>
      <c r="F33" s="489"/>
      <c r="G33" s="489"/>
      <c r="H33" s="489"/>
      <c r="I33" s="489"/>
    </row>
    <row r="34" spans="1:12" s="73" customFormat="1">
      <c r="A34" s="76"/>
      <c r="B34" s="198" t="s">
        <v>789</v>
      </c>
      <c r="C34" s="81">
        <f>IF($C$6=1,$C$7,C33)</f>
        <v>0</v>
      </c>
      <c r="D34" s="489"/>
      <c r="E34" s="489"/>
      <c r="I34" s="489"/>
    </row>
    <row r="35" spans="1:12" s="73" customFormat="1">
      <c r="A35" s="76"/>
      <c r="B35" s="530" t="s">
        <v>729</v>
      </c>
      <c r="C35" s="529">
        <f>'OSNOVNI PODATKI'!E53</f>
        <v>230.59999999999991</v>
      </c>
      <c r="D35" s="489"/>
      <c r="E35" s="489"/>
      <c r="F35" s="530"/>
      <c r="G35" s="571"/>
      <c r="I35" s="489"/>
      <c r="J35" s="530"/>
      <c r="K35" s="571"/>
    </row>
    <row r="36" spans="1:12" s="73" customFormat="1">
      <c r="A36" s="76"/>
      <c r="B36" s="198" t="s">
        <v>100</v>
      </c>
      <c r="C36" s="81" t="str">
        <f>'OSNOVNI PODATKI'!E50</f>
        <v>Cenovni razred III</v>
      </c>
      <c r="D36" s="489"/>
      <c r="E36" s="489"/>
      <c r="F36" s="198" t="s">
        <v>100</v>
      </c>
      <c r="G36" s="81" t="str">
        <f>'OSNOVNI PODATKI'!E51</f>
        <v>Cenovni razred II</v>
      </c>
      <c r="I36" s="489"/>
      <c r="J36" s="198" t="s">
        <v>100</v>
      </c>
      <c r="K36" s="81" t="str">
        <f>'OSNOVNI PODATKI'!E52</f>
        <v>Cenovni razred III</v>
      </c>
    </row>
    <row r="37" spans="1:12" s="73" customFormat="1">
      <c r="A37" s="76"/>
      <c r="B37" s="522" t="s">
        <v>70</v>
      </c>
      <c r="C37" s="523">
        <f>IFERROR(0.0122*POWER(IF((C44+C45+C46)&lt;25%*C43,C34*(1000+C35),(C43-37.5%*C43+50%)*C34*(1000+C35)),0.5823)/C34,0)</f>
        <v>0</v>
      </c>
      <c r="D37" s="524" t="s">
        <v>722</v>
      </c>
      <c r="E37" s="203"/>
      <c r="F37" s="522" t="s">
        <v>70</v>
      </c>
      <c r="G37" s="523">
        <f>IFERROR(POWER(C43*C34*(1000+C35),0.6571)*0.0061/C34,0)</f>
        <v>0</v>
      </c>
      <c r="H37" s="524" t="s">
        <v>722</v>
      </c>
      <c r="J37" s="522" t="s">
        <v>70</v>
      </c>
      <c r="K37" s="523">
        <f>IFERROR((-6*POWER(10,-13)*POWER(95%*C34*(1000+C35),2)+4*POWER(10,-5)*95%*C34*(1000+C35)+21.161)/C34,0)</f>
        <v>0</v>
      </c>
      <c r="L37" s="524" t="s">
        <v>722</v>
      </c>
    </row>
    <row r="38" spans="1:12" s="73" customFormat="1">
      <c r="A38" s="76"/>
      <c r="B38" s="525" t="s">
        <v>71</v>
      </c>
      <c r="C38" s="526">
        <f>IFERROR(0.0138*POWER(IF((C44+C45+C46)&lt;25%*C43,C34*(1000+C35),(C43-37.5%*C43+50%)*C34*(1000+C35)),0.5835)/C34,0)</f>
        <v>0</v>
      </c>
      <c r="D38" s="488" t="s">
        <v>722</v>
      </c>
      <c r="E38" s="203"/>
      <c r="F38" s="525" t="s">
        <v>71</v>
      </c>
      <c r="G38" s="526">
        <f>IFERROR(POWER(C43*C34*(1000+C35),0.6566)*0.0071/C34,0)</f>
        <v>0</v>
      </c>
      <c r="H38" s="488" t="s">
        <v>722</v>
      </c>
      <c r="J38" s="525" t="s">
        <v>71</v>
      </c>
      <c r="K38" s="526">
        <f>IFERROR((-8*POWER(10,-13)*POWER(95%*C34*(1000+C35),2)+5*POWER(10,-5)*95%*C34*(1000+C35)+27.291)/C34,0)</f>
        <v>0</v>
      </c>
      <c r="L38" s="488" t="s">
        <v>722</v>
      </c>
    </row>
    <row r="39" spans="1:12" s="73" customFormat="1">
      <c r="A39" s="76"/>
      <c r="B39" s="525" t="s">
        <v>72</v>
      </c>
      <c r="C39" s="526">
        <f>IFERROR(0.0168*POWER(IF((C44+C45+C46)&lt;25%*C43,C34*(1000+C35),(C43-37.5%*C43+50%)*C34*(1000+C35)),0.5814)/C34,0)</f>
        <v>0</v>
      </c>
      <c r="D39" s="488" t="s">
        <v>722</v>
      </c>
      <c r="E39" s="203"/>
      <c r="F39" s="525" t="s">
        <v>72</v>
      </c>
      <c r="G39" s="526">
        <f>IFERROR(POWER(C43*C34*(1000+C35),0.6558)*0.0082/C34,0)</f>
        <v>0</v>
      </c>
      <c r="H39" s="488" t="s">
        <v>722</v>
      </c>
      <c r="J39" s="525" t="s">
        <v>72</v>
      </c>
      <c r="K39" s="526">
        <f>IFERROR((-1*POWER(10,-12)*POWER(95%*C34*(1000+C35),2)+6*POWER(10,-5)*95%*C34*(1000+C35)+33.622)/C34,0)</f>
        <v>0</v>
      </c>
      <c r="L39" s="488" t="s">
        <v>722</v>
      </c>
    </row>
    <row r="40" spans="1:12" s="73" customFormat="1">
      <c r="A40" s="76"/>
      <c r="B40" s="525" t="s">
        <v>73</v>
      </c>
      <c r="C40" s="526">
        <f>IFERROR(0.0201*POWER(IF((C44+C45+C46)&lt;25%*C43,C34*(1000+C35),(C43-37.5%*C43+50%)*C34*(1000+C35)),0.5829)/C34,0)</f>
        <v>0</v>
      </c>
      <c r="D40" s="488" t="s">
        <v>722</v>
      </c>
      <c r="E40" s="203"/>
      <c r="F40" s="525" t="s">
        <v>73</v>
      </c>
      <c r="G40" s="526">
        <f>IFERROR(POWER(C43*C34*(1000+C35),0.6561)*0.0094/C34,0)</f>
        <v>0</v>
      </c>
      <c r="H40" s="488" t="s">
        <v>722</v>
      </c>
      <c r="J40" s="525" t="s">
        <v>73</v>
      </c>
      <c r="K40" s="526">
        <f>IFERROR((-2*POWER(10,-12)*POWER(95%*C34*(1000+C35),2)+7*POWER(10,-5)*95%*C34*(1000+C35)+40.067)/C34,0)</f>
        <v>0</v>
      </c>
      <c r="L40" s="488" t="s">
        <v>722</v>
      </c>
    </row>
    <row r="41" spans="1:12" s="73" customFormat="1">
      <c r="A41" s="76"/>
      <c r="B41" s="525" t="s">
        <v>74</v>
      </c>
      <c r="C41" s="526">
        <f>IFERROR(0.0226*POWER(IF((C44+C45+C46)&lt;25%*C43,C34*(1000+C35),(C43-37.5%*C43+50%)*C34*(1000+C35)),0.5831)/C34,0)</f>
        <v>0</v>
      </c>
      <c r="D41" s="488" t="s">
        <v>722</v>
      </c>
      <c r="E41" s="203"/>
      <c r="F41" s="525"/>
      <c r="G41" s="526"/>
      <c r="H41" s="488"/>
      <c r="J41" s="525" t="s">
        <v>74</v>
      </c>
      <c r="K41" s="526">
        <f>IFERROR((-1*POWER(10,-12)*POWER(95%*C34*(1000+C35),2)+8*POWER(10,-5)*95%*C34*(1000+C35)+46.41)/C34,0)</f>
        <v>0</v>
      </c>
      <c r="L41" s="488" t="s">
        <v>722</v>
      </c>
    </row>
    <row r="42" spans="1:12" s="73" customFormat="1">
      <c r="A42" s="76"/>
      <c r="B42" s="525" t="s">
        <v>760</v>
      </c>
      <c r="C42" s="526">
        <f>IFERROR(0.0245*POWER(IF((C44+C45+C46)&lt;25%*C43,C34*(1000+C35),(C43-37.5%*C43+50%)*C34*(1000+C35)),0.5828)/C34,0)</f>
        <v>0</v>
      </c>
      <c r="D42" s="488" t="s">
        <v>722</v>
      </c>
      <c r="E42" s="203"/>
      <c r="F42" s="525"/>
      <c r="G42" s="526"/>
      <c r="H42" s="488"/>
      <c r="J42" s="525" t="s">
        <v>760</v>
      </c>
      <c r="K42" s="526">
        <f>IFERROR((-2*POWER(10,-12)*POWER(95%*C34*(1000+C35),2)+9*POWER(10,-5)*95%*C34*(1000+C35)+52.93)/C34,0)</f>
        <v>0</v>
      </c>
      <c r="L42" s="488" t="s">
        <v>722</v>
      </c>
    </row>
    <row r="43" spans="1:12" s="73" customFormat="1">
      <c r="A43" s="76"/>
      <c r="B43" s="525" t="str">
        <f>'OSNOVNI PODATKI'!B59</f>
        <v>GRADBENO OBRTNIŠKA DELA (GO)</v>
      </c>
      <c r="C43" s="625">
        <f>'OSNOVNI PODATKI'!D59</f>
        <v>0.80800000000000005</v>
      </c>
      <c r="D43" s="623"/>
      <c r="E43" s="628">
        <f>C43*$C$34*(1000+$C$35)</f>
        <v>0</v>
      </c>
      <c r="F43" s="203"/>
      <c r="J43" s="627"/>
      <c r="L43" s="621"/>
    </row>
    <row r="44" spans="1:12" s="73" customFormat="1">
      <c r="A44" s="76"/>
      <c r="B44" s="525" t="str">
        <f>'OSNOVNI PODATKI'!B60</f>
        <v>ELEKTRIČNE INŠTALACIJE (EI)</v>
      </c>
      <c r="C44" s="625">
        <f>'OSNOVNI PODATKI'!D60</f>
        <v>4.4544000000000007E-2</v>
      </c>
      <c r="D44" s="623"/>
      <c r="E44" s="628">
        <f t="shared" ref="E44:E46" si="1">C44*$C$12*(1000+$C$13)</f>
        <v>0</v>
      </c>
      <c r="F44" s="203"/>
      <c r="J44" s="628"/>
      <c r="K44" s="628"/>
      <c r="L44" s="621"/>
    </row>
    <row r="45" spans="1:12" s="73" customFormat="1">
      <c r="A45" s="76"/>
      <c r="B45" s="525" t="str">
        <f>'OSNOVNI PODATKI'!B61</f>
        <v>STROJNE INŠTALACIJE (SI)</v>
      </c>
      <c r="C45" s="625">
        <f>'OSNOVNI PODATKI'!D61</f>
        <v>0.14764799999999997</v>
      </c>
      <c r="D45" s="623"/>
      <c r="E45" s="628">
        <f t="shared" si="1"/>
        <v>0</v>
      </c>
      <c r="F45" s="203"/>
      <c r="J45" s="627"/>
      <c r="K45" s="620"/>
      <c r="L45" s="621"/>
    </row>
    <row r="46" spans="1:12" s="73" customFormat="1">
      <c r="A46" s="76"/>
      <c r="B46" s="525" t="str">
        <f>'OSNOVNI PODATKI'!B62</f>
        <v>TEHNOLOGIJA (TH)</v>
      </c>
      <c r="C46" s="625">
        <f>'OSNOVNI PODATKI'!D62</f>
        <v>0</v>
      </c>
      <c r="D46" s="623"/>
      <c r="E46" s="628">
        <f t="shared" si="1"/>
        <v>0</v>
      </c>
      <c r="F46" s="203"/>
      <c r="J46" s="525"/>
      <c r="K46" s="620"/>
      <c r="L46" s="621"/>
    </row>
    <row r="47" spans="1:12" s="73" customFormat="1">
      <c r="A47" s="76"/>
      <c r="C47" s="81"/>
      <c r="D47" s="489"/>
      <c r="E47" s="489"/>
      <c r="F47" s="489"/>
      <c r="G47" s="489"/>
      <c r="H47" s="489"/>
      <c r="I47" s="489"/>
    </row>
    <row r="48" spans="1:12" s="73" customFormat="1" ht="14.25">
      <c r="B48" s="81" t="s">
        <v>730</v>
      </c>
      <c r="C48" s="507">
        <f>IFERROR(LOOKUP(C36,B37:C42),0)</f>
        <v>0</v>
      </c>
      <c r="D48" s="378" t="s">
        <v>721</v>
      </c>
      <c r="E48" s="489"/>
      <c r="F48" s="81" t="s">
        <v>730</v>
      </c>
      <c r="G48" s="507">
        <f>IFERROR(LOOKUP(G36,F37:G40),0)</f>
        <v>0</v>
      </c>
      <c r="H48" s="378" t="s">
        <v>721</v>
      </c>
      <c r="I48" s="489"/>
      <c r="J48" s="81" t="s">
        <v>730</v>
      </c>
      <c r="K48" s="507">
        <f>IFERROR(LOOKUP(K36,J37:K42),0)</f>
        <v>0</v>
      </c>
      <c r="L48" s="378" t="s">
        <v>721</v>
      </c>
    </row>
    <row r="49" spans="1:12" s="73" customFormat="1" ht="14.25">
      <c r="B49" s="81" t="s">
        <v>731</v>
      </c>
      <c r="C49" s="507" cm="1">
        <f t="array" ref="C49">IFERROR(INDEX(C37:C42,MATCH(C36,B37:B42)+1),0)</f>
        <v>0</v>
      </c>
      <c r="D49" s="378" t="s">
        <v>721</v>
      </c>
      <c r="E49" s="489"/>
      <c r="F49" s="81" t="s">
        <v>731</v>
      </c>
      <c r="G49" s="507" cm="1">
        <f t="array" ref="G49">IFERROR(INDEX(G37:G40,MATCH(G36,F37:F40)+1),0)</f>
        <v>0</v>
      </c>
      <c r="H49" s="378" t="s">
        <v>721</v>
      </c>
      <c r="I49" s="489"/>
      <c r="J49" s="81" t="s">
        <v>731</v>
      </c>
      <c r="K49" s="507" cm="1">
        <f t="array" ref="K49">IFERROR(INDEX(K37:K42,MATCH(K36,J37:J42)+1),0)</f>
        <v>0</v>
      </c>
      <c r="L49" s="378" t="s">
        <v>721</v>
      </c>
    </row>
    <row r="50" spans="1:12" s="73" customFormat="1">
      <c r="B50" s="81" t="s">
        <v>618</v>
      </c>
      <c r="C50" s="531">
        <f>IFERROR(C48*$C33,0)</f>
        <v>0</v>
      </c>
      <c r="D50" s="378" t="s">
        <v>723</v>
      </c>
      <c r="E50" s="489"/>
      <c r="F50" s="81" t="s">
        <v>618</v>
      </c>
      <c r="G50" s="531">
        <f>IFERROR(G48*$C33,0)</f>
        <v>0</v>
      </c>
      <c r="H50" s="378" t="s">
        <v>723</v>
      </c>
      <c r="I50" s="489"/>
      <c r="J50" s="81" t="s">
        <v>618</v>
      </c>
      <c r="K50" s="531">
        <f>IFERROR(K48*$C33,0)</f>
        <v>0</v>
      </c>
      <c r="L50" s="378" t="s">
        <v>723</v>
      </c>
    </row>
    <row r="51" spans="1:12" s="73" customFormat="1">
      <c r="B51" s="81" t="s">
        <v>619</v>
      </c>
      <c r="C51" s="531">
        <f>IFERROR(C49*$C33,0)</f>
        <v>0</v>
      </c>
      <c r="D51" s="378" t="s">
        <v>723</v>
      </c>
      <c r="E51" s="489"/>
      <c r="F51" s="81" t="s">
        <v>619</v>
      </c>
      <c r="G51" s="531">
        <f>IFERROR(G49*$C33,0)</f>
        <v>0</v>
      </c>
      <c r="H51" s="378" t="s">
        <v>723</v>
      </c>
      <c r="I51" s="489"/>
      <c r="J51" s="81" t="s">
        <v>619</v>
      </c>
      <c r="K51" s="531">
        <f>IFERROR(K49*$C33,0)</f>
        <v>0</v>
      </c>
      <c r="L51" s="378" t="s">
        <v>723</v>
      </c>
    </row>
    <row r="52" spans="1:12" s="73" customFormat="1">
      <c r="A52" s="76"/>
      <c r="C52" s="203"/>
      <c r="D52" s="203"/>
      <c r="E52" s="203"/>
    </row>
    <row r="53" spans="1:12" s="73" customFormat="1">
      <c r="A53" s="76"/>
      <c r="B53" s="203" t="str">
        <f>'OSNOVNI PODATKI'!A67</f>
        <v>STAVBA 3 / DEL 3</v>
      </c>
      <c r="C53" s="533">
        <f>'OSNOVNI PODATKI'!E67</f>
        <v>0</v>
      </c>
      <c r="D53" s="203"/>
      <c r="E53" s="203"/>
    </row>
    <row r="54" spans="1:12" s="73" customFormat="1">
      <c r="A54" s="76"/>
      <c r="B54" s="198" t="s">
        <v>617</v>
      </c>
      <c r="C54" s="81" t="str">
        <f>'OSNOVNI PODATKI'!E68</f>
        <v>47. Hoteli, moteli</v>
      </c>
      <c r="D54" s="489"/>
      <c r="E54" s="489"/>
      <c r="I54" s="489"/>
    </row>
    <row r="55" spans="1:12" s="73" customFormat="1">
      <c r="A55" s="76"/>
      <c r="B55" s="198" t="s">
        <v>788</v>
      </c>
      <c r="C55" s="81">
        <f>'OSNOVNI PODATKI'!E69</f>
        <v>0</v>
      </c>
      <c r="D55" s="489"/>
      <c r="E55" s="489"/>
      <c r="F55" s="489"/>
      <c r="G55" s="489"/>
      <c r="H55" s="489"/>
      <c r="I55" s="489"/>
    </row>
    <row r="56" spans="1:12" s="73" customFormat="1">
      <c r="A56" s="76"/>
      <c r="B56" s="198" t="s">
        <v>789</v>
      </c>
      <c r="C56" s="81">
        <f>IF($C$6=1,$C$7,C55)</f>
        <v>0</v>
      </c>
      <c r="D56" s="489"/>
      <c r="E56" s="489"/>
      <c r="I56" s="489"/>
    </row>
    <row r="57" spans="1:12" s="73" customFormat="1">
      <c r="A57" s="76"/>
      <c r="B57" s="530" t="s">
        <v>729</v>
      </c>
      <c r="C57" s="529">
        <f>'OSNOVNI PODATKI'!E79</f>
        <v>646.40000000000009</v>
      </c>
      <c r="D57" s="489"/>
      <c r="E57" s="489"/>
      <c r="F57" s="530"/>
      <c r="G57" s="571"/>
      <c r="I57" s="489"/>
      <c r="J57" s="530"/>
      <c r="K57" s="571"/>
    </row>
    <row r="58" spans="1:12" s="73" customFormat="1">
      <c r="A58" s="76"/>
      <c r="B58" s="198" t="s">
        <v>100</v>
      </c>
      <c r="C58" s="81" t="str">
        <f>'OSNOVNI PODATKI'!E76</f>
        <v>Cenovni razred III</v>
      </c>
      <c r="D58" s="489"/>
      <c r="E58" s="489"/>
      <c r="F58" s="198" t="s">
        <v>100</v>
      </c>
      <c r="G58" s="81" t="str">
        <f>'OSNOVNI PODATKI'!E77</f>
        <v>Cenovni razred II</v>
      </c>
      <c r="I58" s="489"/>
      <c r="J58" s="198" t="s">
        <v>100</v>
      </c>
      <c r="K58" s="81" t="str">
        <f>'OSNOVNI PODATKI'!E78</f>
        <v>Cenovni razred III</v>
      </c>
    </row>
    <row r="59" spans="1:12" s="73" customFormat="1">
      <c r="A59" s="76"/>
      <c r="B59" s="522" t="s">
        <v>70</v>
      </c>
      <c r="C59" s="523">
        <f>IFERROR(0.0122*POWER(IF((C66+C67+C68)&lt;25%*C65,C56*(1000+C57),(C65-37.5%*C65+50%)*C56*(1000+C57)),0.5823)/C56,0)</f>
        <v>0</v>
      </c>
      <c r="D59" s="524" t="s">
        <v>722</v>
      </c>
      <c r="E59" s="203"/>
      <c r="F59" s="522" t="s">
        <v>70</v>
      </c>
      <c r="G59" s="523">
        <f>IFERROR(POWER(C65*C56*(1000+C57),0.6571)*0.0061/C56,0)</f>
        <v>0</v>
      </c>
      <c r="H59" s="524" t="s">
        <v>722</v>
      </c>
      <c r="J59" s="522" t="s">
        <v>70</v>
      </c>
      <c r="K59" s="523">
        <f>IFERROR((-6*POWER(10,-13)*POWER(95%*C56*(1000+C57),2)+4*POWER(10,-5)*95%*C56*(1000+C57)+21.161)/C56,0)</f>
        <v>0</v>
      </c>
      <c r="L59" s="524" t="s">
        <v>722</v>
      </c>
    </row>
    <row r="60" spans="1:12" s="73" customFormat="1">
      <c r="A60" s="76"/>
      <c r="B60" s="525" t="s">
        <v>71</v>
      </c>
      <c r="C60" s="526">
        <f>IFERROR(0.0138*POWER(IF((C66+C67+C68)&lt;25%*C65,C56*(1000+C57),(C65-37.5%*C65+50%)*C56*(1000+C57)),0.5835)/C56,0)</f>
        <v>0</v>
      </c>
      <c r="D60" s="488" t="s">
        <v>722</v>
      </c>
      <c r="E60" s="203"/>
      <c r="F60" s="525" t="s">
        <v>71</v>
      </c>
      <c r="G60" s="526">
        <f>IFERROR(POWER(C65*C56*(1000+C57),0.6566)*0.0071/C56,0)</f>
        <v>0</v>
      </c>
      <c r="H60" s="488" t="s">
        <v>722</v>
      </c>
      <c r="J60" s="525" t="s">
        <v>71</v>
      </c>
      <c r="K60" s="526">
        <f>IFERROR((-8*POWER(10,-13)*POWER(95%*C56*(1000+C57),2)+5*POWER(10,-5)*95%*C56*(1000+C57)+27.291)/C56,0)</f>
        <v>0</v>
      </c>
      <c r="L60" s="488" t="s">
        <v>722</v>
      </c>
    </row>
    <row r="61" spans="1:12" s="73" customFormat="1">
      <c r="A61" s="76"/>
      <c r="B61" s="525" t="s">
        <v>72</v>
      </c>
      <c r="C61" s="526">
        <f>IFERROR(0.0168*POWER(IF((C66+C67+C68)&lt;25%*C65,C56*(1000+C57),(C65-37.5%*C65+50%)*C56*(1000+C57)),0.5814)/C56,0)</f>
        <v>0</v>
      </c>
      <c r="D61" s="488" t="s">
        <v>722</v>
      </c>
      <c r="E61" s="203"/>
      <c r="F61" s="525" t="s">
        <v>72</v>
      </c>
      <c r="G61" s="526">
        <f>IFERROR(POWER(C65*C56*(1000+C57),0.6558)*0.0082/C56,0)</f>
        <v>0</v>
      </c>
      <c r="H61" s="488" t="s">
        <v>722</v>
      </c>
      <c r="J61" s="525" t="s">
        <v>72</v>
      </c>
      <c r="K61" s="526">
        <f>IFERROR((-1*POWER(10,-12)*POWER(95%*C56*(1000+C57),2)+6*POWER(10,-5)*95%*C56*(1000+C57)+33.622)/C56,0)</f>
        <v>0</v>
      </c>
      <c r="L61" s="488" t="s">
        <v>722</v>
      </c>
    </row>
    <row r="62" spans="1:12" s="73" customFormat="1">
      <c r="A62" s="76"/>
      <c r="B62" s="525" t="s">
        <v>73</v>
      </c>
      <c r="C62" s="526">
        <f>IFERROR(0.0201*POWER(IF((C66+C67+C68)&lt;25%*C65,C56*(1000+C57),(C65-37.5%*C65+50%)*C56*(1000+C57)),0.5829)/C56,0)</f>
        <v>0</v>
      </c>
      <c r="D62" s="488" t="s">
        <v>722</v>
      </c>
      <c r="E62" s="203"/>
      <c r="F62" s="525" t="s">
        <v>73</v>
      </c>
      <c r="G62" s="526">
        <f>IFERROR(POWER(C65*C56*(1000+C57),0.6561)*0.0094/C56,0)</f>
        <v>0</v>
      </c>
      <c r="H62" s="488" t="s">
        <v>722</v>
      </c>
      <c r="J62" s="525" t="s">
        <v>73</v>
      </c>
      <c r="K62" s="526">
        <f>IFERROR((-2*POWER(10,-12)*POWER(95%*C56*(1000+C57),2)+7*POWER(10,-5)*95%*C56*(1000+C57)+40.067)/C56,0)</f>
        <v>0</v>
      </c>
      <c r="L62" s="488" t="s">
        <v>722</v>
      </c>
    </row>
    <row r="63" spans="1:12" s="73" customFormat="1">
      <c r="A63" s="76"/>
      <c r="B63" s="525" t="s">
        <v>74</v>
      </c>
      <c r="C63" s="526">
        <f>IFERROR(0.0226*POWER(IF((C66+C67+C68)&lt;25%*C65,C56*(1000+C57),(C65-37.5%*C65+50%)*C56*(1000+C57)),0.5831)/C56,0)</f>
        <v>0</v>
      </c>
      <c r="D63" s="488" t="s">
        <v>722</v>
      </c>
      <c r="E63" s="203"/>
      <c r="F63" s="525"/>
      <c r="G63" s="526"/>
      <c r="H63" s="488"/>
      <c r="J63" s="525" t="s">
        <v>74</v>
      </c>
      <c r="K63" s="526">
        <f>IFERROR((-1*POWER(10,-12)*POWER(95%*C56*(1000+C57),2)+8*POWER(10,-5)*95%*C56*(1000+C57)+46.41)/C56,0)</f>
        <v>0</v>
      </c>
      <c r="L63" s="488" t="s">
        <v>722</v>
      </c>
    </row>
    <row r="64" spans="1:12" s="73" customFormat="1">
      <c r="A64" s="76"/>
      <c r="B64" s="525" t="s">
        <v>760</v>
      </c>
      <c r="C64" s="526">
        <f>IFERROR(0.0245*POWER(IF((C66+C67+C68)&lt;25%*C65,C56*(1000+C57),(C65-37.5%*C65+50%)*C56*(1000+C57)),0.5828)/C56,0)</f>
        <v>0</v>
      </c>
      <c r="D64" s="488" t="s">
        <v>722</v>
      </c>
      <c r="E64" s="203"/>
      <c r="F64" s="525"/>
      <c r="G64" s="526"/>
      <c r="H64" s="488"/>
      <c r="J64" s="525" t="s">
        <v>760</v>
      </c>
      <c r="K64" s="526">
        <f>IFERROR((-2*POWER(10,-12)*POWER(95%*C56*(1000+C57),2)+9*POWER(10,-5)*95%*C56*(1000+C57)+52.93)/C56,0)</f>
        <v>0</v>
      </c>
      <c r="L64" s="488" t="s">
        <v>722</v>
      </c>
    </row>
    <row r="65" spans="1:12" s="73" customFormat="1">
      <c r="A65" s="76"/>
      <c r="B65" s="525" t="str">
        <f>'OSNOVNI PODATKI'!B85</f>
        <v>GRADBENO OBRTNIŠKA DELA (GO)</v>
      </c>
      <c r="C65" s="625">
        <f>'OSNOVNI PODATKI'!D85</f>
        <v>0.70399999999999996</v>
      </c>
      <c r="D65" s="623"/>
      <c r="E65" s="628">
        <f>C65*$C$12*(1000+$C$13)</f>
        <v>0</v>
      </c>
      <c r="F65" s="203"/>
      <c r="J65" s="627"/>
      <c r="L65" s="621"/>
    </row>
    <row r="66" spans="1:12" s="73" customFormat="1">
      <c r="A66" s="76"/>
      <c r="B66" s="525" t="str">
        <f>'OSNOVNI PODATKI'!B86</f>
        <v>ELEKTRIČNE INŠTALACIJE (EI)</v>
      </c>
      <c r="C66" s="625">
        <f>'OSNOVNI PODATKI'!D86</f>
        <v>0.13506720000000003</v>
      </c>
      <c r="D66" s="623"/>
      <c r="E66" s="628">
        <f t="shared" ref="E66:E68" si="2">C66*$C$12*(1000+$C$13)</f>
        <v>0</v>
      </c>
      <c r="F66" s="203"/>
      <c r="J66" s="628"/>
      <c r="K66" s="628"/>
      <c r="L66" s="621"/>
    </row>
    <row r="67" spans="1:12" s="73" customFormat="1">
      <c r="A67" s="76"/>
      <c r="B67" s="525" t="str">
        <f>'OSNOVNI PODATKI'!B87</f>
        <v>STROJNE INŠTALACIJE (SI)</v>
      </c>
      <c r="C67" s="625">
        <f>'OSNOVNI PODATKI'!D87</f>
        <v>0.118992</v>
      </c>
      <c r="D67" s="623"/>
      <c r="E67" s="628">
        <f t="shared" si="2"/>
        <v>0</v>
      </c>
      <c r="F67" s="203"/>
      <c r="J67" s="627"/>
      <c r="K67" s="620"/>
      <c r="L67" s="621"/>
    </row>
    <row r="68" spans="1:12" s="73" customFormat="1">
      <c r="A68" s="76"/>
      <c r="B68" s="525" t="str">
        <f>'OSNOVNI PODATKI'!B88</f>
        <v>TEHNOLOGIJA (TH)</v>
      </c>
      <c r="C68" s="625">
        <f>'OSNOVNI PODATKI'!D88</f>
        <v>4.1736000000000002E-2</v>
      </c>
      <c r="D68" s="623"/>
      <c r="E68" s="628">
        <f t="shared" si="2"/>
        <v>0</v>
      </c>
      <c r="F68" s="203"/>
      <c r="J68" s="525"/>
      <c r="K68" s="620"/>
      <c r="L68" s="621"/>
    </row>
    <row r="69" spans="1:12" s="73" customFormat="1">
      <c r="A69" s="76"/>
      <c r="C69" s="81"/>
      <c r="D69" s="489"/>
      <c r="E69" s="489"/>
      <c r="F69" s="489"/>
      <c r="G69" s="489"/>
      <c r="H69" s="489"/>
      <c r="I69" s="489"/>
    </row>
    <row r="70" spans="1:12" s="73" customFormat="1" ht="14.25">
      <c r="B70" s="81" t="s">
        <v>730</v>
      </c>
      <c r="C70" s="507">
        <f>IFERROR(LOOKUP(C58,B59:C64),0)</f>
        <v>0</v>
      </c>
      <c r="D70" s="378" t="s">
        <v>721</v>
      </c>
      <c r="E70" s="489"/>
      <c r="F70" s="81" t="s">
        <v>730</v>
      </c>
      <c r="G70" s="507">
        <f>IFERROR(LOOKUP(G58,F59:G62),0)</f>
        <v>0</v>
      </c>
      <c r="H70" s="378" t="s">
        <v>721</v>
      </c>
      <c r="I70" s="489"/>
      <c r="J70" s="81" t="s">
        <v>730</v>
      </c>
      <c r="K70" s="507">
        <f>IFERROR(LOOKUP(K58,J59:K64),0)</f>
        <v>0</v>
      </c>
      <c r="L70" s="378" t="s">
        <v>721</v>
      </c>
    </row>
    <row r="71" spans="1:12" s="73" customFormat="1" ht="14.25">
      <c r="B71" s="81" t="s">
        <v>731</v>
      </c>
      <c r="C71" s="507" cm="1">
        <f t="array" ref="C71">IFERROR(INDEX(C59:C64,MATCH(C58,B59:B64)+1),0)</f>
        <v>0</v>
      </c>
      <c r="D71" s="378" t="s">
        <v>721</v>
      </c>
      <c r="E71" s="489"/>
      <c r="F71" s="81" t="s">
        <v>731</v>
      </c>
      <c r="G71" s="507" cm="1">
        <f t="array" ref="G71">IFERROR(INDEX(G59:G62,MATCH(G58,F59:F62)+1),0)</f>
        <v>0</v>
      </c>
      <c r="H71" s="378" t="s">
        <v>721</v>
      </c>
      <c r="I71" s="489"/>
      <c r="J71" s="81" t="s">
        <v>731</v>
      </c>
      <c r="K71" s="507" cm="1">
        <f t="array" ref="K71">IFERROR(INDEX(K59:K64,MATCH(K58,J59:J64)+1),0)</f>
        <v>0</v>
      </c>
      <c r="L71" s="378" t="s">
        <v>721</v>
      </c>
    </row>
    <row r="72" spans="1:12" s="73" customFormat="1">
      <c r="B72" s="81" t="s">
        <v>618</v>
      </c>
      <c r="C72" s="531">
        <f>IFERROR(C70*$C55,0)</f>
        <v>0</v>
      </c>
      <c r="D72" s="378" t="s">
        <v>723</v>
      </c>
      <c r="E72" s="489"/>
      <c r="F72" s="81" t="s">
        <v>618</v>
      </c>
      <c r="G72" s="531">
        <f>IFERROR(G70*$C55,0)</f>
        <v>0</v>
      </c>
      <c r="H72" s="378" t="s">
        <v>723</v>
      </c>
      <c r="I72" s="489"/>
      <c r="J72" s="81" t="s">
        <v>618</v>
      </c>
      <c r="K72" s="531">
        <f>IFERROR(K70*$C55,0)</f>
        <v>0</v>
      </c>
      <c r="L72" s="378" t="s">
        <v>723</v>
      </c>
    </row>
    <row r="73" spans="1:12" s="73" customFormat="1">
      <c r="B73" s="81" t="s">
        <v>619</v>
      </c>
      <c r="C73" s="531">
        <f>IFERROR(C71*$C55,0)</f>
        <v>0</v>
      </c>
      <c r="D73" s="378" t="s">
        <v>723</v>
      </c>
      <c r="E73" s="489"/>
      <c r="F73" s="81" t="s">
        <v>619</v>
      </c>
      <c r="G73" s="531">
        <f>IFERROR(G71*$C55,0)</f>
        <v>0</v>
      </c>
      <c r="H73" s="378" t="s">
        <v>723</v>
      </c>
      <c r="I73" s="489"/>
      <c r="J73" s="81" t="s">
        <v>619</v>
      </c>
      <c r="K73" s="531">
        <f>IFERROR(K71*$C55,0)</f>
        <v>0</v>
      </c>
      <c r="L73" s="378" t="s">
        <v>723</v>
      </c>
    </row>
    <row r="74" spans="1:12" s="73" customFormat="1">
      <c r="A74" s="76"/>
      <c r="C74" s="203"/>
      <c r="D74" s="203"/>
      <c r="E74" s="203"/>
    </row>
    <row r="75" spans="1:12" s="73" customFormat="1">
      <c r="A75" s="76"/>
      <c r="B75" s="203" t="str">
        <f>'OSNOVNI PODATKI'!A93</f>
        <v>STAVBA 4 / DEL 4</v>
      </c>
      <c r="C75" s="533">
        <f>'OSNOVNI PODATKI'!E93</f>
        <v>0</v>
      </c>
      <c r="D75" s="203"/>
      <c r="E75" s="203"/>
    </row>
    <row r="76" spans="1:12" s="73" customFormat="1">
      <c r="A76" s="76"/>
      <c r="B76" s="198" t="s">
        <v>617</v>
      </c>
      <c r="C76" s="81" t="str">
        <f>'OSNOVNI PODATKI'!E94</f>
        <v>17. Šole z nadpovprečnimi načrtovalskimi potrebami - izobraževalni centri, visoke šole, univerze, akademije</v>
      </c>
      <c r="D76" s="489"/>
      <c r="E76" s="489"/>
      <c r="I76" s="489"/>
    </row>
    <row r="77" spans="1:12" s="73" customFormat="1">
      <c r="A77" s="76"/>
      <c r="B77" s="198" t="s">
        <v>788</v>
      </c>
      <c r="C77" s="81">
        <f>'OSNOVNI PODATKI'!E95</f>
        <v>0</v>
      </c>
      <c r="D77" s="489"/>
      <c r="E77" s="489"/>
      <c r="F77" s="489"/>
      <c r="G77" s="489"/>
      <c r="H77" s="489"/>
      <c r="I77" s="489"/>
    </row>
    <row r="78" spans="1:12" s="73" customFormat="1">
      <c r="A78" s="76"/>
      <c r="B78" s="198" t="s">
        <v>789</v>
      </c>
      <c r="C78" s="81">
        <f>IF($C$6=1,$C$7,C77)</f>
        <v>0</v>
      </c>
      <c r="D78" s="489"/>
      <c r="E78" s="489"/>
      <c r="I78" s="489"/>
    </row>
    <row r="79" spans="1:12" s="73" customFormat="1">
      <c r="A79" s="76"/>
      <c r="B79" s="530" t="s">
        <v>729</v>
      </c>
      <c r="C79" s="529">
        <f>'OSNOVNI PODATKI'!E105</f>
        <v>785</v>
      </c>
      <c r="D79" s="489"/>
      <c r="E79" s="489"/>
      <c r="F79" s="530"/>
      <c r="G79" s="571"/>
      <c r="I79" s="489"/>
      <c r="J79" s="530"/>
      <c r="K79" s="571"/>
    </row>
    <row r="80" spans="1:12" s="73" customFormat="1">
      <c r="A80" s="76"/>
      <c r="B80" s="198" t="s">
        <v>100</v>
      </c>
      <c r="C80" s="81" t="str">
        <f>'OSNOVNI PODATKI'!E102</f>
        <v>Cenovni razred III</v>
      </c>
      <c r="D80" s="489"/>
      <c r="E80" s="489"/>
      <c r="F80" s="198" t="s">
        <v>100</v>
      </c>
      <c r="G80" s="81" t="str">
        <f>'OSNOVNI PODATKI'!E103</f>
        <v>Cenovni razred II</v>
      </c>
      <c r="I80" s="489"/>
      <c r="J80" s="198" t="s">
        <v>100</v>
      </c>
      <c r="K80" s="81" t="str">
        <f>'OSNOVNI PODATKI'!E104</f>
        <v>Cenovni razred III</v>
      </c>
    </row>
    <row r="81" spans="1:12" s="73" customFormat="1">
      <c r="A81" s="76"/>
      <c r="B81" s="522" t="s">
        <v>70</v>
      </c>
      <c r="C81" s="523">
        <f>IFERROR(0.0122*POWER(IF((C88+C89+C90)&lt;25%*C87,C78*(1000+C79),(C87-37.5%*C87+50%)*C78*(1000+C79)),0.5823)/C78,0)</f>
        <v>0</v>
      </c>
      <c r="D81" s="524" t="s">
        <v>722</v>
      </c>
      <c r="E81" s="203"/>
      <c r="F81" s="522" t="s">
        <v>70</v>
      </c>
      <c r="G81" s="523">
        <f>IFERROR(POWER(C87*C78*(1000+C79),0.6571)*0.0061/C78,0)</f>
        <v>0</v>
      </c>
      <c r="H81" s="524" t="s">
        <v>722</v>
      </c>
      <c r="J81" s="522" t="s">
        <v>70</v>
      </c>
      <c r="K81" s="523">
        <f>IFERROR((-6*POWER(10,-13)*POWER(95%*C78*(1000+C79),2)+4*POWER(10,-5)*95%*C78*(1000+C79)+21.161)/C78,0)</f>
        <v>0</v>
      </c>
      <c r="L81" s="524" t="s">
        <v>722</v>
      </c>
    </row>
    <row r="82" spans="1:12" s="73" customFormat="1">
      <c r="A82" s="76"/>
      <c r="B82" s="525" t="s">
        <v>71</v>
      </c>
      <c r="C82" s="526">
        <f>IFERROR(0.0138*POWER(IF((C88+C89+C90)&lt;25%*C87,C78*(1000+C79),(C87-37.5%*C87+50%)*C78*(1000+C79)),0.5835)/C78,0)</f>
        <v>0</v>
      </c>
      <c r="D82" s="488" t="s">
        <v>722</v>
      </c>
      <c r="E82" s="203"/>
      <c r="F82" s="525" t="s">
        <v>71</v>
      </c>
      <c r="G82" s="526">
        <f>IFERROR(POWER(C87*C78*(1000+C79),0.6566)*0.0071/C78,0)</f>
        <v>0</v>
      </c>
      <c r="H82" s="488" t="s">
        <v>722</v>
      </c>
      <c r="J82" s="525" t="s">
        <v>71</v>
      </c>
      <c r="K82" s="526">
        <f>IFERROR((-8*POWER(10,-13)*POWER(95%*C78*(1000+C79),2)+5*POWER(10,-5)*95%*C78*(1000+C79)+27.291)/C78,0)</f>
        <v>0</v>
      </c>
      <c r="L82" s="488" t="s">
        <v>722</v>
      </c>
    </row>
    <row r="83" spans="1:12" s="73" customFormat="1">
      <c r="A83" s="76"/>
      <c r="B83" s="525" t="s">
        <v>72</v>
      </c>
      <c r="C83" s="526">
        <f>IFERROR(0.0168*POWER(IF((C88+C89+C90)&lt;25%*C87,C78*(1000+C79),(C87-37.5%*C87+50%)*C78*(1000+C79)),0.5814)/C78,0)</f>
        <v>0</v>
      </c>
      <c r="D83" s="488" t="s">
        <v>722</v>
      </c>
      <c r="E83" s="203"/>
      <c r="F83" s="525" t="s">
        <v>72</v>
      </c>
      <c r="G83" s="526">
        <f>IFERROR(POWER(C87*C78*(1000+C79),0.6558)*0.0082/C78,0)</f>
        <v>0</v>
      </c>
      <c r="H83" s="488" t="s">
        <v>722</v>
      </c>
      <c r="J83" s="525" t="s">
        <v>72</v>
      </c>
      <c r="K83" s="526">
        <f>IFERROR((-1*POWER(10,-12)*POWER(95%*C78*(1000+C79),2)+6*POWER(10,-5)*95%*C78*(1000+C79)+33.622)/C78,0)</f>
        <v>0</v>
      </c>
      <c r="L83" s="488" t="s">
        <v>722</v>
      </c>
    </row>
    <row r="84" spans="1:12" s="73" customFormat="1">
      <c r="A84" s="76"/>
      <c r="B84" s="525" t="s">
        <v>73</v>
      </c>
      <c r="C84" s="526">
        <f>IFERROR(0.0201*POWER(IF((C88+C89+C90)&lt;25%*C87,C78*(1000+C79),(C87-37.5%*C87+50%)*C78*(1000+C79)),0.5829)/C78,0)</f>
        <v>0</v>
      </c>
      <c r="D84" s="488" t="s">
        <v>722</v>
      </c>
      <c r="E84" s="203"/>
      <c r="F84" s="525" t="s">
        <v>73</v>
      </c>
      <c r="G84" s="526">
        <f>IFERROR(POWER(C87*C78*(1000+C79),0.6561)*0.0094/C78,0)</f>
        <v>0</v>
      </c>
      <c r="H84" s="488" t="s">
        <v>722</v>
      </c>
      <c r="J84" s="525" t="s">
        <v>73</v>
      </c>
      <c r="K84" s="526">
        <f>IFERROR((-2*POWER(10,-12)*POWER(95%*C78*(1000+C79),2)+7*POWER(10,-5)*95%*C78*(1000+C79)+40.067)/C78,0)</f>
        <v>0</v>
      </c>
      <c r="L84" s="488" t="s">
        <v>722</v>
      </c>
    </row>
    <row r="85" spans="1:12" s="73" customFormat="1">
      <c r="A85" s="76"/>
      <c r="B85" s="525" t="s">
        <v>74</v>
      </c>
      <c r="C85" s="526">
        <f>IFERROR(0.0226*POWER(IF((C88+C89+C90)&lt;25%*C87,C78*(1000+C79),(C87-37.5%*C87+50%)*C78*(1000+C79)),0.5831)/C78,0)</f>
        <v>0</v>
      </c>
      <c r="D85" s="488" t="s">
        <v>722</v>
      </c>
      <c r="E85" s="203"/>
      <c r="F85" s="525"/>
      <c r="G85" s="526"/>
      <c r="H85" s="488"/>
      <c r="J85" s="525" t="s">
        <v>74</v>
      </c>
      <c r="K85" s="526">
        <f>IFERROR((-1*POWER(10,-12)*POWER(95%*C78*(1000+C79),2)+8*POWER(10,-5)*95%*C78*(1000+C79)+46.41)/C78,0)</f>
        <v>0</v>
      </c>
      <c r="L85" s="488" t="s">
        <v>722</v>
      </c>
    </row>
    <row r="86" spans="1:12" s="73" customFormat="1">
      <c r="A86" s="76"/>
      <c r="B86" s="525" t="s">
        <v>760</v>
      </c>
      <c r="C86" s="526">
        <f>IFERROR(0.0245*POWER(IF((C88+C89+C90)&lt;25%*C87,C78*(1000+C79),(C87-37.5%*C87+50%)*C78*(1000+C79)),0.5828)/C78,0)</f>
        <v>0</v>
      </c>
      <c r="D86" s="488" t="s">
        <v>722</v>
      </c>
      <c r="E86" s="203"/>
      <c r="F86" s="525"/>
      <c r="G86" s="526"/>
      <c r="H86" s="488"/>
      <c r="J86" s="525" t="s">
        <v>760</v>
      </c>
      <c r="K86" s="526">
        <f>IFERROR((-2*POWER(10,-12)*POWER(95%*C78*(1000+C79),2)+9*POWER(10,-5)*95%*C78*(1000+C79)+52.93)/C78,0)</f>
        <v>0</v>
      </c>
      <c r="L86" s="488" t="s">
        <v>722</v>
      </c>
    </row>
    <row r="87" spans="1:12" s="73" customFormat="1">
      <c r="A87" s="76"/>
      <c r="B87" s="525" t="str">
        <f>'OSNOVNI PODATKI'!B111</f>
        <v>GRADBENO OBRTNIŠKA DELA (GO)</v>
      </c>
      <c r="C87" s="625">
        <f>'OSNOVNI PODATKI'!D111</f>
        <v>0.76200000000000001</v>
      </c>
      <c r="D87" s="623"/>
      <c r="E87" s="628">
        <f>C87*$C$12*(1000+$C$13)</f>
        <v>0</v>
      </c>
      <c r="F87" s="203"/>
      <c r="J87" s="627"/>
      <c r="L87" s="621"/>
    </row>
    <row r="88" spans="1:12" s="73" customFormat="1">
      <c r="A88" s="76"/>
      <c r="B88" s="525" t="str">
        <f>'OSNOVNI PODATKI'!B112</f>
        <v>ELEKTRIČNE INŠTALACIJE (EI)</v>
      </c>
      <c r="C88" s="625">
        <f>'OSNOVNI PODATKI'!D112</f>
        <v>7.9730000000000009E-2</v>
      </c>
      <c r="D88" s="623"/>
      <c r="E88" s="628">
        <f t="shared" ref="E88:E90" si="3">C88*$C$12*(1000+$C$13)</f>
        <v>0</v>
      </c>
      <c r="F88" s="203"/>
      <c r="J88" s="628"/>
      <c r="K88" s="628"/>
      <c r="L88" s="621"/>
    </row>
    <row r="89" spans="1:12" s="73" customFormat="1">
      <c r="A89" s="76"/>
      <c r="B89" s="525" t="str">
        <f>'OSNOVNI PODATKI'!B113</f>
        <v>STROJNE INŠTALACIJE (SI)</v>
      </c>
      <c r="C89" s="625">
        <f>'OSNOVNI PODATKI'!D113</f>
        <v>0.11876200000000001</v>
      </c>
      <c r="D89" s="623"/>
      <c r="E89" s="628">
        <f t="shared" si="3"/>
        <v>0</v>
      </c>
      <c r="F89" s="203"/>
      <c r="J89" s="627"/>
      <c r="K89" s="620"/>
      <c r="L89" s="621"/>
    </row>
    <row r="90" spans="1:12" s="73" customFormat="1">
      <c r="A90" s="76"/>
      <c r="B90" s="525" t="str">
        <f>'OSNOVNI PODATKI'!B114</f>
        <v>TEHNOLOGIJA (TH)</v>
      </c>
      <c r="C90" s="625">
        <f>'OSNOVNI PODATKI'!D114</f>
        <v>3.9508000000000008E-2</v>
      </c>
      <c r="D90" s="623"/>
      <c r="E90" s="628">
        <f t="shared" si="3"/>
        <v>0</v>
      </c>
      <c r="F90" s="203"/>
      <c r="J90" s="525"/>
      <c r="K90" s="620"/>
      <c r="L90" s="621"/>
    </row>
    <row r="91" spans="1:12" s="73" customFormat="1">
      <c r="A91" s="76"/>
      <c r="C91" s="81"/>
      <c r="D91" s="489"/>
      <c r="E91" s="489"/>
      <c r="F91" s="489"/>
      <c r="G91" s="489"/>
      <c r="H91" s="489"/>
      <c r="I91" s="489"/>
    </row>
    <row r="92" spans="1:12" s="73" customFormat="1" ht="14.25">
      <c r="B92" s="81" t="s">
        <v>730</v>
      </c>
      <c r="C92" s="507">
        <f>IFERROR(LOOKUP(C80,B81:C86),0)</f>
        <v>0</v>
      </c>
      <c r="D92" s="378" t="s">
        <v>721</v>
      </c>
      <c r="E92" s="489"/>
      <c r="F92" s="81" t="s">
        <v>730</v>
      </c>
      <c r="G92" s="507">
        <f>IFERROR(LOOKUP(G80,F81:G84),0)</f>
        <v>0</v>
      </c>
      <c r="H92" s="378" t="s">
        <v>721</v>
      </c>
      <c r="I92" s="489"/>
      <c r="J92" s="81" t="s">
        <v>730</v>
      </c>
      <c r="K92" s="507">
        <f>IFERROR(LOOKUP(K80,J81:K86),0)</f>
        <v>0</v>
      </c>
      <c r="L92" s="378" t="s">
        <v>721</v>
      </c>
    </row>
    <row r="93" spans="1:12" s="73" customFormat="1" ht="14.25">
      <c r="B93" s="81" t="s">
        <v>731</v>
      </c>
      <c r="C93" s="507" cm="1">
        <f t="array" ref="C93">IFERROR(INDEX(C81:C86,MATCH(C80,B81:B86)+1),0)</f>
        <v>0</v>
      </c>
      <c r="D93" s="378" t="s">
        <v>721</v>
      </c>
      <c r="E93" s="489"/>
      <c r="F93" s="81" t="s">
        <v>731</v>
      </c>
      <c r="G93" s="507" cm="1">
        <f t="array" ref="G93">IFERROR(INDEX(G81:G84,MATCH(G80,F81:F84)+1),0)</f>
        <v>0</v>
      </c>
      <c r="H93" s="378" t="s">
        <v>721</v>
      </c>
      <c r="I93" s="489"/>
      <c r="J93" s="81" t="s">
        <v>731</v>
      </c>
      <c r="K93" s="507" cm="1">
        <f t="array" ref="K93">IFERROR(INDEX(K81:K86,MATCH(K80,J81:J86)+1),0)</f>
        <v>0</v>
      </c>
      <c r="L93" s="378" t="s">
        <v>721</v>
      </c>
    </row>
    <row r="94" spans="1:12" s="73" customFormat="1">
      <c r="B94" s="81" t="s">
        <v>618</v>
      </c>
      <c r="C94" s="531">
        <f>IFERROR(C92*$C77,0)</f>
        <v>0</v>
      </c>
      <c r="D94" s="378" t="s">
        <v>723</v>
      </c>
      <c r="E94" s="489"/>
      <c r="F94" s="81" t="s">
        <v>618</v>
      </c>
      <c r="G94" s="531">
        <f>IFERROR(G92*$C77,0)</f>
        <v>0</v>
      </c>
      <c r="H94" s="378" t="s">
        <v>723</v>
      </c>
      <c r="I94" s="489"/>
      <c r="J94" s="81" t="s">
        <v>618</v>
      </c>
      <c r="K94" s="531">
        <f>IFERROR(K92*$C77,0)</f>
        <v>0</v>
      </c>
      <c r="L94" s="378" t="s">
        <v>723</v>
      </c>
    </row>
    <row r="95" spans="1:12" s="73" customFormat="1">
      <c r="B95" s="81" t="s">
        <v>619</v>
      </c>
      <c r="C95" s="531">
        <f>IFERROR(C93*$C77,0)</f>
        <v>0</v>
      </c>
      <c r="D95" s="378" t="s">
        <v>723</v>
      </c>
      <c r="E95" s="489"/>
      <c r="F95" s="81" t="s">
        <v>619</v>
      </c>
      <c r="G95" s="531">
        <f>IFERROR(G93*$C77,0)</f>
        <v>0</v>
      </c>
      <c r="H95" s="378" t="s">
        <v>723</v>
      </c>
      <c r="I95" s="489"/>
      <c r="J95" s="81" t="s">
        <v>619</v>
      </c>
      <c r="K95" s="531">
        <f>IFERROR(K93*$C77,0)</f>
        <v>0</v>
      </c>
      <c r="L95" s="378" t="s">
        <v>723</v>
      </c>
    </row>
    <row r="96" spans="1:12" s="73" customFormat="1">
      <c r="A96" s="76"/>
      <c r="C96" s="203"/>
      <c r="D96" s="203"/>
      <c r="E96" s="203"/>
    </row>
    <row r="97" spans="1:12" s="73" customFormat="1">
      <c r="A97" s="76"/>
      <c r="B97" s="203" t="str">
        <f>'OSNOVNI PODATKI'!A119</f>
        <v>STAVBA 5 / DEL 5</v>
      </c>
      <c r="C97" s="533">
        <f>'OSNOVNI PODATKI'!E119</f>
        <v>0</v>
      </c>
      <c r="D97" s="203"/>
      <c r="E97" s="203"/>
    </row>
    <row r="98" spans="1:12" s="73" customFormat="1">
      <c r="A98" s="76"/>
      <c r="B98" s="198" t="s">
        <v>617</v>
      </c>
      <c r="C98" s="81" t="str">
        <f>'OSNOVNI PODATKI'!E120</f>
        <v>22. Pisarniške in upravne stavbe, višji standard</v>
      </c>
      <c r="D98" s="489"/>
      <c r="E98" s="489"/>
      <c r="I98" s="489"/>
    </row>
    <row r="99" spans="1:12" s="73" customFormat="1">
      <c r="A99" s="76"/>
      <c r="B99" s="198" t="s">
        <v>788</v>
      </c>
      <c r="C99" s="81">
        <f>'OSNOVNI PODATKI'!E121</f>
        <v>0</v>
      </c>
      <c r="D99" s="489"/>
      <c r="E99" s="489"/>
      <c r="F99" s="489"/>
      <c r="G99" s="489"/>
      <c r="H99" s="489"/>
      <c r="I99" s="489"/>
    </row>
    <row r="100" spans="1:12" s="73" customFormat="1">
      <c r="A100" s="76"/>
      <c r="B100" s="198" t="s">
        <v>789</v>
      </c>
      <c r="C100" s="81">
        <f>IF($C$6=1,$C$7,C99)</f>
        <v>0</v>
      </c>
      <c r="D100" s="489"/>
      <c r="E100" s="489"/>
      <c r="I100" s="489"/>
    </row>
    <row r="101" spans="1:12" s="73" customFormat="1">
      <c r="A101" s="76"/>
      <c r="B101" s="530" t="s">
        <v>729</v>
      </c>
      <c r="C101" s="529">
        <f>'OSNOVNI PODATKI'!E131</f>
        <v>990.8</v>
      </c>
      <c r="D101" s="489"/>
      <c r="E101" s="489"/>
      <c r="F101" s="530"/>
      <c r="G101" s="571"/>
      <c r="I101" s="489"/>
      <c r="J101" s="530"/>
      <c r="K101" s="571"/>
    </row>
    <row r="102" spans="1:12" s="73" customFormat="1">
      <c r="A102" s="76"/>
      <c r="B102" s="198" t="s">
        <v>100</v>
      </c>
      <c r="C102" s="81" t="str">
        <f>'OSNOVNI PODATKI'!E128</f>
        <v>Cenovni razred III</v>
      </c>
      <c r="D102" s="489"/>
      <c r="E102" s="489"/>
      <c r="F102" s="198" t="s">
        <v>100</v>
      </c>
      <c r="G102" s="81" t="str">
        <f>'OSNOVNI PODATKI'!E129</f>
        <v>Cenovni razred II</v>
      </c>
      <c r="I102" s="489"/>
      <c r="J102" s="198" t="s">
        <v>100</v>
      </c>
      <c r="K102" s="81" t="str">
        <f>'OSNOVNI PODATKI'!E130</f>
        <v>Cenovni razred III</v>
      </c>
    </row>
    <row r="103" spans="1:12" s="73" customFormat="1">
      <c r="A103" s="76"/>
      <c r="B103" s="522" t="s">
        <v>70</v>
      </c>
      <c r="C103" s="523">
        <f>IFERROR(0.0122*POWER(IF((C110+C111+C112)&lt;25%*C109,C100*(1000+C101),(C109-37.5%*C109+50%)*C100*(1000+C101)),0.5823)/C100,0)</f>
        <v>0</v>
      </c>
      <c r="D103" s="524" t="s">
        <v>722</v>
      </c>
      <c r="E103" s="203"/>
      <c r="F103" s="522" t="s">
        <v>70</v>
      </c>
      <c r="G103" s="523">
        <f>IFERROR(POWER(C109*C100*(1000+C101),0.6571)*0.0061/C100,0)</f>
        <v>0</v>
      </c>
      <c r="H103" s="524" t="s">
        <v>722</v>
      </c>
      <c r="J103" s="522" t="s">
        <v>70</v>
      </c>
      <c r="K103" s="523">
        <f>IFERROR((-6*POWER(10,-13)*POWER(95%*C100*(1000+C101),2)+4*POWER(10,-5)*95%*C100*(1000+C101)+21.161)/C100,0)</f>
        <v>0</v>
      </c>
      <c r="L103" s="524" t="s">
        <v>722</v>
      </c>
    </row>
    <row r="104" spans="1:12" s="73" customFormat="1">
      <c r="A104" s="76"/>
      <c r="B104" s="525" t="s">
        <v>71</v>
      </c>
      <c r="C104" s="526">
        <f>IFERROR(0.0138*POWER(IF((C110+C111+C112)&lt;25%*C109,C100*(1000+C101),(C109-37.5%*C109+50%)*C100*(1000+C101)),0.5835)/C100,0)</f>
        <v>0</v>
      </c>
      <c r="D104" s="488" t="s">
        <v>722</v>
      </c>
      <c r="E104" s="203"/>
      <c r="F104" s="525" t="s">
        <v>71</v>
      </c>
      <c r="G104" s="526">
        <f>IFERROR(POWER(C109*C100*(1000+C101),0.6566)*0.0071/C100,0)</f>
        <v>0</v>
      </c>
      <c r="H104" s="488" t="s">
        <v>722</v>
      </c>
      <c r="J104" s="525" t="s">
        <v>71</v>
      </c>
      <c r="K104" s="526">
        <f>IFERROR((-8*POWER(10,-13)*POWER(95%*C100*(1000+C101),2)+5*POWER(10,-5)*95%*C100*(1000+C101)+27.291)/C100,0)</f>
        <v>0</v>
      </c>
      <c r="L104" s="488" t="s">
        <v>722</v>
      </c>
    </row>
    <row r="105" spans="1:12" s="73" customFormat="1">
      <c r="A105" s="76"/>
      <c r="B105" s="525" t="s">
        <v>72</v>
      </c>
      <c r="C105" s="526">
        <f>IFERROR(0.0168*POWER(IF((C110+C111+C112)&lt;25%*C109,C100*(1000+C101),(C109-37.5%*C109+50%)*C100*(1000+C101)),0.5814)/C100,0)</f>
        <v>0</v>
      </c>
      <c r="D105" s="488" t="s">
        <v>722</v>
      </c>
      <c r="E105" s="203"/>
      <c r="F105" s="525" t="s">
        <v>72</v>
      </c>
      <c r="G105" s="526">
        <f>IFERROR(POWER(C109*C100*(1000+C101),0.6558)*0.0082/C100,0)</f>
        <v>0</v>
      </c>
      <c r="H105" s="488" t="s">
        <v>722</v>
      </c>
      <c r="J105" s="525" t="s">
        <v>72</v>
      </c>
      <c r="K105" s="526">
        <f>IFERROR((-1*POWER(10,-12)*POWER(95%*C100*(1000+C101),2)+6*POWER(10,-5)*95%*C100*(1000+C101)+33.622)/C100,0)</f>
        <v>0</v>
      </c>
      <c r="L105" s="488" t="s">
        <v>722</v>
      </c>
    </row>
    <row r="106" spans="1:12" s="73" customFormat="1">
      <c r="A106" s="76"/>
      <c r="B106" s="525" t="s">
        <v>73</v>
      </c>
      <c r="C106" s="526">
        <f>IFERROR(0.0201*POWER(IF((C110+C111+C112)&lt;25%*C109,C100*(1000+C101),(C109-37.5%*C109+50%)*C100*(1000+C101)),0.5829)/C100,0)</f>
        <v>0</v>
      </c>
      <c r="D106" s="488" t="s">
        <v>722</v>
      </c>
      <c r="E106" s="203"/>
      <c r="F106" s="525" t="s">
        <v>73</v>
      </c>
      <c r="G106" s="526">
        <f>IFERROR(POWER(C109*C100*(1000+C101),0.6561)*0.0094/C100,0)</f>
        <v>0</v>
      </c>
      <c r="H106" s="488" t="s">
        <v>722</v>
      </c>
      <c r="J106" s="525" t="s">
        <v>73</v>
      </c>
      <c r="K106" s="526">
        <f>IFERROR((-2*POWER(10,-12)*POWER(95%*C100*(1000+C101),2)+7*POWER(10,-5)*95%*C100*(1000+C101)+40.067)/C100,0)</f>
        <v>0</v>
      </c>
      <c r="L106" s="488" t="s">
        <v>722</v>
      </c>
    </row>
    <row r="107" spans="1:12" s="73" customFormat="1">
      <c r="A107" s="76"/>
      <c r="B107" s="525" t="s">
        <v>74</v>
      </c>
      <c r="C107" s="526">
        <f>IFERROR(0.0226*POWER(IF((C110+C111+C112)&lt;25%*C109,C100*(1000+C101),(C109-37.5%*C109+50%)*C100*(1000+C101)),0.5831)/C100,0)</f>
        <v>0</v>
      </c>
      <c r="D107" s="488" t="s">
        <v>722</v>
      </c>
      <c r="E107" s="203"/>
      <c r="F107" s="525"/>
      <c r="G107" s="526"/>
      <c r="H107" s="488"/>
      <c r="J107" s="525" t="s">
        <v>74</v>
      </c>
      <c r="K107" s="526">
        <f>IFERROR((-1*POWER(10,-12)*POWER(95%*C100*(1000+C101),2)+8*POWER(10,-5)*95%*C100*(1000+C101)+46.41)/C100,0)</f>
        <v>0</v>
      </c>
      <c r="L107" s="488" t="s">
        <v>722</v>
      </c>
    </row>
    <row r="108" spans="1:12" s="73" customFormat="1">
      <c r="A108" s="76"/>
      <c r="B108" s="525" t="s">
        <v>760</v>
      </c>
      <c r="C108" s="526">
        <f>IFERROR(0.0245*POWER(IF((C110+C111+C112)&lt;25%*C109,C100*(1000+C101),(C109-37.5%*C109+50%)*C100*(1000+C101)),0.5828)/C100,0)</f>
        <v>0</v>
      </c>
      <c r="D108" s="488" t="s">
        <v>722</v>
      </c>
      <c r="E108" s="203"/>
      <c r="F108" s="525"/>
      <c r="G108" s="526"/>
      <c r="H108" s="488"/>
      <c r="J108" s="525" t="s">
        <v>760</v>
      </c>
      <c r="K108" s="526">
        <f>IFERROR((-2*POWER(10,-12)*POWER(95%*C100*(1000+C101),2)+9*POWER(10,-5)*95%*C100*(1000+C101)+52.93)/C100,0)</f>
        <v>0</v>
      </c>
      <c r="L108" s="488" t="s">
        <v>722</v>
      </c>
    </row>
    <row r="109" spans="1:12" s="73" customFormat="1">
      <c r="A109" s="76"/>
      <c r="B109" s="525" t="str">
        <f>'OSNOVNI PODATKI'!B137</f>
        <v>GRADBENO OBRTNIŠKA DELA (GO)</v>
      </c>
      <c r="C109" s="625">
        <f>'OSNOVNI PODATKI'!D137</f>
        <v>0.73699999999999999</v>
      </c>
      <c r="D109" s="623"/>
      <c r="E109" s="628">
        <f>C109*$C$12*(1000+$C$13)</f>
        <v>0</v>
      </c>
      <c r="F109" s="203"/>
      <c r="J109" s="627"/>
      <c r="L109" s="621"/>
    </row>
    <row r="110" spans="1:12" s="73" customFormat="1">
      <c r="A110" s="76"/>
      <c r="B110" s="525" t="str">
        <f>'OSNOVNI PODATKI'!B133</f>
        <v>INFORMATIVNA OCENA STROŠKOV GRADNJE</v>
      </c>
      <c r="C110" s="625">
        <f>'OSNOVNI PODATKI'!D138</f>
        <v>0.11230100000000003</v>
      </c>
      <c r="D110" s="623"/>
      <c r="E110" s="628">
        <f t="shared" ref="E110:E112" si="4">C110*$C$12*(1000+$C$13)</f>
        <v>0</v>
      </c>
      <c r="F110" s="203"/>
      <c r="J110" s="628"/>
      <c r="K110" s="628"/>
      <c r="L110" s="621"/>
    </row>
    <row r="111" spans="1:12" s="73" customFormat="1">
      <c r="A111" s="76"/>
      <c r="B111" s="525" t="str">
        <f>'OSNOVNI PODATKI'!B134</f>
        <v>INFORMATIVNA VREDNOST STROŠKOV GRADNJE EUR/m2 BTP</v>
      </c>
      <c r="C111" s="625">
        <f>'OSNOVNI PODATKI'!D139</f>
        <v>0.124399</v>
      </c>
      <c r="D111" s="623"/>
      <c r="E111" s="628">
        <f t="shared" si="4"/>
        <v>0</v>
      </c>
      <c r="F111" s="203"/>
      <c r="J111" s="627"/>
      <c r="K111" s="620"/>
      <c r="L111" s="621"/>
    </row>
    <row r="112" spans="1:12" s="73" customFormat="1">
      <c r="A112" s="76"/>
      <c r="B112" s="525" t="str">
        <f>'OSNOVNI PODATKI'!B135</f>
        <v>IZBRANA VREDNOST STROŠKOV GRADNJE EUR/m2 BEP</v>
      </c>
      <c r="C112" s="625">
        <f>'OSNOVNI PODATKI'!D140</f>
        <v>2.6300000000000004E-2</v>
      </c>
      <c r="D112" s="623"/>
      <c r="E112" s="628">
        <f t="shared" si="4"/>
        <v>0</v>
      </c>
      <c r="F112" s="203"/>
      <c r="J112" s="525"/>
      <c r="K112" s="620"/>
      <c r="L112" s="621"/>
    </row>
    <row r="113" spans="1:12" s="73" customFormat="1">
      <c r="A113" s="76"/>
      <c r="C113" s="81"/>
      <c r="D113" s="489"/>
      <c r="E113" s="489"/>
      <c r="F113" s="489"/>
      <c r="G113" s="489"/>
      <c r="H113" s="489"/>
      <c r="I113" s="489"/>
    </row>
    <row r="114" spans="1:12" s="73" customFormat="1" ht="14.25">
      <c r="B114" s="81" t="s">
        <v>730</v>
      </c>
      <c r="C114" s="507">
        <f>IFERROR(LOOKUP(C102,B103:C108),0)</f>
        <v>0</v>
      </c>
      <c r="D114" s="378" t="s">
        <v>721</v>
      </c>
      <c r="E114" s="489"/>
      <c r="F114" s="81" t="s">
        <v>730</v>
      </c>
      <c r="G114" s="507">
        <f>IFERROR(LOOKUP(G102,F103:G106),0)</f>
        <v>0</v>
      </c>
      <c r="H114" s="378" t="s">
        <v>721</v>
      </c>
      <c r="I114" s="489"/>
      <c r="J114" s="81" t="s">
        <v>730</v>
      </c>
      <c r="K114" s="507">
        <f>IFERROR(LOOKUP(K102,J103:K108),0)</f>
        <v>0</v>
      </c>
      <c r="L114" s="378" t="s">
        <v>721</v>
      </c>
    </row>
    <row r="115" spans="1:12" s="73" customFormat="1" ht="14.25">
      <c r="B115" s="81" t="s">
        <v>731</v>
      </c>
      <c r="C115" s="507" cm="1">
        <f t="array" ref="C115">IFERROR(INDEX(C103:C108,MATCH(C102,B103:B108)+1),0)</f>
        <v>0</v>
      </c>
      <c r="D115" s="378" t="s">
        <v>721</v>
      </c>
      <c r="E115" s="489"/>
      <c r="F115" s="81" t="s">
        <v>731</v>
      </c>
      <c r="G115" s="507" cm="1">
        <f t="array" ref="G115">IFERROR(INDEX(G103:G106,MATCH(G102,F103:F106)+1),0)</f>
        <v>0</v>
      </c>
      <c r="H115" s="378" t="s">
        <v>721</v>
      </c>
      <c r="I115" s="489"/>
      <c r="J115" s="81" t="s">
        <v>731</v>
      </c>
      <c r="K115" s="507" cm="1">
        <f t="array" ref="K115">IFERROR(INDEX(K103:K108,MATCH(K102,J103:J108)+1),0)</f>
        <v>0</v>
      </c>
      <c r="L115" s="378" t="s">
        <v>721</v>
      </c>
    </row>
    <row r="116" spans="1:12" s="73" customFormat="1">
      <c r="B116" s="81" t="s">
        <v>618</v>
      </c>
      <c r="C116" s="531">
        <f>IFERROR(C114*$C99,0)</f>
        <v>0</v>
      </c>
      <c r="D116" s="378" t="s">
        <v>723</v>
      </c>
      <c r="E116" s="489"/>
      <c r="F116" s="81" t="s">
        <v>618</v>
      </c>
      <c r="G116" s="531">
        <f>IFERROR(G114*$C99,0)</f>
        <v>0</v>
      </c>
      <c r="H116" s="378" t="s">
        <v>723</v>
      </c>
      <c r="I116" s="489"/>
      <c r="J116" s="81" t="s">
        <v>618</v>
      </c>
      <c r="K116" s="531">
        <f>IFERROR(K114*$C99,0)</f>
        <v>0</v>
      </c>
      <c r="L116" s="378" t="s">
        <v>723</v>
      </c>
    </row>
    <row r="117" spans="1:12" s="73" customFormat="1">
      <c r="B117" s="81" t="s">
        <v>619</v>
      </c>
      <c r="C117" s="531">
        <f>IFERROR(C115*$C99,0)</f>
        <v>0</v>
      </c>
      <c r="D117" s="378" t="s">
        <v>723</v>
      </c>
      <c r="E117" s="489"/>
      <c r="F117" s="81" t="s">
        <v>619</v>
      </c>
      <c r="G117" s="531">
        <f>IFERROR(G115*$C99,0)</f>
        <v>0</v>
      </c>
      <c r="H117" s="378" t="s">
        <v>723</v>
      </c>
      <c r="I117" s="489"/>
      <c r="J117" s="81" t="s">
        <v>619</v>
      </c>
      <c r="K117" s="531">
        <f>IFERROR(K115*$C99,0)</f>
        <v>0</v>
      </c>
      <c r="L117" s="378" t="s">
        <v>723</v>
      </c>
    </row>
    <row r="118" spans="1:12" s="73" customFormat="1">
      <c r="A118" s="76"/>
      <c r="C118" s="203"/>
      <c r="D118" s="203"/>
      <c r="E118" s="203"/>
      <c r="F118" s="203"/>
    </row>
    <row r="120" spans="1:12" ht="14.25">
      <c r="C120" s="7"/>
    </row>
    <row r="121" spans="1:12" ht="14.25">
      <c r="C121" s="7"/>
    </row>
    <row r="122" spans="1:12" ht="14.25">
      <c r="C122" s="7"/>
    </row>
    <row r="123" spans="1:12" ht="14.25">
      <c r="B123" s="7"/>
    </row>
    <row r="125" spans="1:12" s="9" customFormat="1" ht="15" thickBot="1">
      <c r="A125" s="71"/>
      <c r="B125" s="71"/>
      <c r="C125" s="71"/>
      <c r="D125" s="71"/>
      <c r="E125" s="71"/>
      <c r="F125" s="71"/>
      <c r="G125" s="71"/>
    </row>
    <row r="126" spans="1:12" s="9" customFormat="1" ht="18.75">
      <c r="A126" s="786" t="s">
        <v>373</v>
      </c>
      <c r="B126" s="786"/>
      <c r="C126" s="786"/>
      <c r="D126" s="786"/>
      <c r="E126" s="786"/>
      <c r="F126" s="786"/>
      <c r="G126" s="786"/>
      <c r="H126" s="786"/>
    </row>
    <row r="127" spans="1:12" s="73" customFormat="1">
      <c r="A127" s="203"/>
      <c r="B127" s="203"/>
      <c r="C127" s="717"/>
      <c r="D127" s="717"/>
      <c r="E127" s="717"/>
      <c r="F127" s="615"/>
      <c r="G127" s="717"/>
      <c r="H127" s="717"/>
    </row>
    <row r="128" spans="1:12" s="73" customFormat="1">
      <c r="A128" s="203"/>
      <c r="B128" s="81" t="s">
        <v>719</v>
      </c>
      <c r="C128" s="203"/>
      <c r="D128" s="203"/>
      <c r="E128" s="203"/>
      <c r="F128" s="487">
        <f>'OSNOVNI PODATKI'!G369</f>
        <v>0</v>
      </c>
      <c r="G128" s="203"/>
      <c r="H128" s="203"/>
    </row>
    <row r="129" spans="1:10" s="73" customFormat="1">
      <c r="A129" s="203"/>
      <c r="B129" s="81" t="s">
        <v>720</v>
      </c>
      <c r="C129" s="202"/>
      <c r="D129" s="80"/>
      <c r="E129" s="80"/>
      <c r="F129" s="473">
        <f>'ARHIGRAM 6'!I16</f>
        <v>62</v>
      </c>
      <c r="G129" s="202"/>
      <c r="H129" s="202"/>
    </row>
    <row r="130" spans="1:10" s="2" customFormat="1">
      <c r="A130" s="73"/>
      <c r="B130" s="203"/>
      <c r="C130" s="203"/>
      <c r="D130" s="203"/>
      <c r="E130" s="203"/>
      <c r="F130" s="203"/>
      <c r="G130" s="203"/>
    </row>
    <row r="131" spans="1:10" s="73" customFormat="1">
      <c r="B131" s="81" t="str">
        <f>'OSNOVNI PODATKI'!B376</f>
        <v>PRIBITEK ZA PRENOVO</v>
      </c>
      <c r="C131" s="202"/>
      <c r="D131" s="80"/>
      <c r="E131" s="80"/>
      <c r="F131" s="301">
        <f>'OSNOVNI PODATKI'!F376</f>
        <v>0</v>
      </c>
      <c r="G131" s="202"/>
      <c r="H131" s="202"/>
    </row>
    <row r="132" spans="1:10" s="73" customFormat="1">
      <c r="A132" s="203"/>
      <c r="B132" s="81"/>
      <c r="C132" s="202"/>
      <c r="D132" s="80"/>
      <c r="E132" s="80"/>
      <c r="F132" s="635"/>
      <c r="G132" s="202"/>
      <c r="H132" s="489"/>
    </row>
    <row r="133" spans="1:10" s="73" customFormat="1">
      <c r="B133" s="303"/>
      <c r="C133" s="303"/>
      <c r="D133" s="303"/>
      <c r="E133" s="303"/>
      <c r="F133" s="301"/>
      <c r="G133" s="202"/>
      <c r="H133" s="202"/>
    </row>
    <row r="134" spans="1:10" s="73" customFormat="1">
      <c r="B134" s="303"/>
      <c r="C134" s="303"/>
      <c r="D134" s="303"/>
      <c r="E134" s="303"/>
      <c r="F134" s="611"/>
    </row>
    <row r="135" spans="1:10" s="9" customFormat="1" ht="14.25">
      <c r="A135" s="205"/>
      <c r="B135" s="205"/>
      <c r="C135" s="205"/>
      <c r="D135" s="205"/>
      <c r="E135" s="205"/>
      <c r="F135" s="205"/>
      <c r="G135" s="205"/>
      <c r="H135" s="205"/>
    </row>
    <row r="136" spans="1:10" s="9" customFormat="1" ht="38.25">
      <c r="A136" s="102"/>
      <c r="B136" s="103"/>
      <c r="C136" s="103"/>
      <c r="D136" s="103"/>
      <c r="E136" s="104" t="s">
        <v>25</v>
      </c>
      <c r="F136" s="294" t="s">
        <v>379</v>
      </c>
      <c r="G136" s="600" t="s">
        <v>54</v>
      </c>
      <c r="H136" s="105" t="s">
        <v>67</v>
      </c>
      <c r="I136" s="405" t="s">
        <v>757</v>
      </c>
    </row>
    <row r="137" spans="1:10" s="9" customFormat="1" ht="14.25">
      <c r="A137" s="98" t="s">
        <v>26</v>
      </c>
      <c r="B137" s="99" t="s">
        <v>27</v>
      </c>
      <c r="C137" s="99"/>
      <c r="D137" s="99"/>
      <c r="E137" s="100"/>
      <c r="F137" s="100"/>
      <c r="G137" s="607"/>
      <c r="H137" s="101"/>
    </row>
    <row r="138" spans="1:10" s="9" customFormat="1" ht="14.25">
      <c r="A138" s="82" t="s">
        <v>28</v>
      </c>
      <c r="B138" s="94" t="s">
        <v>62</v>
      </c>
      <c r="C138" s="94"/>
      <c r="D138" s="94"/>
      <c r="E138" s="83"/>
      <c r="F138" s="83"/>
      <c r="G138" s="608"/>
      <c r="H138" s="84" t="str">
        <f>IF(J145=TRUE,G138*'VREDNOST NU'!#REF!,"")</f>
        <v/>
      </c>
    </row>
    <row r="139" spans="1:10" ht="14.25">
      <c r="A139" s="107" t="s">
        <v>29</v>
      </c>
      <c r="B139" s="108" t="s">
        <v>63</v>
      </c>
      <c r="C139" s="108"/>
      <c r="D139" s="108"/>
      <c r="E139" s="109"/>
      <c r="F139" s="109"/>
      <c r="G139" s="609"/>
      <c r="H139" s="88" t="str">
        <f>IF(J146=TRUE,G139*'VREDNOST NU'!#REF!,"")</f>
        <v/>
      </c>
      <c r="I139" s="9"/>
    </row>
    <row r="140" spans="1:10">
      <c r="A140" s="106" t="s">
        <v>30</v>
      </c>
      <c r="B140" s="99" t="s">
        <v>31</v>
      </c>
      <c r="C140" s="99"/>
      <c r="D140" s="99"/>
      <c r="E140" s="100">
        <f>SUM(E141:E143)</f>
        <v>0.03</v>
      </c>
      <c r="F140" s="100">
        <f>SUM(F141:F143)</f>
        <v>0.03</v>
      </c>
      <c r="G140" s="607">
        <f>SUM(G141:G143)</f>
        <v>0</v>
      </c>
      <c r="H140" s="101">
        <f>SUM(H141:H143)</f>
        <v>0</v>
      </c>
      <c r="I140" s="122">
        <f>IFERROR(H140/'OSNOVNI PODATKI'!$E$311,0)</f>
        <v>0</v>
      </c>
    </row>
    <row r="141" spans="1:10" s="73" customFormat="1" ht="14.25">
      <c r="A141" s="85" t="s">
        <v>32</v>
      </c>
      <c r="B141" s="93" t="s">
        <v>64</v>
      </c>
      <c r="C141" s="93"/>
      <c r="D141" s="93"/>
      <c r="E141" s="83">
        <v>1.4999999999999999E-2</v>
      </c>
      <c r="F141" s="295">
        <f>E141*(100%+$F$131)</f>
        <v>1.4999999999999999E-2</v>
      </c>
      <c r="G141" s="608">
        <f>ROUND(F141*$F$128,1)</f>
        <v>0</v>
      </c>
      <c r="H141" s="84">
        <f>+G141*$F$129</f>
        <v>0</v>
      </c>
      <c r="I141" s="9"/>
    </row>
    <row r="142" spans="1:10" s="2" customFormat="1" ht="14.25">
      <c r="A142" s="85" t="s">
        <v>33</v>
      </c>
      <c r="B142" s="93" t="s">
        <v>65</v>
      </c>
      <c r="C142" s="93"/>
      <c r="D142" s="93"/>
      <c r="E142" s="83">
        <v>1.4999999999999999E-2</v>
      </c>
      <c r="F142" s="83">
        <f>E142*(100%+$F$131)</f>
        <v>1.4999999999999999E-2</v>
      </c>
      <c r="G142" s="608">
        <f>ROUND(F142*$F$128,1)</f>
        <v>0</v>
      </c>
      <c r="H142" s="84">
        <f t="shared" ref="H142" si="5">+G142*$F$129</f>
        <v>0</v>
      </c>
      <c r="I142" s="9"/>
    </row>
    <row r="143" spans="1:10" s="8" customFormat="1" ht="14.25">
      <c r="A143" s="111" t="s">
        <v>34</v>
      </c>
      <c r="B143" s="112" t="s">
        <v>695</v>
      </c>
      <c r="C143" s="112"/>
      <c r="D143" s="112"/>
      <c r="E143" s="109"/>
      <c r="F143" s="109"/>
      <c r="G143" s="609"/>
      <c r="H143" s="88"/>
      <c r="I143" s="9"/>
      <c r="J143" s="2"/>
    </row>
    <row r="144" spans="1:10" s="9" customFormat="1" ht="14.25">
      <c r="A144" s="110">
        <v>2</v>
      </c>
      <c r="B144" s="99" t="s">
        <v>35</v>
      </c>
      <c r="C144" s="99"/>
      <c r="D144" s="99"/>
      <c r="E144" s="100">
        <f>+E145+E146+E147+E148+E149</f>
        <v>0.92000000000000015</v>
      </c>
      <c r="F144" s="100">
        <f>+F145+F146+F147+F148+F149</f>
        <v>0.92000000000000015</v>
      </c>
      <c r="G144" s="610">
        <f>SUM(G145:G149)</f>
        <v>0</v>
      </c>
      <c r="H144" s="101">
        <f>SUM(H145:H149)</f>
        <v>0</v>
      </c>
      <c r="I144" s="122">
        <f>IFERROR(H144/'OSNOVNI PODATKI'!$E$311,0)</f>
        <v>0</v>
      </c>
      <c r="J144" s="2"/>
    </row>
    <row r="145" spans="1:10" s="9" customFormat="1" ht="14.25">
      <c r="A145" s="85" t="s">
        <v>48</v>
      </c>
      <c r="B145" s="93" t="s">
        <v>78</v>
      </c>
      <c r="C145" s="93"/>
      <c r="D145" s="93"/>
      <c r="E145" s="96">
        <v>0.2</v>
      </c>
      <c r="F145" s="295">
        <f>E145*(100%+$F$131)</f>
        <v>0.2</v>
      </c>
      <c r="G145" s="608">
        <f t="shared" ref="G145:G146" si="6">ROUND(F145*$F$128,1)</f>
        <v>0</v>
      </c>
      <c r="H145" s="84">
        <f t="shared" ref="H145:H148" si="7">+G145*$F$129</f>
        <v>0</v>
      </c>
      <c r="J145" s="2"/>
    </row>
    <row r="146" spans="1:10" s="9" customFormat="1" ht="14.25">
      <c r="A146" s="86" t="s">
        <v>49</v>
      </c>
      <c r="B146" s="97" t="s">
        <v>624</v>
      </c>
      <c r="C146" s="97"/>
      <c r="D146" s="97"/>
      <c r="E146" s="96">
        <v>0.4</v>
      </c>
      <c r="F146" s="96">
        <f>E146*(100%+$F$131)</f>
        <v>0.4</v>
      </c>
      <c r="G146" s="608">
        <f t="shared" si="6"/>
        <v>0</v>
      </c>
      <c r="H146" s="84">
        <f t="shared" si="7"/>
        <v>0</v>
      </c>
      <c r="J146" s="2"/>
    </row>
    <row r="147" spans="1:10" s="9" customFormat="1" ht="14.25">
      <c r="A147" s="86" t="s">
        <v>50</v>
      </c>
      <c r="B147" s="97" t="s">
        <v>699</v>
      </c>
      <c r="C147" s="97"/>
      <c r="D147" s="97"/>
      <c r="E147" s="96"/>
      <c r="F147" s="96"/>
      <c r="G147" s="608"/>
      <c r="H147" s="84"/>
      <c r="J147" s="2"/>
    </row>
    <row r="148" spans="1:10" s="9" customFormat="1" ht="14.25">
      <c r="A148" s="86" t="s">
        <v>79</v>
      </c>
      <c r="B148" s="97" t="s">
        <v>625</v>
      </c>
      <c r="C148" s="97"/>
      <c r="D148" s="97"/>
      <c r="E148" s="96">
        <v>0.32</v>
      </c>
      <c r="F148" s="96">
        <f>E148*(100%+$F$131)</f>
        <v>0.32</v>
      </c>
      <c r="G148" s="608">
        <f>ROUND(F148*$F$128,1)</f>
        <v>0</v>
      </c>
      <c r="H148" s="84">
        <f t="shared" si="7"/>
        <v>0</v>
      </c>
      <c r="J148" s="2"/>
    </row>
    <row r="149" spans="1:10" s="9" customFormat="1" ht="14.25">
      <c r="A149" s="114" t="s">
        <v>80</v>
      </c>
      <c r="B149" s="115" t="s">
        <v>696</v>
      </c>
      <c r="C149" s="115"/>
      <c r="D149" s="115"/>
      <c r="E149" s="116"/>
      <c r="F149" s="116"/>
      <c r="G149" s="609"/>
      <c r="H149" s="88"/>
      <c r="J149" s="2"/>
    </row>
    <row r="150" spans="1:10" s="9" customFormat="1" ht="14.25">
      <c r="A150" s="113" t="s">
        <v>36</v>
      </c>
      <c r="B150" s="99" t="s">
        <v>101</v>
      </c>
      <c r="C150" s="99"/>
      <c r="D150" s="99"/>
      <c r="E150" s="100">
        <f>SUM(E151:E152)</f>
        <v>0</v>
      </c>
      <c r="F150" s="100">
        <f>SUM(F151:F152)</f>
        <v>0</v>
      </c>
      <c r="G150" s="607">
        <f>SUM(G151:G152)</f>
        <v>0</v>
      </c>
      <c r="H150" s="101">
        <f>SUM(H151:H152)</f>
        <v>0</v>
      </c>
      <c r="I150" s="122">
        <f>IFERROR(H150/'OSNOVNI PODATKI'!$E$311,0)</f>
        <v>0</v>
      </c>
      <c r="J150" s="2"/>
    </row>
    <row r="151" spans="1:10" s="9" customFormat="1" ht="14.25">
      <c r="A151" s="86" t="s">
        <v>37</v>
      </c>
      <c r="B151" s="92" t="s">
        <v>697</v>
      </c>
      <c r="C151" s="92"/>
      <c r="D151" s="92"/>
      <c r="E151" s="83"/>
      <c r="F151" s="83"/>
      <c r="G151" s="608"/>
      <c r="H151" s="84"/>
    </row>
    <row r="152" spans="1:10" s="9" customFormat="1" ht="14.25">
      <c r="A152" s="114" t="s">
        <v>38</v>
      </c>
      <c r="B152" s="87" t="s">
        <v>180</v>
      </c>
      <c r="C152" s="87"/>
      <c r="D152" s="87"/>
      <c r="E152" s="109"/>
      <c r="F152" s="109"/>
      <c r="G152" s="609"/>
      <c r="H152" s="88"/>
    </row>
    <row r="153" spans="1:10" s="9" customFormat="1" ht="14.25">
      <c r="A153" s="117">
        <v>4</v>
      </c>
      <c r="B153" s="99" t="s">
        <v>57</v>
      </c>
      <c r="C153" s="99"/>
      <c r="D153" s="99"/>
      <c r="E153" s="100">
        <f>SUM(E154:E158)</f>
        <v>0.05</v>
      </c>
      <c r="F153" s="100">
        <f>SUM(F154:F158)</f>
        <v>0.05</v>
      </c>
      <c r="G153" s="607">
        <f>SUM(G154:G158)</f>
        <v>0</v>
      </c>
      <c r="H153" s="101">
        <f>SUM(H154:H158)</f>
        <v>0</v>
      </c>
      <c r="I153" s="122">
        <f>IFERROR(H153/'OSNOVNI PODATKI'!$E$311,0)</f>
        <v>0</v>
      </c>
    </row>
    <row r="154" spans="1:10" s="9" customFormat="1" ht="14.25">
      <c r="A154" s="86" t="s">
        <v>39</v>
      </c>
      <c r="B154" s="92" t="s">
        <v>181</v>
      </c>
      <c r="C154" s="92"/>
      <c r="D154" s="92"/>
      <c r="E154" s="83"/>
      <c r="F154" s="83"/>
      <c r="G154" s="608"/>
      <c r="H154" s="84"/>
    </row>
    <row r="155" spans="1:10" s="9" customFormat="1" ht="14.25">
      <c r="A155" s="86" t="s">
        <v>40</v>
      </c>
      <c r="B155" s="92" t="s">
        <v>712</v>
      </c>
      <c r="C155" s="92"/>
      <c r="D155" s="92"/>
      <c r="E155" s="83"/>
      <c r="F155" s="83"/>
      <c r="G155" s="608"/>
      <c r="H155" s="84"/>
    </row>
    <row r="156" spans="1:10" s="9" customFormat="1" ht="14.25">
      <c r="A156" s="86" t="s">
        <v>41</v>
      </c>
      <c r="B156" s="92" t="s">
        <v>796</v>
      </c>
      <c r="C156" s="92"/>
      <c r="D156" s="92"/>
      <c r="E156" s="83"/>
      <c r="F156" s="83"/>
      <c r="G156" s="608"/>
      <c r="H156" s="84"/>
    </row>
    <row r="157" spans="1:10" s="9" customFormat="1" ht="14.25">
      <c r="A157" s="86" t="s">
        <v>42</v>
      </c>
      <c r="B157" s="92" t="s">
        <v>713</v>
      </c>
      <c r="C157" s="92"/>
      <c r="D157" s="92"/>
      <c r="E157" s="83"/>
      <c r="F157" s="83"/>
      <c r="G157" s="608"/>
      <c r="H157" s="84"/>
    </row>
    <row r="158" spans="1:10" s="9" customFormat="1" ht="14.25">
      <c r="A158" s="114" t="s">
        <v>43</v>
      </c>
      <c r="B158" s="87" t="s">
        <v>698</v>
      </c>
      <c r="C158" s="87"/>
      <c r="D158" s="87"/>
      <c r="E158" s="109">
        <v>0.05</v>
      </c>
      <c r="F158" s="109">
        <f>E158*(100%+$F$131)</f>
        <v>0.05</v>
      </c>
      <c r="G158" s="609">
        <f>ROUND(F158*$F$128,1)</f>
        <v>0</v>
      </c>
      <c r="H158" s="88">
        <f t="shared" ref="H158" si="8">+G158*$F$129</f>
        <v>0</v>
      </c>
    </row>
    <row r="159" spans="1:10" s="9" customFormat="1" ht="14.25">
      <c r="A159" s="118">
        <v>5</v>
      </c>
      <c r="B159" s="99" t="s">
        <v>44</v>
      </c>
      <c r="C159" s="99"/>
      <c r="D159" s="99"/>
      <c r="E159" s="100">
        <f>SUM(E160:E161)</f>
        <v>0</v>
      </c>
      <c r="F159" s="100">
        <f>SUM(F160:F161)</f>
        <v>0</v>
      </c>
      <c r="G159" s="607">
        <f>SUM(G160:G161)</f>
        <v>0</v>
      </c>
      <c r="H159" s="101">
        <f>SUM(H160:H161)</f>
        <v>0</v>
      </c>
      <c r="I159" s="122">
        <f>IFERROR(H159/'OSNOVNI PODATKI'!$E$311,0)</f>
        <v>0</v>
      </c>
    </row>
    <row r="160" spans="1:10" s="9" customFormat="1" ht="14.25">
      <c r="A160" s="86" t="s">
        <v>45</v>
      </c>
      <c r="B160" s="95" t="s">
        <v>183</v>
      </c>
      <c r="C160" s="95"/>
      <c r="D160" s="95"/>
      <c r="E160" s="83"/>
      <c r="F160" s="83"/>
      <c r="G160" s="608"/>
      <c r="H160" s="84"/>
    </row>
    <row r="161" spans="1:9" s="9" customFormat="1" ht="14.25">
      <c r="A161" s="114" t="s">
        <v>46</v>
      </c>
      <c r="B161" s="120" t="s">
        <v>184</v>
      </c>
      <c r="C161" s="120"/>
      <c r="D161" s="120"/>
      <c r="E161" s="109"/>
      <c r="F161" s="109"/>
      <c r="G161" s="609"/>
      <c r="H161" s="88"/>
    </row>
    <row r="162" spans="1:9" s="9" customFormat="1" ht="14.25">
      <c r="A162" s="119">
        <v>6</v>
      </c>
      <c r="B162" s="99" t="s">
        <v>47</v>
      </c>
      <c r="C162" s="99"/>
      <c r="D162" s="99"/>
      <c r="E162" s="100"/>
      <c r="F162" s="100"/>
      <c r="G162" s="607"/>
      <c r="H162" s="101"/>
    </row>
    <row r="163" spans="1:9" s="9" customFormat="1" ht="14.25">
      <c r="A163" s="86" t="s">
        <v>51</v>
      </c>
      <c r="B163" s="95" t="s">
        <v>185</v>
      </c>
      <c r="C163" s="95"/>
      <c r="D163" s="95"/>
      <c r="E163" s="83"/>
      <c r="F163" s="83"/>
      <c r="G163" s="608"/>
      <c r="H163" s="84"/>
    </row>
    <row r="164" spans="1:9" s="9" customFormat="1" ht="14.25">
      <c r="A164" s="86" t="s">
        <v>52</v>
      </c>
      <c r="B164" s="95" t="s">
        <v>186</v>
      </c>
      <c r="C164" s="95"/>
      <c r="D164" s="95"/>
      <c r="E164" s="83"/>
      <c r="F164" s="83"/>
      <c r="G164" s="608"/>
      <c r="H164" s="84"/>
    </row>
    <row r="165" spans="1:9" s="9" customFormat="1" ht="14.25">
      <c r="A165" s="114" t="s">
        <v>53</v>
      </c>
      <c r="B165" s="120" t="s">
        <v>187</v>
      </c>
      <c r="C165" s="120"/>
      <c r="D165" s="120"/>
      <c r="E165" s="109"/>
      <c r="F165" s="109"/>
      <c r="G165" s="609"/>
      <c r="H165" s="88"/>
    </row>
    <row r="166" spans="1:9" s="9" customFormat="1" ht="14.25">
      <c r="A166" s="89"/>
      <c r="B166" s="90"/>
      <c r="C166" s="90"/>
      <c r="D166" s="90"/>
      <c r="E166" s="91"/>
      <c r="F166" s="91"/>
      <c r="G166" s="604"/>
      <c r="H166" s="90"/>
    </row>
    <row r="167" spans="1:9" s="9" customFormat="1" ht="14.25">
      <c r="A167" s="123"/>
      <c r="B167" s="124" t="s">
        <v>1</v>
      </c>
      <c r="C167" s="124"/>
      <c r="D167" s="124"/>
      <c r="E167" s="125">
        <f>E137+E140+E144+E150+E153+E159+E162</f>
        <v>1.0000000000000002</v>
      </c>
      <c r="F167" s="125">
        <f>F137+F140+F144+F150+F153+F159+F162</f>
        <v>1.0000000000000002</v>
      </c>
      <c r="G167" s="605">
        <f>G137+G140+G144+G150+G153+G159+G162</f>
        <v>0</v>
      </c>
      <c r="H167" s="598">
        <f>H137+H140+H144+H150+H153+H159+H162</f>
        <v>0</v>
      </c>
      <c r="I167" s="122">
        <f>IFERROR(H167/'OSNOVNI PODATKI'!$E$311,0)</f>
        <v>0</v>
      </c>
    </row>
    <row r="168" spans="1:9" s="9" customFormat="1" ht="14.25">
      <c r="A168" s="25"/>
      <c r="B168" s="121"/>
      <c r="E168" s="26"/>
      <c r="G168" s="26"/>
      <c r="H168" s="122"/>
    </row>
    <row r="169" spans="1:9" s="9" customFormat="1" ht="14.25">
      <c r="A169" s="25"/>
      <c r="B169" s="121"/>
      <c r="E169" s="26"/>
      <c r="G169" s="26"/>
      <c r="H169" s="122"/>
    </row>
    <row r="170" spans="1:9" s="9" customFormat="1" ht="14.25"/>
    <row r="171" spans="1:9" s="9" customFormat="1" ht="14.25"/>
    <row r="172" spans="1:9" s="9" customFormat="1" ht="15" thickBot="1"/>
    <row r="173" spans="1:9" s="9" customFormat="1" ht="18.75">
      <c r="A173" s="786" t="s">
        <v>374</v>
      </c>
      <c r="B173" s="786"/>
      <c r="C173" s="786"/>
      <c r="D173" s="786"/>
      <c r="E173" s="786"/>
      <c r="F173" s="786"/>
      <c r="G173" s="786"/>
      <c r="H173" s="786"/>
    </row>
    <row r="174" spans="1:9" s="73" customFormat="1">
      <c r="A174" s="203"/>
      <c r="B174" s="203"/>
      <c r="C174" s="717"/>
      <c r="D174" s="717"/>
      <c r="E174" s="717"/>
      <c r="F174" s="615"/>
      <c r="G174" s="717"/>
      <c r="H174" s="717"/>
    </row>
    <row r="175" spans="1:9" s="73" customFormat="1">
      <c r="A175" s="203"/>
      <c r="B175" s="81" t="s">
        <v>719</v>
      </c>
      <c r="C175" s="203"/>
      <c r="D175" s="203"/>
      <c r="E175" s="203"/>
      <c r="F175" s="487">
        <f>'OSNOVNI PODATKI'!G370</f>
        <v>0</v>
      </c>
      <c r="G175" s="203"/>
      <c r="H175" s="203"/>
    </row>
    <row r="176" spans="1:9" s="73" customFormat="1">
      <c r="A176" s="203"/>
      <c r="B176" s="81" t="s">
        <v>720</v>
      </c>
      <c r="C176" s="202"/>
      <c r="D176" s="80"/>
      <c r="E176" s="80"/>
      <c r="F176" s="473">
        <f>'ARHIGRAM 6'!I16</f>
        <v>62</v>
      </c>
      <c r="G176" s="202"/>
      <c r="H176" s="202"/>
    </row>
    <row r="177" spans="1:9" s="2" customFormat="1">
      <c r="A177" s="73"/>
      <c r="B177" s="203"/>
      <c r="C177" s="203"/>
      <c r="D177" s="203"/>
      <c r="E177" s="203"/>
      <c r="F177" s="203"/>
      <c r="G177" s="203"/>
    </row>
    <row r="178" spans="1:9" s="73" customFormat="1">
      <c r="B178" s="81" t="str">
        <f>'OSNOVNI PODATKI'!B376</f>
        <v>PRIBITEK ZA PRENOVO</v>
      </c>
      <c r="C178" s="202"/>
      <c r="D178" s="80"/>
      <c r="E178" s="80"/>
      <c r="F178" s="301">
        <f>'OSNOVNI PODATKI'!F376</f>
        <v>0</v>
      </c>
      <c r="G178" s="202"/>
      <c r="H178" s="202"/>
    </row>
    <row r="179" spans="1:9" s="73" customFormat="1">
      <c r="A179" s="203"/>
      <c r="B179" s="81"/>
      <c r="C179" s="202"/>
      <c r="D179" s="80"/>
      <c r="E179" s="80"/>
      <c r="F179" s="635"/>
      <c r="G179" s="202"/>
      <c r="H179" s="489"/>
    </row>
    <row r="180" spans="1:9" s="73" customFormat="1">
      <c r="B180" s="303"/>
      <c r="C180" s="303"/>
      <c r="D180" s="303"/>
      <c r="E180" s="303"/>
      <c r="F180" s="202"/>
      <c r="G180" s="202"/>
      <c r="H180" s="202"/>
    </row>
    <row r="181" spans="1:9" s="9" customFormat="1" ht="14.25">
      <c r="A181" s="205"/>
      <c r="B181" s="205"/>
      <c r="C181" s="205"/>
      <c r="D181" s="205"/>
      <c r="E181" s="205"/>
      <c r="F181" s="205"/>
      <c r="G181" s="205"/>
      <c r="H181" s="205"/>
    </row>
    <row r="182" spans="1:9" s="9" customFormat="1" ht="38.25">
      <c r="A182" s="102"/>
      <c r="B182" s="103"/>
      <c r="C182" s="103"/>
      <c r="D182" s="103"/>
      <c r="E182" s="104" t="s">
        <v>25</v>
      </c>
      <c r="F182" s="294" t="s">
        <v>379</v>
      </c>
      <c r="G182" s="600" t="s">
        <v>54</v>
      </c>
      <c r="H182" s="105" t="s">
        <v>67</v>
      </c>
      <c r="I182" s="405" t="s">
        <v>757</v>
      </c>
    </row>
    <row r="183" spans="1:9" s="9" customFormat="1" ht="14.25">
      <c r="A183" s="98" t="s">
        <v>26</v>
      </c>
      <c r="B183" s="99" t="s">
        <v>27</v>
      </c>
      <c r="C183" s="99"/>
      <c r="D183" s="99"/>
      <c r="E183" s="100"/>
      <c r="F183" s="100"/>
      <c r="G183" s="607"/>
      <c r="H183" s="101"/>
    </row>
    <row r="184" spans="1:9" s="9" customFormat="1" ht="14.25">
      <c r="A184" s="82" t="s">
        <v>28</v>
      </c>
      <c r="B184" s="94" t="s">
        <v>62</v>
      </c>
      <c r="C184" s="94"/>
      <c r="D184" s="94"/>
      <c r="E184" s="83"/>
      <c r="F184" s="83"/>
      <c r="G184" s="608"/>
      <c r="H184" s="84" t="str">
        <f>IF(J191=TRUE,G184*'VREDNOST NU'!#REF!,"")</f>
        <v/>
      </c>
    </row>
    <row r="185" spans="1:9" ht="14.25">
      <c r="A185" s="107" t="s">
        <v>29</v>
      </c>
      <c r="B185" s="108" t="s">
        <v>63</v>
      </c>
      <c r="C185" s="108"/>
      <c r="D185" s="108"/>
      <c r="E185" s="109"/>
      <c r="F185" s="109"/>
      <c r="G185" s="609"/>
      <c r="H185" s="88" t="str">
        <f>IF(J192=TRUE,G185*'VREDNOST NU'!#REF!,"")</f>
        <v/>
      </c>
      <c r="I185" s="9"/>
    </row>
    <row r="186" spans="1:9">
      <c r="A186" s="106" t="s">
        <v>30</v>
      </c>
      <c r="B186" s="99" t="s">
        <v>31</v>
      </c>
      <c r="C186" s="99"/>
      <c r="D186" s="99"/>
      <c r="E186" s="100">
        <f>SUM(E187:E189)</f>
        <v>0.03</v>
      </c>
      <c r="F186" s="100">
        <f>SUM(F187:F189)</f>
        <v>0.03</v>
      </c>
      <c r="G186" s="607">
        <f>SUM(G187:G189)</f>
        <v>0</v>
      </c>
      <c r="H186" s="101">
        <f>SUM(H187:H189)</f>
        <v>0</v>
      </c>
      <c r="I186" s="122">
        <f>IFERROR(H186/'OSNOVNI PODATKI'!$E$311,0)</f>
        <v>0</v>
      </c>
    </row>
    <row r="187" spans="1:9" s="73" customFormat="1" ht="14.25">
      <c r="A187" s="85" t="s">
        <v>32</v>
      </c>
      <c r="B187" s="93" t="s">
        <v>64</v>
      </c>
      <c r="C187" s="93"/>
      <c r="D187" s="93"/>
      <c r="E187" s="83">
        <v>1.4999999999999999E-2</v>
      </c>
      <c r="F187" s="295">
        <f>E187*(100%+$F$178)</f>
        <v>1.4999999999999999E-2</v>
      </c>
      <c r="G187" s="608">
        <f>ROUND(F187*$F$175,1)</f>
        <v>0</v>
      </c>
      <c r="H187" s="84">
        <f>+G187*$F$176</f>
        <v>0</v>
      </c>
      <c r="I187" s="9"/>
    </row>
    <row r="188" spans="1:9" s="2" customFormat="1" ht="14.25">
      <c r="A188" s="85" t="s">
        <v>33</v>
      </c>
      <c r="B188" s="93" t="s">
        <v>65</v>
      </c>
      <c r="C188" s="93"/>
      <c r="D188" s="93"/>
      <c r="E188" s="83">
        <v>1.4999999999999999E-2</v>
      </c>
      <c r="F188" s="83">
        <f>E188*(100%+$F$178)</f>
        <v>1.4999999999999999E-2</v>
      </c>
      <c r="G188" s="608">
        <f t="shared" ref="G188:G189" si="9">ROUND(F188*$F$175,1)</f>
        <v>0</v>
      </c>
      <c r="H188" s="84">
        <f t="shared" ref="H188:H189" si="10">+G188*$F$176</f>
        <v>0</v>
      </c>
      <c r="I188" s="9"/>
    </row>
    <row r="189" spans="1:9" s="8" customFormat="1" ht="14.25">
      <c r="A189" s="111" t="s">
        <v>34</v>
      </c>
      <c r="B189" s="112" t="s">
        <v>695</v>
      </c>
      <c r="C189" s="112"/>
      <c r="D189" s="112"/>
      <c r="E189" s="109">
        <v>0</v>
      </c>
      <c r="F189" s="109">
        <f>E189*(100%+$F$178)</f>
        <v>0</v>
      </c>
      <c r="G189" s="609">
        <f t="shared" si="9"/>
        <v>0</v>
      </c>
      <c r="H189" s="88">
        <f t="shared" si="10"/>
        <v>0</v>
      </c>
      <c r="I189" s="9"/>
    </row>
    <row r="190" spans="1:9" s="9" customFormat="1" ht="14.25">
      <c r="A190" s="110">
        <v>2</v>
      </c>
      <c r="B190" s="99" t="s">
        <v>35</v>
      </c>
      <c r="C190" s="99"/>
      <c r="D190" s="99"/>
      <c r="E190" s="100">
        <f>+E191+E192+E193+E194+E195</f>
        <v>0.92000000000000015</v>
      </c>
      <c r="F190" s="100">
        <f>+F191+F192+F193+F194+F195</f>
        <v>0.92000000000000015</v>
      </c>
      <c r="G190" s="610">
        <f>SUM(G191:G195)</f>
        <v>0</v>
      </c>
      <c r="H190" s="101">
        <f>SUM(H191:H195)</f>
        <v>0</v>
      </c>
      <c r="I190" s="122">
        <f>IFERROR(H190/'OSNOVNI PODATKI'!$E$311,0)</f>
        <v>0</v>
      </c>
    </row>
    <row r="191" spans="1:9" s="9" customFormat="1" ht="14.25">
      <c r="A191" s="85" t="s">
        <v>48</v>
      </c>
      <c r="B191" s="93" t="s">
        <v>78</v>
      </c>
      <c r="C191" s="93"/>
      <c r="D191" s="93"/>
      <c r="E191" s="96">
        <v>0.2</v>
      </c>
      <c r="F191" s="295">
        <f>E191*(100%+$F$178)</f>
        <v>0.2</v>
      </c>
      <c r="G191" s="608">
        <f t="shared" ref="G191:G195" si="11">ROUND(F191*$F$175,1)</f>
        <v>0</v>
      </c>
      <c r="H191" s="84">
        <f t="shared" ref="H191:H195" si="12">+G191*$F$176</f>
        <v>0</v>
      </c>
    </row>
    <row r="192" spans="1:9" s="9" customFormat="1" ht="14.25">
      <c r="A192" s="86" t="s">
        <v>49</v>
      </c>
      <c r="B192" s="97" t="s">
        <v>624</v>
      </c>
      <c r="C192" s="97"/>
      <c r="D192" s="97"/>
      <c r="E192" s="96">
        <v>0.4</v>
      </c>
      <c r="F192" s="96">
        <f>E192*(100%+$F$178)</f>
        <v>0.4</v>
      </c>
      <c r="G192" s="608">
        <f t="shared" si="11"/>
        <v>0</v>
      </c>
      <c r="H192" s="84">
        <f t="shared" si="12"/>
        <v>0</v>
      </c>
    </row>
    <row r="193" spans="1:9" s="9" customFormat="1" ht="14.25">
      <c r="A193" s="86" t="s">
        <v>50</v>
      </c>
      <c r="B193" s="97" t="s">
        <v>699</v>
      </c>
      <c r="C193" s="97"/>
      <c r="D193" s="97"/>
      <c r="E193" s="96">
        <v>0</v>
      </c>
      <c r="F193" s="96">
        <f>E193*(100%+$F$178)</f>
        <v>0</v>
      </c>
      <c r="G193" s="608">
        <f t="shared" si="11"/>
        <v>0</v>
      </c>
      <c r="H193" s="84">
        <f t="shared" si="12"/>
        <v>0</v>
      </c>
    </row>
    <row r="194" spans="1:9" s="9" customFormat="1" ht="14.25">
      <c r="A194" s="86" t="s">
        <v>79</v>
      </c>
      <c r="B194" s="97" t="s">
        <v>625</v>
      </c>
      <c r="C194" s="97"/>
      <c r="D194" s="97"/>
      <c r="E194" s="96">
        <v>0.32</v>
      </c>
      <c r="F194" s="96">
        <f>E194*(100%+$F$178)</f>
        <v>0.32</v>
      </c>
      <c r="G194" s="608">
        <f t="shared" si="11"/>
        <v>0</v>
      </c>
      <c r="H194" s="84">
        <f t="shared" si="12"/>
        <v>0</v>
      </c>
    </row>
    <row r="195" spans="1:9" s="9" customFormat="1" ht="14.25">
      <c r="A195" s="114" t="s">
        <v>80</v>
      </c>
      <c r="B195" s="115" t="s">
        <v>696</v>
      </c>
      <c r="C195" s="115"/>
      <c r="D195" s="115"/>
      <c r="E195" s="116">
        <v>0</v>
      </c>
      <c r="F195" s="116">
        <f>E195*(100%+$F$178)</f>
        <v>0</v>
      </c>
      <c r="G195" s="609">
        <f t="shared" si="11"/>
        <v>0</v>
      </c>
      <c r="H195" s="88">
        <f t="shared" si="12"/>
        <v>0</v>
      </c>
    </row>
    <row r="196" spans="1:9" s="9" customFormat="1" ht="14.25">
      <c r="A196" s="113" t="s">
        <v>36</v>
      </c>
      <c r="B196" s="99" t="s">
        <v>101</v>
      </c>
      <c r="C196" s="99"/>
      <c r="D196" s="99"/>
      <c r="E196" s="100">
        <f>SUM(E197:E198)</f>
        <v>0</v>
      </c>
      <c r="F196" s="100">
        <f>SUM(F197:F198)</f>
        <v>0</v>
      </c>
      <c r="G196" s="607">
        <f>SUM(G197:G198)</f>
        <v>0</v>
      </c>
      <c r="H196" s="101">
        <f>SUM(H197:H198)</f>
        <v>0</v>
      </c>
      <c r="I196" s="122">
        <f>IFERROR(H196/'OSNOVNI PODATKI'!$E$311,0)</f>
        <v>0</v>
      </c>
    </row>
    <row r="197" spans="1:9" s="9" customFormat="1" ht="14.25">
      <c r="A197" s="86" t="s">
        <v>37</v>
      </c>
      <c r="B197" s="92" t="s">
        <v>697</v>
      </c>
      <c r="C197" s="92"/>
      <c r="D197" s="92"/>
      <c r="E197" s="83">
        <v>0</v>
      </c>
      <c r="F197" s="83">
        <f>E197*(100%+$F$178)</f>
        <v>0</v>
      </c>
      <c r="G197" s="608">
        <f t="shared" ref="G197:G198" si="13">ROUND(F197*$F$175,1)</f>
        <v>0</v>
      </c>
      <c r="H197" s="84">
        <f t="shared" ref="H197:H198" si="14">+G197*$F$176</f>
        <v>0</v>
      </c>
    </row>
    <row r="198" spans="1:9" s="9" customFormat="1" ht="14.25">
      <c r="A198" s="114" t="s">
        <v>38</v>
      </c>
      <c r="B198" s="87" t="s">
        <v>180</v>
      </c>
      <c r="C198" s="87"/>
      <c r="D198" s="87"/>
      <c r="E198" s="109">
        <v>0</v>
      </c>
      <c r="F198" s="109">
        <f>E198*(100%+$F$178)</f>
        <v>0</v>
      </c>
      <c r="G198" s="609">
        <f t="shared" si="13"/>
        <v>0</v>
      </c>
      <c r="H198" s="88">
        <f t="shared" si="14"/>
        <v>0</v>
      </c>
    </row>
    <row r="199" spans="1:9" s="9" customFormat="1" ht="14.25">
      <c r="A199" s="117">
        <v>4</v>
      </c>
      <c r="B199" s="99" t="s">
        <v>57</v>
      </c>
      <c r="C199" s="99"/>
      <c r="D199" s="99"/>
      <c r="E199" s="100">
        <f>SUM(E200:E204)</f>
        <v>0.05</v>
      </c>
      <c r="F199" s="100">
        <f>SUM(F200:F204)</f>
        <v>0.05</v>
      </c>
      <c r="G199" s="607">
        <f>SUM(G200:G204)</f>
        <v>0</v>
      </c>
      <c r="H199" s="101">
        <f>SUM(H200:H204)</f>
        <v>0</v>
      </c>
      <c r="I199" s="122">
        <f>IFERROR(H199/'OSNOVNI PODATKI'!$E$311,0)</f>
        <v>0</v>
      </c>
    </row>
    <row r="200" spans="1:9" s="9" customFormat="1" ht="14.25">
      <c r="A200" s="86" t="s">
        <v>39</v>
      </c>
      <c r="B200" s="92" t="s">
        <v>181</v>
      </c>
      <c r="C200" s="92"/>
      <c r="D200" s="92"/>
      <c r="E200" s="83">
        <v>0</v>
      </c>
      <c r="F200" s="83">
        <f>E200*(100%+$F$178)</f>
        <v>0</v>
      </c>
      <c r="G200" s="608">
        <f t="shared" ref="G200:G204" si="15">ROUND(F200*$F$175,1)</f>
        <v>0</v>
      </c>
      <c r="H200" s="84">
        <f t="shared" ref="H200:H204" si="16">+G200*$F$176</f>
        <v>0</v>
      </c>
    </row>
    <row r="201" spans="1:9" s="9" customFormat="1" ht="14.25">
      <c r="A201" s="86" t="s">
        <v>40</v>
      </c>
      <c r="B201" s="92" t="s">
        <v>712</v>
      </c>
      <c r="C201" s="92"/>
      <c r="D201" s="92"/>
      <c r="E201" s="83">
        <v>0</v>
      </c>
      <c r="F201" s="83">
        <f>E201*(100%+$F$178)</f>
        <v>0</v>
      </c>
      <c r="G201" s="608">
        <f t="shared" si="15"/>
        <v>0</v>
      </c>
      <c r="H201" s="84">
        <f t="shared" si="16"/>
        <v>0</v>
      </c>
    </row>
    <row r="202" spans="1:9" s="9" customFormat="1" ht="14.25">
      <c r="A202" s="86" t="s">
        <v>41</v>
      </c>
      <c r="B202" s="92" t="s">
        <v>796</v>
      </c>
      <c r="C202" s="92"/>
      <c r="D202" s="92"/>
      <c r="E202" s="83">
        <v>0</v>
      </c>
      <c r="F202" s="83">
        <f>E202*(100%+$F$178)</f>
        <v>0</v>
      </c>
      <c r="G202" s="608">
        <f t="shared" si="15"/>
        <v>0</v>
      </c>
      <c r="H202" s="84">
        <f t="shared" si="16"/>
        <v>0</v>
      </c>
    </row>
    <row r="203" spans="1:9" s="9" customFormat="1" ht="14.25">
      <c r="A203" s="86" t="s">
        <v>42</v>
      </c>
      <c r="B203" s="92" t="s">
        <v>713</v>
      </c>
      <c r="C203" s="92"/>
      <c r="D203" s="92"/>
      <c r="E203" s="83">
        <v>0</v>
      </c>
      <c r="F203" s="83">
        <f>E203*(100%+$F$178)</f>
        <v>0</v>
      </c>
      <c r="G203" s="608">
        <f t="shared" si="15"/>
        <v>0</v>
      </c>
      <c r="H203" s="84">
        <f t="shared" si="16"/>
        <v>0</v>
      </c>
    </row>
    <row r="204" spans="1:9" s="9" customFormat="1" ht="14.25">
      <c r="A204" s="114" t="s">
        <v>43</v>
      </c>
      <c r="B204" s="87" t="s">
        <v>698</v>
      </c>
      <c r="C204" s="87"/>
      <c r="D204" s="87"/>
      <c r="E204" s="109">
        <v>0.05</v>
      </c>
      <c r="F204" s="109">
        <f>E204*(100%+$F$178)</f>
        <v>0.05</v>
      </c>
      <c r="G204" s="609">
        <f t="shared" si="15"/>
        <v>0</v>
      </c>
      <c r="H204" s="88">
        <f t="shared" si="16"/>
        <v>0</v>
      </c>
    </row>
    <row r="205" spans="1:9" s="9" customFormat="1" ht="14.25">
      <c r="A205" s="118">
        <v>5</v>
      </c>
      <c r="B205" s="99" t="s">
        <v>44</v>
      </c>
      <c r="C205" s="99"/>
      <c r="D205" s="99"/>
      <c r="E205" s="100">
        <f>SUM(E206:E207)</f>
        <v>0</v>
      </c>
      <c r="F205" s="100">
        <f>SUM(F206:F207)</f>
        <v>0</v>
      </c>
      <c r="G205" s="607">
        <f>SUM(G206:G207)</f>
        <v>0</v>
      </c>
      <c r="H205" s="101">
        <f>SUM(H206:H207)</f>
        <v>0</v>
      </c>
      <c r="I205" s="122">
        <f>IFERROR(H205/'OSNOVNI PODATKI'!$E$311,0)</f>
        <v>0</v>
      </c>
    </row>
    <row r="206" spans="1:9" s="9" customFormat="1" ht="14.25">
      <c r="A206" s="86" t="s">
        <v>45</v>
      </c>
      <c r="B206" s="95" t="s">
        <v>183</v>
      </c>
      <c r="C206" s="95"/>
      <c r="D206" s="95"/>
      <c r="E206" s="83">
        <v>0</v>
      </c>
      <c r="F206" s="83">
        <f>E206*(100%+$F$178)</f>
        <v>0</v>
      </c>
      <c r="G206" s="608">
        <f t="shared" ref="G206:G207" si="17">ROUND(F206*$F$175,1)</f>
        <v>0</v>
      </c>
      <c r="H206" s="84">
        <f t="shared" ref="H206:H207" si="18">+G206*$F$176</f>
        <v>0</v>
      </c>
    </row>
    <row r="207" spans="1:9" s="9" customFormat="1" ht="14.25">
      <c r="A207" s="114" t="s">
        <v>46</v>
      </c>
      <c r="B207" s="120" t="s">
        <v>184</v>
      </c>
      <c r="C207" s="120"/>
      <c r="D207" s="120"/>
      <c r="E207" s="109">
        <v>0</v>
      </c>
      <c r="F207" s="109">
        <f>E207*(100%+$F$178)</f>
        <v>0</v>
      </c>
      <c r="G207" s="609">
        <f t="shared" si="17"/>
        <v>0</v>
      </c>
      <c r="H207" s="88">
        <f t="shared" si="18"/>
        <v>0</v>
      </c>
    </row>
    <row r="208" spans="1:9" s="9" customFormat="1" ht="14.25">
      <c r="A208" s="119">
        <v>6</v>
      </c>
      <c r="B208" s="99" t="s">
        <v>47</v>
      </c>
      <c r="C208" s="99"/>
      <c r="D208" s="99"/>
      <c r="E208" s="100"/>
      <c r="F208" s="100"/>
      <c r="G208" s="607"/>
      <c r="H208" s="101"/>
    </row>
    <row r="209" spans="1:9" s="9" customFormat="1" ht="14.25">
      <c r="A209" s="86" t="s">
        <v>51</v>
      </c>
      <c r="B209" s="95" t="s">
        <v>185</v>
      </c>
      <c r="C209" s="95"/>
      <c r="D209" s="95"/>
      <c r="E209" s="83"/>
      <c r="F209" s="83"/>
      <c r="G209" s="608"/>
      <c r="H209" s="84"/>
    </row>
    <row r="210" spans="1:9" s="9" customFormat="1" ht="14.25">
      <c r="A210" s="86" t="s">
        <v>52</v>
      </c>
      <c r="B210" s="95" t="s">
        <v>186</v>
      </c>
      <c r="C210" s="95"/>
      <c r="D210" s="95"/>
      <c r="E210" s="83"/>
      <c r="F210" s="83"/>
      <c r="G210" s="608"/>
      <c r="H210" s="84"/>
    </row>
    <row r="211" spans="1:9" s="9" customFormat="1" ht="14.25">
      <c r="A211" s="114" t="s">
        <v>53</v>
      </c>
      <c r="B211" s="120" t="s">
        <v>187</v>
      </c>
      <c r="C211" s="120"/>
      <c r="D211" s="120"/>
      <c r="E211" s="109"/>
      <c r="F211" s="109"/>
      <c r="G211" s="609"/>
      <c r="H211" s="88"/>
    </row>
    <row r="212" spans="1:9" s="9" customFormat="1" ht="14.25">
      <c r="A212" s="89"/>
      <c r="B212" s="90"/>
      <c r="C212" s="90"/>
      <c r="D212" s="90"/>
      <c r="E212" s="91"/>
      <c r="F212" s="91"/>
      <c r="G212" s="604"/>
      <c r="H212" s="90"/>
    </row>
    <row r="213" spans="1:9" s="9" customFormat="1" ht="14.25">
      <c r="A213" s="123"/>
      <c r="B213" s="124" t="s">
        <v>1</v>
      </c>
      <c r="C213" s="124"/>
      <c r="D213" s="124"/>
      <c r="E213" s="125">
        <f>E183+E186+E190+E196+E199+E205+E208</f>
        <v>1.0000000000000002</v>
      </c>
      <c r="F213" s="125">
        <f>F183+F186+F190+F196+F199+F205+F208</f>
        <v>1.0000000000000002</v>
      </c>
      <c r="G213" s="605">
        <f>G183+G186+G190+G196+G199+G205+G208</f>
        <v>0</v>
      </c>
      <c r="H213" s="598">
        <f>H183+H186+H190+H196+H199+H205+H208</f>
        <v>0</v>
      </c>
      <c r="I213" s="122">
        <f>IFERROR(H213/'OSNOVNI PODATKI'!$E$311,0)</f>
        <v>0</v>
      </c>
    </row>
    <row r="214" spans="1:9" s="9" customFormat="1" ht="14.25">
      <c r="A214" s="25"/>
      <c r="B214" s="121"/>
      <c r="E214" s="26"/>
      <c r="G214" s="26"/>
      <c r="H214" s="122"/>
    </row>
    <row r="215" spans="1:9" s="9" customFormat="1" ht="14.25">
      <c r="A215" s="25"/>
      <c r="B215" s="121"/>
      <c r="E215" s="26"/>
      <c r="G215" s="26"/>
      <c r="H215" s="122"/>
    </row>
    <row r="216" spans="1:9" s="9" customFormat="1" ht="14.25"/>
    <row r="217" spans="1:9" s="9" customFormat="1" ht="14.25"/>
    <row r="218" spans="1:9" s="9" customFormat="1" ht="15" thickBot="1"/>
    <row r="219" spans="1:9" s="9" customFormat="1" ht="18.75">
      <c r="A219" s="786" t="s">
        <v>376</v>
      </c>
      <c r="B219" s="786"/>
      <c r="C219" s="786"/>
      <c r="D219" s="786"/>
      <c r="E219" s="786"/>
      <c r="F219" s="786"/>
      <c r="G219" s="786"/>
      <c r="H219" s="786"/>
    </row>
    <row r="220" spans="1:9" s="73" customFormat="1">
      <c r="A220" s="203"/>
      <c r="B220" s="203"/>
      <c r="C220" s="717"/>
      <c r="D220" s="717"/>
      <c r="E220" s="717"/>
      <c r="F220" s="615"/>
      <c r="G220" s="717"/>
      <c r="H220" s="717"/>
    </row>
    <row r="221" spans="1:9" s="73" customFormat="1">
      <c r="A221" s="203"/>
      <c r="B221" s="81" t="s">
        <v>719</v>
      </c>
      <c r="C221" s="203"/>
      <c r="D221" s="203"/>
      <c r="E221" s="203"/>
      <c r="F221" s="487">
        <f>'OSNOVNI PODATKI'!G371</f>
        <v>0</v>
      </c>
      <c r="G221" s="203"/>
      <c r="H221" s="203"/>
    </row>
    <row r="222" spans="1:9" s="73" customFormat="1">
      <c r="A222" s="203"/>
      <c r="B222" s="81" t="s">
        <v>720</v>
      </c>
      <c r="C222" s="202"/>
      <c r="D222" s="80"/>
      <c r="E222" s="80"/>
      <c r="F222" s="473">
        <f>'ARHIGRAM 6'!I16</f>
        <v>62</v>
      </c>
      <c r="G222" s="202"/>
      <c r="H222" s="202"/>
    </row>
    <row r="223" spans="1:9" s="2" customFormat="1">
      <c r="A223" s="73"/>
      <c r="B223" s="203"/>
      <c r="C223" s="203"/>
      <c r="D223" s="203"/>
      <c r="E223" s="203"/>
      <c r="F223" s="203"/>
      <c r="G223" s="203"/>
    </row>
    <row r="224" spans="1:9" s="73" customFormat="1">
      <c r="B224" s="81" t="str">
        <f>'OSNOVNI PODATKI'!B376</f>
        <v>PRIBITEK ZA PRENOVO</v>
      </c>
      <c r="C224" s="202"/>
      <c r="D224" s="80"/>
      <c r="E224" s="80"/>
      <c r="F224" s="301">
        <f>'OSNOVNI PODATKI'!F376</f>
        <v>0</v>
      </c>
      <c r="G224" s="202"/>
      <c r="H224" s="202"/>
    </row>
    <row r="225" spans="1:9" s="73" customFormat="1">
      <c r="A225" s="203"/>
      <c r="B225" s="81"/>
      <c r="C225" s="202"/>
      <c r="D225" s="80"/>
      <c r="E225" s="80"/>
      <c r="F225" s="635"/>
      <c r="G225" s="202"/>
      <c r="H225" s="489"/>
    </row>
    <row r="226" spans="1:9" s="73" customFormat="1">
      <c r="B226" s="303"/>
      <c r="C226" s="303"/>
      <c r="D226" s="303"/>
      <c r="E226" s="303"/>
      <c r="F226" s="202"/>
      <c r="G226" s="202"/>
      <c r="H226" s="202"/>
    </row>
    <row r="227" spans="1:9" s="9" customFormat="1" ht="14.25">
      <c r="A227" s="205"/>
      <c r="B227" s="205"/>
      <c r="C227" s="205"/>
      <c r="D227" s="205"/>
      <c r="E227" s="205"/>
      <c r="F227" s="205"/>
      <c r="G227" s="205"/>
      <c r="H227" s="205"/>
    </row>
    <row r="228" spans="1:9" s="9" customFormat="1" ht="38.25">
      <c r="A228" s="102"/>
      <c r="B228" s="103"/>
      <c r="C228" s="103"/>
      <c r="D228" s="103"/>
      <c r="E228" s="104" t="s">
        <v>25</v>
      </c>
      <c r="F228" s="294" t="s">
        <v>379</v>
      </c>
      <c r="G228" s="600" t="s">
        <v>54</v>
      </c>
      <c r="H228" s="105" t="s">
        <v>67</v>
      </c>
      <c r="I228" s="405" t="s">
        <v>757</v>
      </c>
    </row>
    <row r="229" spans="1:9" s="9" customFormat="1" ht="14.25">
      <c r="A229" s="98" t="s">
        <v>26</v>
      </c>
      <c r="B229" s="99" t="s">
        <v>27</v>
      </c>
      <c r="C229" s="99"/>
      <c r="D229" s="99"/>
      <c r="E229" s="100"/>
      <c r="F229" s="100"/>
      <c r="G229" s="607"/>
      <c r="H229" s="101"/>
    </row>
    <row r="230" spans="1:9" s="9" customFormat="1" ht="14.25">
      <c r="A230" s="82" t="s">
        <v>28</v>
      </c>
      <c r="B230" s="94" t="s">
        <v>62</v>
      </c>
      <c r="C230" s="94"/>
      <c r="D230" s="94"/>
      <c r="E230" s="83"/>
      <c r="F230" s="83"/>
      <c r="G230" s="608"/>
      <c r="H230" s="84" t="str">
        <f>IF(J237=TRUE,G230*'VREDNOST NU'!#REF!,"")</f>
        <v/>
      </c>
    </row>
    <row r="231" spans="1:9" ht="14.25">
      <c r="A231" s="107" t="s">
        <v>29</v>
      </c>
      <c r="B231" s="108" t="s">
        <v>63</v>
      </c>
      <c r="C231" s="108"/>
      <c r="D231" s="108"/>
      <c r="E231" s="109"/>
      <c r="F231" s="109"/>
      <c r="G231" s="609"/>
      <c r="H231" s="88" t="str">
        <f>IF(J238=TRUE,G231*'VREDNOST NU'!#REF!,"")</f>
        <v/>
      </c>
      <c r="I231" s="9"/>
    </row>
    <row r="232" spans="1:9">
      <c r="A232" s="106" t="s">
        <v>30</v>
      </c>
      <c r="B232" s="99" t="s">
        <v>31</v>
      </c>
      <c r="C232" s="99"/>
      <c r="D232" s="99"/>
      <c r="E232" s="100">
        <f>SUM(E233:E235)</f>
        <v>0.03</v>
      </c>
      <c r="F232" s="100">
        <f>SUM(F233:F235)</f>
        <v>0.03</v>
      </c>
      <c r="G232" s="607">
        <f>SUM(G233:G235)</f>
        <v>0</v>
      </c>
      <c r="H232" s="101">
        <f>SUM(H233:H235)</f>
        <v>0</v>
      </c>
      <c r="I232" s="122">
        <f>IFERROR(H232/'OSNOVNI PODATKI'!$E$311,0)</f>
        <v>0</v>
      </c>
    </row>
    <row r="233" spans="1:9" s="73" customFormat="1" ht="14.25">
      <c r="A233" s="85" t="s">
        <v>32</v>
      </c>
      <c r="B233" s="93" t="s">
        <v>64</v>
      </c>
      <c r="C233" s="93"/>
      <c r="D233" s="93"/>
      <c r="E233" s="83">
        <v>1.4999999999999999E-2</v>
      </c>
      <c r="F233" s="295">
        <f>E233*(100%+$F$224)</f>
        <v>1.4999999999999999E-2</v>
      </c>
      <c r="G233" s="608">
        <f>ROUND(F233*$F$221,1)</f>
        <v>0</v>
      </c>
      <c r="H233" s="84">
        <f>+G233*$F$222</f>
        <v>0</v>
      </c>
      <c r="I233" s="9"/>
    </row>
    <row r="234" spans="1:9" s="2" customFormat="1" ht="14.25">
      <c r="A234" s="85" t="s">
        <v>33</v>
      </c>
      <c r="B234" s="93" t="s">
        <v>65</v>
      </c>
      <c r="C234" s="93"/>
      <c r="D234" s="93"/>
      <c r="E234" s="83">
        <v>1.4999999999999999E-2</v>
      </c>
      <c r="F234" s="83">
        <f>E234*(100%+$F$224)</f>
        <v>1.4999999999999999E-2</v>
      </c>
      <c r="G234" s="608">
        <f t="shared" ref="G234:G235" si="19">ROUND(F234*$F$221,1)</f>
        <v>0</v>
      </c>
      <c r="H234" s="84">
        <f t="shared" ref="H234:H235" si="20">+G234*$F$222</f>
        <v>0</v>
      </c>
      <c r="I234" s="9"/>
    </row>
    <row r="235" spans="1:9" s="8" customFormat="1" ht="14.25">
      <c r="A235" s="111" t="s">
        <v>34</v>
      </c>
      <c r="B235" s="112" t="s">
        <v>695</v>
      </c>
      <c r="C235" s="112"/>
      <c r="D235" s="112"/>
      <c r="E235" s="109">
        <v>0</v>
      </c>
      <c r="F235" s="109">
        <f>E235*(100%+$F$224)</f>
        <v>0</v>
      </c>
      <c r="G235" s="609">
        <f t="shared" si="19"/>
        <v>0</v>
      </c>
      <c r="H235" s="88">
        <f t="shared" si="20"/>
        <v>0</v>
      </c>
      <c r="I235" s="9"/>
    </row>
    <row r="236" spans="1:9" s="9" customFormat="1" ht="14.25">
      <c r="A236" s="110">
        <v>2</v>
      </c>
      <c r="B236" s="99" t="s">
        <v>35</v>
      </c>
      <c r="C236" s="99"/>
      <c r="D236" s="99"/>
      <c r="E236" s="100">
        <f>+E237+E238+E239+E240+E241</f>
        <v>0.92000000000000015</v>
      </c>
      <c r="F236" s="100">
        <f>+F237+F238+F239+F240+F241</f>
        <v>0.92000000000000015</v>
      </c>
      <c r="G236" s="610">
        <f>SUM(G237:G241)</f>
        <v>0</v>
      </c>
      <c r="H236" s="101">
        <f>SUM(H237:H241)</f>
        <v>0</v>
      </c>
      <c r="I236" s="122">
        <f>IFERROR(H236/'OSNOVNI PODATKI'!$E$311,0)</f>
        <v>0</v>
      </c>
    </row>
    <row r="237" spans="1:9" s="9" customFormat="1" ht="14.25">
      <c r="A237" s="85" t="s">
        <v>48</v>
      </c>
      <c r="B237" s="93" t="s">
        <v>78</v>
      </c>
      <c r="C237" s="93"/>
      <c r="D237" s="93"/>
      <c r="E237" s="96">
        <v>0.2</v>
      </c>
      <c r="F237" s="295">
        <f>E237*(100%+$F$224)</f>
        <v>0.2</v>
      </c>
      <c r="G237" s="608">
        <f t="shared" ref="G237:G241" si="21">ROUND(F237*$F$221,1)</f>
        <v>0</v>
      </c>
      <c r="H237" s="84">
        <f t="shared" ref="H237:H241" si="22">+G237*$F$222</f>
        <v>0</v>
      </c>
    </row>
    <row r="238" spans="1:9" s="9" customFormat="1" ht="14.25">
      <c r="A238" s="86" t="s">
        <v>49</v>
      </c>
      <c r="B238" s="97" t="s">
        <v>624</v>
      </c>
      <c r="C238" s="97"/>
      <c r="D238" s="97"/>
      <c r="E238" s="96">
        <v>0.4</v>
      </c>
      <c r="F238" s="96">
        <f>E238*(100%+$F$224)</f>
        <v>0.4</v>
      </c>
      <c r="G238" s="608">
        <f t="shared" si="21"/>
        <v>0</v>
      </c>
      <c r="H238" s="84">
        <f t="shared" si="22"/>
        <v>0</v>
      </c>
    </row>
    <row r="239" spans="1:9" s="9" customFormat="1" ht="14.25">
      <c r="A239" s="86" t="s">
        <v>50</v>
      </c>
      <c r="B239" s="97" t="s">
        <v>699</v>
      </c>
      <c r="C239" s="97"/>
      <c r="D239" s="97"/>
      <c r="E239" s="96">
        <v>0</v>
      </c>
      <c r="F239" s="96">
        <f>E239*(100%+$F$224)</f>
        <v>0</v>
      </c>
      <c r="G239" s="608">
        <f t="shared" si="21"/>
        <v>0</v>
      </c>
      <c r="H239" s="84">
        <f t="shared" si="22"/>
        <v>0</v>
      </c>
    </row>
    <row r="240" spans="1:9" s="9" customFormat="1" ht="14.25">
      <c r="A240" s="86" t="s">
        <v>79</v>
      </c>
      <c r="B240" s="97" t="s">
        <v>625</v>
      </c>
      <c r="C240" s="97"/>
      <c r="D240" s="97"/>
      <c r="E240" s="96">
        <v>0.32</v>
      </c>
      <c r="F240" s="96">
        <f>E240*(100%+$F$224)</f>
        <v>0.32</v>
      </c>
      <c r="G240" s="608">
        <f t="shared" si="21"/>
        <v>0</v>
      </c>
      <c r="H240" s="84">
        <f t="shared" si="22"/>
        <v>0</v>
      </c>
    </row>
    <row r="241" spans="1:9" s="9" customFormat="1" ht="14.25">
      <c r="A241" s="114" t="s">
        <v>80</v>
      </c>
      <c r="B241" s="115" t="s">
        <v>696</v>
      </c>
      <c r="C241" s="115"/>
      <c r="D241" s="115"/>
      <c r="E241" s="116">
        <v>0</v>
      </c>
      <c r="F241" s="116">
        <f>E241*(100%+$F$224)</f>
        <v>0</v>
      </c>
      <c r="G241" s="609">
        <f t="shared" si="21"/>
        <v>0</v>
      </c>
      <c r="H241" s="88">
        <f t="shared" si="22"/>
        <v>0</v>
      </c>
    </row>
    <row r="242" spans="1:9" s="9" customFormat="1" ht="14.25">
      <c r="A242" s="113" t="s">
        <v>36</v>
      </c>
      <c r="B242" s="99" t="s">
        <v>101</v>
      </c>
      <c r="C242" s="99"/>
      <c r="D242" s="99"/>
      <c r="E242" s="100">
        <f>SUM(E243:E244)</f>
        <v>0</v>
      </c>
      <c r="F242" s="100">
        <f>SUM(F243:F244)</f>
        <v>0</v>
      </c>
      <c r="G242" s="607">
        <f>SUM(G243:G244)</f>
        <v>0</v>
      </c>
      <c r="H242" s="101">
        <f>SUM(H243:H244)</f>
        <v>0</v>
      </c>
      <c r="I242" s="122">
        <f>IFERROR(H242/'OSNOVNI PODATKI'!$E$311,0)</f>
        <v>0</v>
      </c>
    </row>
    <row r="243" spans="1:9" s="9" customFormat="1" ht="14.25">
      <c r="A243" s="86" t="s">
        <v>37</v>
      </c>
      <c r="B243" s="92" t="s">
        <v>697</v>
      </c>
      <c r="C243" s="92"/>
      <c r="D243" s="92"/>
      <c r="E243" s="83">
        <v>0</v>
      </c>
      <c r="F243" s="83">
        <f>E243*(100%+$F$224)</f>
        <v>0</v>
      </c>
      <c r="G243" s="608">
        <f t="shared" ref="G243:G244" si="23">ROUND(F243*$F$221,1)</f>
        <v>0</v>
      </c>
      <c r="H243" s="84">
        <f t="shared" ref="H243:H244" si="24">+G243*$F$222</f>
        <v>0</v>
      </c>
    </row>
    <row r="244" spans="1:9" s="9" customFormat="1" ht="14.25">
      <c r="A244" s="114" t="s">
        <v>38</v>
      </c>
      <c r="B244" s="87" t="s">
        <v>180</v>
      </c>
      <c r="C244" s="87"/>
      <c r="D244" s="87"/>
      <c r="E244" s="109">
        <v>0</v>
      </c>
      <c r="F244" s="109">
        <f>E244*(100%+$F$224)</f>
        <v>0</v>
      </c>
      <c r="G244" s="609">
        <f t="shared" si="23"/>
        <v>0</v>
      </c>
      <c r="H244" s="88">
        <f t="shared" si="24"/>
        <v>0</v>
      </c>
    </row>
    <row r="245" spans="1:9" s="9" customFormat="1" ht="14.25">
      <c r="A245" s="117">
        <v>4</v>
      </c>
      <c r="B245" s="99" t="s">
        <v>57</v>
      </c>
      <c r="C245" s="99"/>
      <c r="D245" s="99"/>
      <c r="E245" s="100">
        <f>SUM(E246:E250)</f>
        <v>0.05</v>
      </c>
      <c r="F245" s="100">
        <f>SUM(F246:F250)</f>
        <v>0.05</v>
      </c>
      <c r="G245" s="607">
        <f>SUM(G246:G250)</f>
        <v>0</v>
      </c>
      <c r="H245" s="101">
        <f>SUM(H246:H250)</f>
        <v>0</v>
      </c>
      <c r="I245" s="122">
        <f>IFERROR(H245/'OSNOVNI PODATKI'!$E$311,0)</f>
        <v>0</v>
      </c>
    </row>
    <row r="246" spans="1:9" s="9" customFormat="1" ht="14.25">
      <c r="A246" s="86" t="s">
        <v>39</v>
      </c>
      <c r="B246" s="92" t="s">
        <v>181</v>
      </c>
      <c r="C246" s="92"/>
      <c r="D246" s="92"/>
      <c r="E246" s="83">
        <v>0</v>
      </c>
      <c r="F246" s="83">
        <f>E246*(100%+$F$224)</f>
        <v>0</v>
      </c>
      <c r="G246" s="608">
        <f t="shared" ref="G246:G250" si="25">ROUND(F246*$F$221,1)</f>
        <v>0</v>
      </c>
      <c r="H246" s="84">
        <f t="shared" ref="H246:H250" si="26">+G246*$F$222</f>
        <v>0</v>
      </c>
    </row>
    <row r="247" spans="1:9" s="9" customFormat="1" ht="14.25">
      <c r="A247" s="86" t="s">
        <v>40</v>
      </c>
      <c r="B247" s="92" t="s">
        <v>712</v>
      </c>
      <c r="C247" s="92"/>
      <c r="D247" s="92"/>
      <c r="E247" s="83">
        <v>0</v>
      </c>
      <c r="F247" s="83">
        <f>E247*(100%+$F$224)</f>
        <v>0</v>
      </c>
      <c r="G247" s="608">
        <f t="shared" si="25"/>
        <v>0</v>
      </c>
      <c r="H247" s="84">
        <f t="shared" si="26"/>
        <v>0</v>
      </c>
    </row>
    <row r="248" spans="1:9" s="9" customFormat="1" ht="14.25">
      <c r="A248" s="86" t="s">
        <v>41</v>
      </c>
      <c r="B248" s="92" t="s">
        <v>796</v>
      </c>
      <c r="C248" s="92"/>
      <c r="D248" s="92"/>
      <c r="E248" s="83">
        <v>0</v>
      </c>
      <c r="F248" s="83">
        <f>E248*(100%+$F$224)</f>
        <v>0</v>
      </c>
      <c r="G248" s="608">
        <f t="shared" si="25"/>
        <v>0</v>
      </c>
      <c r="H248" s="84">
        <f t="shared" si="26"/>
        <v>0</v>
      </c>
    </row>
    <row r="249" spans="1:9" s="9" customFormat="1" ht="14.25">
      <c r="A249" s="86" t="s">
        <v>42</v>
      </c>
      <c r="B249" s="92" t="s">
        <v>713</v>
      </c>
      <c r="C249" s="92"/>
      <c r="D249" s="92"/>
      <c r="E249" s="83">
        <v>0</v>
      </c>
      <c r="F249" s="83">
        <f>E249*(100%+$F$224)</f>
        <v>0</v>
      </c>
      <c r="G249" s="608">
        <f t="shared" si="25"/>
        <v>0</v>
      </c>
      <c r="H249" s="84">
        <f t="shared" si="26"/>
        <v>0</v>
      </c>
    </row>
    <row r="250" spans="1:9" s="9" customFormat="1" ht="14.25">
      <c r="A250" s="114" t="s">
        <v>43</v>
      </c>
      <c r="B250" s="87" t="s">
        <v>698</v>
      </c>
      <c r="C250" s="87"/>
      <c r="D250" s="87"/>
      <c r="E250" s="109">
        <v>0.05</v>
      </c>
      <c r="F250" s="109">
        <f>E250*(100%+$F$224)</f>
        <v>0.05</v>
      </c>
      <c r="G250" s="609">
        <f t="shared" si="25"/>
        <v>0</v>
      </c>
      <c r="H250" s="88">
        <f t="shared" si="26"/>
        <v>0</v>
      </c>
    </row>
    <row r="251" spans="1:9" s="9" customFormat="1" ht="14.25">
      <c r="A251" s="118">
        <v>5</v>
      </c>
      <c r="B251" s="99" t="s">
        <v>44</v>
      </c>
      <c r="C251" s="99"/>
      <c r="D251" s="99"/>
      <c r="E251" s="100">
        <f>SUM(E252:E253)</f>
        <v>0</v>
      </c>
      <c r="F251" s="100">
        <f>SUM(F252:F253)</f>
        <v>0</v>
      </c>
      <c r="G251" s="607">
        <f>SUM(G252:G253)</f>
        <v>0</v>
      </c>
      <c r="H251" s="101">
        <f>SUM(H252:H253)</f>
        <v>0</v>
      </c>
      <c r="I251" s="122">
        <f>IFERROR(H251/'OSNOVNI PODATKI'!$E$311,0)</f>
        <v>0</v>
      </c>
    </row>
    <row r="252" spans="1:9" s="9" customFormat="1" ht="14.25">
      <c r="A252" s="86" t="s">
        <v>45</v>
      </c>
      <c r="B252" s="95" t="s">
        <v>183</v>
      </c>
      <c r="C252" s="95"/>
      <c r="D252" s="95"/>
      <c r="E252" s="83">
        <v>0</v>
      </c>
      <c r="F252" s="83">
        <f>E252*(100%+$F$224)</f>
        <v>0</v>
      </c>
      <c r="G252" s="608">
        <f t="shared" ref="G252:G253" si="27">ROUND(F252*$F$221,1)</f>
        <v>0</v>
      </c>
      <c r="H252" s="84">
        <f t="shared" ref="H252:H253" si="28">+G252*$F$222</f>
        <v>0</v>
      </c>
    </row>
    <row r="253" spans="1:9" s="9" customFormat="1" ht="14.25">
      <c r="A253" s="114" t="s">
        <v>46</v>
      </c>
      <c r="B253" s="120" t="s">
        <v>184</v>
      </c>
      <c r="C253" s="120"/>
      <c r="D253" s="120"/>
      <c r="E253" s="109">
        <v>0</v>
      </c>
      <c r="F253" s="109">
        <f>E253*(100%+$F$224)</f>
        <v>0</v>
      </c>
      <c r="G253" s="609">
        <f t="shared" si="27"/>
        <v>0</v>
      </c>
      <c r="H253" s="88">
        <f t="shared" si="28"/>
        <v>0</v>
      </c>
    </row>
    <row r="254" spans="1:9" s="9" customFormat="1" ht="14.25">
      <c r="A254" s="119">
        <v>6</v>
      </c>
      <c r="B254" s="99" t="s">
        <v>47</v>
      </c>
      <c r="C254" s="99"/>
      <c r="D254" s="99"/>
      <c r="E254" s="100"/>
      <c r="F254" s="100"/>
      <c r="G254" s="607"/>
      <c r="H254" s="101"/>
    </row>
    <row r="255" spans="1:9" s="9" customFormat="1" ht="14.25">
      <c r="A255" s="86" t="s">
        <v>51</v>
      </c>
      <c r="B255" s="95" t="s">
        <v>185</v>
      </c>
      <c r="C255" s="95"/>
      <c r="D255" s="95"/>
      <c r="E255" s="83"/>
      <c r="F255" s="83"/>
      <c r="G255" s="608"/>
      <c r="H255" s="84"/>
    </row>
    <row r="256" spans="1:9" s="9" customFormat="1" ht="14.25">
      <c r="A256" s="86" t="s">
        <v>52</v>
      </c>
      <c r="B256" s="95" t="s">
        <v>186</v>
      </c>
      <c r="C256" s="95"/>
      <c r="D256" s="95"/>
      <c r="E256" s="83"/>
      <c r="F256" s="83"/>
      <c r="G256" s="608"/>
      <c r="H256" s="84"/>
    </row>
    <row r="257" spans="1:9" s="9" customFormat="1" ht="14.25">
      <c r="A257" s="114" t="s">
        <v>53</v>
      </c>
      <c r="B257" s="120" t="s">
        <v>187</v>
      </c>
      <c r="C257" s="120"/>
      <c r="D257" s="120"/>
      <c r="E257" s="109"/>
      <c r="F257" s="109"/>
      <c r="G257" s="609"/>
      <c r="H257" s="88"/>
    </row>
    <row r="258" spans="1:9" s="9" customFormat="1" ht="14.25">
      <c r="A258" s="89"/>
      <c r="B258" s="90"/>
      <c r="C258" s="90"/>
      <c r="D258" s="90"/>
      <c r="E258" s="91"/>
      <c r="F258" s="91"/>
      <c r="G258" s="604"/>
      <c r="H258" s="90"/>
    </row>
    <row r="259" spans="1:9" s="9" customFormat="1" ht="14.25">
      <c r="A259" s="123"/>
      <c r="B259" s="124" t="s">
        <v>1</v>
      </c>
      <c r="C259" s="124"/>
      <c r="D259" s="124"/>
      <c r="E259" s="125">
        <f>E229+E232+E236+E242+E245+E251+E254</f>
        <v>1.0000000000000002</v>
      </c>
      <c r="F259" s="125">
        <f>F229+F232+F236+F242+F245+F251+F254</f>
        <v>1.0000000000000002</v>
      </c>
      <c r="G259" s="605">
        <f>G229+G232+G236+G242+G245+G251+G254</f>
        <v>0</v>
      </c>
      <c r="H259" s="598">
        <f>H229+H232+H236+H242+H245+H251+H254</f>
        <v>0</v>
      </c>
      <c r="I259" s="122">
        <f>IFERROR(H259/'OSNOVNI PODATKI'!$E$311,0)</f>
        <v>0</v>
      </c>
    </row>
    <row r="260" spans="1:9" s="9" customFormat="1" ht="14.25">
      <c r="A260" s="25"/>
      <c r="B260" s="121"/>
      <c r="E260" s="26"/>
      <c r="G260" s="26"/>
      <c r="H260" s="122"/>
    </row>
    <row r="261" spans="1:9" s="9" customFormat="1" ht="14.25">
      <c r="A261" s="25"/>
      <c r="B261" s="121"/>
      <c r="E261" s="26"/>
      <c r="G261" s="26"/>
      <c r="H261" s="122"/>
    </row>
    <row r="262" spans="1:9" s="9" customFormat="1" ht="14.25"/>
    <row r="263" spans="1:9" s="9" customFormat="1" ht="14.25"/>
    <row r="264" spans="1:9" s="9" customFormat="1" ht="14.25"/>
  </sheetData>
  <sheetProtection algorithmName="SHA-512" hashValue="NF02kA6pcGh/05BNfcXi1aM7ZC0c/In2GdJODuVxdlhGVFfLq97BnhkVGMJXp59D/JirAb2LvG3nhW/9Nkv2wg==" saltValue="384DbDxiQ2w2mU20CQoAC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NAVODILA</vt:lpstr>
      <vt:lpstr>OSNOVNI PODATKI</vt:lpstr>
      <vt:lpstr>CENOVNI RAZREDI</vt:lpstr>
      <vt:lpstr>ARHIGRAM 6</vt:lpstr>
      <vt:lpstr>OSNOVNE STORITVE</vt:lpstr>
      <vt:lpstr>POSEBNE STORITVE</vt:lpstr>
      <vt:lpstr>VREDNOST NU</vt:lpstr>
      <vt:lpstr>STAVBE</vt:lpstr>
      <vt:lpstr>NOTRANJA OPREMA</vt:lpstr>
      <vt:lpstr>ODPRTI PROSTOR</vt:lpstr>
      <vt:lpstr>GRADBENE KONSTRUKCIJE</vt:lpstr>
      <vt:lpstr>TEHNIČNA OPREMA</vt:lpstr>
      <vt:lpstr>POŽARNA VARNOST</vt:lpstr>
      <vt:lpstr>GRADBENA FIZIKA</vt:lpstr>
      <vt:lpstr>'OSNOVNI PODATKI'!Print_Area</vt:lpstr>
    </vt:vector>
  </TitlesOfParts>
  <Company>Poljanska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Arhigram 6</dc:title>
  <dc:creator>ZAPS</dc:creator>
  <cp:keywords>ZAPS</cp:keywords>
  <cp:lastModifiedBy>Mima Suhadolc</cp:lastModifiedBy>
  <cp:lastPrinted>2023-09-07T10:49:57Z</cp:lastPrinted>
  <dcterms:created xsi:type="dcterms:W3CDTF">2005-12-03T10:02:57Z</dcterms:created>
  <dcterms:modified xsi:type="dcterms:W3CDTF">2026-09-13T05:39:21Z</dcterms:modified>
</cp:coreProperties>
</file>